
<file path=[Content_Types].xml><?xml version="1.0" encoding="utf-8"?>
<Types xmlns="http://schemas.openxmlformats.org/package/2006/content-types">
  <Override PartName="/xl/worksheets/sheet82.xml" ContentType="application/vnd.openxmlformats-officedocument.spreadsheetml.worksheet+xml"/>
  <Override PartName="/xl/printerSettings/printerSettings114.bin" ContentType="application/vnd.openxmlformats-officedocument.spreadsheetml.printerSettings"/>
  <Override PartName="/xl/printerSettings/printerSettings259.bin" ContentType="application/vnd.openxmlformats-officedocument.spreadsheetml.printerSettings"/>
  <Override PartName="/xl/printerSettings/printerSettings445.bin" ContentType="application/vnd.openxmlformats-officedocument.spreadsheetml.printerSettings"/>
  <Override PartName="/xl/printerSettings/printerSettings937.bin" ContentType="application/vnd.openxmlformats-officedocument.spreadsheetml.printerSettings"/>
  <Override PartName="/xl/printerSettings/printerSettings1118.bin" ContentType="application/vnd.openxmlformats-officedocument.spreadsheetml.printerSettings"/>
  <Override PartName="/xl/worksheets/sheet13.xml" ContentType="application/vnd.openxmlformats-officedocument.spreadsheetml.worksheet+xml"/>
  <Override PartName="/xl/styles.xml" ContentType="application/vnd.openxmlformats-officedocument.spreadsheetml.styles+xml"/>
  <Override PartName="/xl/printerSettings/printerSettings284.bin" ContentType="application/vnd.openxmlformats-officedocument.spreadsheetml.printerSettings"/>
  <Override PartName="/xl/printerSettings/printerSettings300.bin" ContentType="application/vnd.openxmlformats-officedocument.spreadsheetml.printerSettings"/>
  <Override PartName="/xl/printerSettings/printerSettings631.bin" ContentType="application/vnd.openxmlformats-officedocument.spreadsheetml.printerSettings"/>
  <Override PartName="/xl/printerSettings/printerSettings776.bin" ContentType="application/vnd.openxmlformats-officedocument.spreadsheetml.printerSettings"/>
  <Override PartName="/xl/printerSettings/printerSettings962.bin" ContentType="application/vnd.openxmlformats-officedocument.spreadsheetml.printerSettings"/>
  <Override PartName="/xl/externalLinks/externalLink27.xml" ContentType="application/vnd.openxmlformats-officedocument.spreadsheetml.externalLink+xml"/>
  <Override PartName="/xl/printerSettings/printerSettings97.bin" ContentType="application/vnd.openxmlformats-officedocument.spreadsheetml.printerSettings"/>
  <Override PartName="/xl/printerSettings/printerSettings470.bin" ContentType="application/vnd.openxmlformats-officedocument.spreadsheetml.printerSettings"/>
  <Override PartName="/xl/printerSettings/printerSettings707.bin" ContentType="application/vnd.openxmlformats-officedocument.spreadsheetml.printerSettings"/>
  <Override PartName="/xl/printerSettings/printerSettings1143.bin" ContentType="application/vnd.openxmlformats-officedocument.spreadsheetml.printerSettings"/>
  <Default Extension="xml" ContentType="application/xml"/>
  <Override PartName="/xl/printerSettings/printerSettings215.bin" ContentType="application/vnd.openxmlformats-officedocument.spreadsheetml.printerSettings"/>
  <Override PartName="/xl/printerSettings/printerSettings401.bin" ContentType="application/vnd.openxmlformats-officedocument.spreadsheetml.printerSettings"/>
  <Override PartName="/xl/printerSettings/printerSettings546.bin" ContentType="application/vnd.openxmlformats-officedocument.spreadsheetml.printerSettings"/>
  <Override PartName="/xl/printerSettings/printerSettings877.bin" ContentType="application/vnd.openxmlformats-officedocument.spreadsheetml.printerSettings"/>
  <Override PartName="/xl/printerSettings/printerSettings1219.bin" ContentType="application/vnd.openxmlformats-officedocument.spreadsheetml.printerSettings"/>
  <Override PartName="/xl/printerSettings/printerSettings28.bin" ContentType="application/vnd.openxmlformats-officedocument.spreadsheetml.printerSettings"/>
  <Override PartName="/xl/printerSettings/printerSettings199.bin" ContentType="application/vnd.openxmlformats-officedocument.spreadsheetml.printerSettings"/>
  <Override PartName="/xl/printerSettings/printerSettings240.bin" ContentType="application/vnd.openxmlformats-officedocument.spreadsheetml.printerSettings"/>
  <Override PartName="/xl/printerSettings/printerSettings385.bin" ContentType="application/vnd.openxmlformats-officedocument.spreadsheetml.printerSettings"/>
  <Override PartName="/xl/printerSettings/printerSettings732.bin" ContentType="application/vnd.openxmlformats-officedocument.spreadsheetml.printerSettings"/>
  <Override PartName="/xl/printerSettings/printerSettings1058.bin" ContentType="application/vnd.openxmlformats-officedocument.spreadsheetml.printerSettings"/>
  <Override PartName="/xl/printerSettings/printerSettings53.bin" ContentType="application/vnd.openxmlformats-officedocument.spreadsheetml.printerSettings"/>
  <Override PartName="/xl/printerSettings/printerSettings571.bin" ContentType="application/vnd.openxmlformats-officedocument.spreadsheetml.printerSettings"/>
  <Override PartName="/xl/printerSettings/printerSettings808.bin" ContentType="application/vnd.openxmlformats-officedocument.spreadsheetml.printerSettings"/>
  <Override PartName="/xl/printerSettings/printerSettings1244.bin" ContentType="application/vnd.openxmlformats-officedocument.spreadsheetml.printerSettings"/>
  <Override PartName="/xl/worksheets/sheet29.xml" ContentType="application/vnd.openxmlformats-officedocument.spreadsheetml.worksheet+xml"/>
  <Override PartName="/xl/printerSettings/printerSettings316.bin" ContentType="application/vnd.openxmlformats-officedocument.spreadsheetml.printerSettings"/>
  <Override PartName="/xl/printerSettings/printerSettings502.bin" ContentType="application/vnd.openxmlformats-officedocument.spreadsheetml.printerSettings"/>
  <Override PartName="/xl/printerSettings/printerSettings647.bin" ContentType="application/vnd.openxmlformats-officedocument.spreadsheetml.printerSettings"/>
  <Override PartName="/xl/printerSettings/printerSettings833.bin" ContentType="application/vnd.openxmlformats-officedocument.spreadsheetml.printerSettings"/>
  <Override PartName="/xl/printerSettings/printerSettings978.bin" ContentType="application/vnd.openxmlformats-officedocument.spreadsheetml.printerSettings"/>
  <Override PartName="/xl/printerSettings/printerSettings1083.bin" ContentType="application/vnd.openxmlformats-officedocument.spreadsheetml.printerSettings"/>
  <Override PartName="/xl/worksheets/sheet54.xml" ContentType="application/vnd.openxmlformats-officedocument.spreadsheetml.worksheet+xml"/>
  <Override PartName="/xl/printerSettings/printerSettings2.bin" ContentType="application/vnd.openxmlformats-officedocument.spreadsheetml.printerSettings"/>
  <Override PartName="/xl/printerSettings/printerSettings155.bin" ContentType="application/vnd.openxmlformats-officedocument.spreadsheetml.printerSettings"/>
  <Override PartName="/xl/printerSettings/printerSettings341.bin" ContentType="application/vnd.openxmlformats-officedocument.spreadsheetml.printerSettings"/>
  <Override PartName="/xl/printerSettings/printerSettings486.bin" ContentType="application/vnd.openxmlformats-officedocument.spreadsheetml.printerSettings"/>
  <Override PartName="/xl/printerSettings/printerSettings672.bin" ContentType="application/vnd.openxmlformats-officedocument.spreadsheetml.printerSettings"/>
  <Override PartName="/xl/printerSettings/printerSettings909.bin" ContentType="application/vnd.openxmlformats-officedocument.spreadsheetml.printerSettings"/>
  <Override PartName="/xl/printerSettings/printerSettings1014.bin" ContentType="application/vnd.openxmlformats-officedocument.spreadsheetml.printerSettings"/>
  <Override PartName="/xl/printerSettings/printerSettings1159.bin" ContentType="application/vnd.openxmlformats-officedocument.spreadsheetml.printerSettings"/>
  <Override PartName="/xl/printerSettings/printerSettings180.bin" ContentType="application/vnd.openxmlformats-officedocument.spreadsheetml.printerSettings"/>
  <Override PartName="/xl/printerSettings/printerSettings417.bin" ContentType="application/vnd.openxmlformats-officedocument.spreadsheetml.printerSettings"/>
  <Override PartName="/xl/printerSettings/printerSettings748.bin" ContentType="application/vnd.openxmlformats-officedocument.spreadsheetml.printerSettings"/>
  <Override PartName="/xl/printerSettings/printerSettings1184.bin" ContentType="application/vnd.openxmlformats-officedocument.spreadsheetml.printerSettings"/>
  <Override PartName="/xl/printerSettings/printerSettings1200.bin" ContentType="application/vnd.openxmlformats-officedocument.spreadsheetml.printerSettings"/>
  <Override PartName="/xl/printerSettings/printerSettings256.bin" ContentType="application/vnd.openxmlformats-officedocument.spreadsheetml.printerSettings"/>
  <Override PartName="/xl/printerSettings/printerSettings587.bin" ContentType="application/vnd.openxmlformats-officedocument.spreadsheetml.printerSettings"/>
  <Override PartName="/xl/printerSettings/printerSettings603.bin" ContentType="application/vnd.openxmlformats-officedocument.spreadsheetml.printerSettings"/>
  <Override PartName="/xl/printerSettings/printerSettings934.bin" ContentType="application/vnd.openxmlformats-officedocument.spreadsheetml.printerSettings"/>
  <Override PartName="/xl/printerSettings/printerSettings69.bin" ContentType="application/vnd.openxmlformats-officedocument.spreadsheetml.printerSettings"/>
  <Override PartName="/xl/printerSettings/printerSettings111.bin" ContentType="application/vnd.openxmlformats-officedocument.spreadsheetml.printerSettings"/>
  <Override PartName="/xl/printerSettings/printerSettings442.bin" ContentType="application/vnd.openxmlformats-officedocument.spreadsheetml.printerSettings"/>
  <Override PartName="/xl/printerSettings/printerSettings773.bin" ContentType="application/vnd.openxmlformats-officedocument.spreadsheetml.printerSettings"/>
  <Override PartName="/xl/printerSettings/printerSettings1115.bin" ContentType="application/vnd.openxmlformats-officedocument.spreadsheetml.printerSettings"/>
  <Override PartName="/xl/worksheets/sheet10.xml" ContentType="application/vnd.openxmlformats-officedocument.spreadsheetml.worksheet+xml"/>
  <Override PartName="/xl/externalLinks/externalLink24.xml" ContentType="application/vnd.openxmlformats-officedocument.spreadsheetml.externalLink+xml"/>
  <Override PartName="/xl/printerSettings/printerSettings281.bin" ContentType="application/vnd.openxmlformats-officedocument.spreadsheetml.printerSettings"/>
  <Override PartName="/xl/printerSettings/printerSettings518.bin" ContentType="application/vnd.openxmlformats-officedocument.spreadsheetml.printerSettings"/>
  <Override PartName="/xl/printerSettings/printerSettings849.bin" ContentType="application/vnd.openxmlformats-officedocument.spreadsheetml.printerSettings"/>
  <Override PartName="/xl/printerSettings/printerSettings1099.bin" ContentType="application/vnd.openxmlformats-officedocument.spreadsheetml.printerSettings"/>
  <Override PartName="/xl/printerSettings/printerSettings1140.bin" ContentType="application/vnd.openxmlformats-officedocument.spreadsheetml.printerSettings"/>
  <Override PartName="/xl/printerSettings/printerSettings94.bin" ContentType="application/vnd.openxmlformats-officedocument.spreadsheetml.printerSettings"/>
  <Override PartName="/xl/printerSettings/printerSettings212.bin" ContentType="application/vnd.openxmlformats-officedocument.spreadsheetml.printerSettings"/>
  <Override PartName="/xl/printerSettings/printerSettings357.bin" ContentType="application/vnd.openxmlformats-officedocument.spreadsheetml.printerSettings"/>
  <Override PartName="/xl/printerSettings/printerSettings688.bin" ContentType="application/vnd.openxmlformats-officedocument.spreadsheetml.printerSettings"/>
  <Override PartName="/xl/printerSettings/printerSettings704.bin" ContentType="application/vnd.openxmlformats-officedocument.spreadsheetml.printerSettings"/>
  <Override PartName="/xl/printerSettings/printerSettings25.bin" ContentType="application/vnd.openxmlformats-officedocument.spreadsheetml.printerSettings"/>
  <Override PartName="/xl/printerSettings/printerSettings196.bin" ContentType="application/vnd.openxmlformats-officedocument.spreadsheetml.printerSettings"/>
  <Override PartName="/xl/printerSettings/printerSettings382.bin" ContentType="application/vnd.openxmlformats-officedocument.spreadsheetml.printerSettings"/>
  <Override PartName="/xl/printerSettings/printerSettings543.bin" ContentType="application/vnd.openxmlformats-officedocument.spreadsheetml.printerSettings"/>
  <Override PartName="/xl/printerSettings/printerSettings874.bin" ContentType="application/vnd.openxmlformats-officedocument.spreadsheetml.printerSettings"/>
  <Override PartName="/xl/printerSettings/printerSettings1216.bin" ContentType="application/vnd.openxmlformats-officedocument.spreadsheetml.printerSettings"/>
  <Override PartName="/xl/printerSettings/printerSettings127.bin" ContentType="application/vnd.openxmlformats-officedocument.spreadsheetml.printerSettings"/>
  <Override PartName="/xl/printerSettings/printerSettings619.bin" ContentType="application/vnd.openxmlformats-officedocument.spreadsheetml.printerSettings"/>
  <Override PartName="/xl/printerSettings/printerSettings805.bin" ContentType="application/vnd.openxmlformats-officedocument.spreadsheetml.printerSettings"/>
  <Override PartName="/xl/printerSettings/printerSettings1055.bin" ContentType="application/vnd.openxmlformats-officedocument.spreadsheetml.printerSettings"/>
  <Override PartName="/xl/printerSettings/printerSettings1241.bin" ContentType="application/vnd.openxmlformats-officedocument.spreadsheetml.printerSettings"/>
  <Override PartName="/xl/worksheets/sheet26.xml" ContentType="application/vnd.openxmlformats-officedocument.spreadsheetml.worksheet+xml"/>
  <Override PartName="/xl/printerSettings/printerSettings50.bin" ContentType="application/vnd.openxmlformats-officedocument.spreadsheetml.printerSettings"/>
  <Override PartName="/xl/printerSettings/printerSettings313.bin" ContentType="application/vnd.openxmlformats-officedocument.spreadsheetml.printerSettings"/>
  <Override PartName="/xl/printerSettings/printerSettings458.bin" ContentType="application/vnd.openxmlformats-officedocument.spreadsheetml.printerSettings"/>
  <Override PartName="/xl/printerSettings/printerSettings644.bin" ContentType="application/vnd.openxmlformats-officedocument.spreadsheetml.printerSettings"/>
  <Override PartName="/xl/printerSettings/printerSettings789.bin" ContentType="application/vnd.openxmlformats-officedocument.spreadsheetml.printerSettings"/>
  <Override PartName="/xl/printerSettings/printerSettings975.bin" ContentType="application/vnd.openxmlformats-officedocument.spreadsheetml.printerSettings"/>
  <Override PartName="/xl/printerSettings/printerSettings1080.bin" ContentType="application/vnd.openxmlformats-officedocument.spreadsheetml.printerSettings"/>
  <Override PartName="/xl/printerSettings/printerSettings152.bin" ContentType="application/vnd.openxmlformats-officedocument.spreadsheetml.printerSettings"/>
  <Override PartName="/xl/printerSettings/printerSettings297.bin" ContentType="application/vnd.openxmlformats-officedocument.spreadsheetml.printerSettings"/>
  <Override PartName="/xl/printerSettings/printerSettings483.bin" ContentType="application/vnd.openxmlformats-officedocument.spreadsheetml.printerSettings"/>
  <Override PartName="/xl/printerSettings/printerSettings830.bin" ContentType="application/vnd.openxmlformats-officedocument.spreadsheetml.printerSettings"/>
  <Override PartName="/xl/printerSettings/printerSettings1156.bin" ContentType="application/vnd.openxmlformats-officedocument.spreadsheetml.printerSettings"/>
  <Override PartName="/xl/worksheets/sheet51.xml" ContentType="application/vnd.openxmlformats-officedocument.spreadsheetml.worksheet+xml"/>
  <Override PartName="/xl/printerSettings/printerSettings228.bin" ContentType="application/vnd.openxmlformats-officedocument.spreadsheetml.printerSettings"/>
  <Override PartName="/xl/printerSettings/printerSettings559.bin" ContentType="application/vnd.openxmlformats-officedocument.spreadsheetml.printerSettings"/>
  <Override PartName="/xl/printerSettings/printerSettings906.bin" ContentType="application/vnd.openxmlformats-officedocument.spreadsheetml.printerSettings"/>
  <Override PartName="/xl/printerSettings/printerSettings1011.bin" ContentType="application/vnd.openxmlformats-officedocument.spreadsheetml.printerSettings"/>
  <Override PartName="/xl/printerSettings/printerSettings398.bin" ContentType="application/vnd.openxmlformats-officedocument.spreadsheetml.printerSettings"/>
  <Override PartName="/xl/printerSettings/printerSettings414.bin" ContentType="application/vnd.openxmlformats-officedocument.spreadsheetml.printerSettings"/>
  <Override PartName="/xl/printerSettings/printerSettings600.bin" ContentType="application/vnd.openxmlformats-officedocument.spreadsheetml.printerSettings"/>
  <Override PartName="/xl/printerSettings/printerSettings745.bin" ContentType="application/vnd.openxmlformats-officedocument.spreadsheetml.printerSettings"/>
  <Override PartName="/xl/printerSettings/printerSettings931.bin" ContentType="application/vnd.openxmlformats-officedocument.spreadsheetml.printerSettings"/>
  <Override PartName="/xl/printerSettings/printerSettings1181.bin" ContentType="application/vnd.openxmlformats-officedocument.spreadsheetml.printerSettings"/>
  <Override PartName="/xl/printerSettings/printerSettings66.bin" ContentType="application/vnd.openxmlformats-officedocument.spreadsheetml.printerSettings"/>
  <Override PartName="/xl/printerSettings/printerSettings253.bin" ContentType="application/vnd.openxmlformats-officedocument.spreadsheetml.printerSettings"/>
  <Override PartName="/xl/printerSettings/printerSettings584.bin" ContentType="application/vnd.openxmlformats-officedocument.spreadsheetml.printerSettings"/>
  <Override PartName="/xl/printerSettings/printerSettings770.bin" ContentType="application/vnd.openxmlformats-officedocument.spreadsheetml.printerSettings"/>
  <Override PartName="/xl/printerSettings/printerSettings1112.bin" ContentType="application/vnd.openxmlformats-officedocument.spreadsheetml.printerSettings"/>
  <Override PartName="/xl/printerSettings/printerSettings329.bin" ContentType="application/vnd.openxmlformats-officedocument.spreadsheetml.printerSettings"/>
  <Override PartName="/xl/printerSettings/printerSettings515.bin" ContentType="application/vnd.openxmlformats-officedocument.spreadsheetml.printerSettings"/>
  <Override PartName="/xl/printerSettings/printerSettings1096.bin" ContentType="application/vnd.openxmlformats-officedocument.spreadsheetml.printerSettings"/>
  <Override PartName="/xl/externalLinks/externalLink21.xml" ContentType="application/vnd.openxmlformats-officedocument.spreadsheetml.externalLink+xml"/>
  <Override PartName="/xl/printerSettings/printerSettings91.bin" ContentType="application/vnd.openxmlformats-officedocument.spreadsheetml.printerSettings"/>
  <Override PartName="/xl/printerSettings/printerSettings168.bin" ContentType="application/vnd.openxmlformats-officedocument.spreadsheetml.printerSettings"/>
  <Override PartName="/xl/printerSettings/printerSettings354.bin" ContentType="application/vnd.openxmlformats-officedocument.spreadsheetml.printerSettings"/>
  <Override PartName="/xl/printerSettings/printerSettings499.bin" ContentType="application/vnd.openxmlformats-officedocument.spreadsheetml.printerSettings"/>
  <Override PartName="/xl/printerSettings/printerSettings701.bin" ContentType="application/vnd.openxmlformats-officedocument.spreadsheetml.printerSettings"/>
  <Override PartName="/xl/printerSettings/printerSettings846.bin" ContentType="application/vnd.openxmlformats-officedocument.spreadsheetml.printerSettings"/>
  <Override PartName="/xl/printerSettings/printerSettings1027.bin" ContentType="application/vnd.openxmlformats-officedocument.spreadsheetml.printerSettings"/>
  <Override PartName="/xl/worksheets/sheet67.xml" ContentType="application/vnd.openxmlformats-officedocument.spreadsheetml.worksheet+xml"/>
  <Override PartName="/xl/printerSettings/printerSettings22.bin" ContentType="application/vnd.openxmlformats-officedocument.spreadsheetml.printerSettings"/>
  <Override PartName="/xl/printerSettings/printerSettings193.bin" ContentType="application/vnd.openxmlformats-officedocument.spreadsheetml.printerSettings"/>
  <Override PartName="/xl/printerSettings/printerSettings540.bin" ContentType="application/vnd.openxmlformats-officedocument.spreadsheetml.printerSettings"/>
  <Override PartName="/xl/printerSettings/printerSettings685.bin" ContentType="application/vnd.openxmlformats-officedocument.spreadsheetml.printerSettings"/>
  <Override PartName="/xl/printerSettings/printerSettings871.bin" ContentType="application/vnd.openxmlformats-officedocument.spreadsheetml.printerSettings"/>
  <Override PartName="/xl/printerSettings/printerSettings1213.bin" ContentType="application/vnd.openxmlformats-officedocument.spreadsheetml.printerSettings"/>
  <Override PartName="/xl/printerSettings/printerSettings616.bin" ContentType="application/vnd.openxmlformats-officedocument.spreadsheetml.printerSettings"/>
  <Override PartName="/xl/printerSettings/printerSettings947.bin" ContentType="application/vnd.openxmlformats-officedocument.spreadsheetml.printerSettings"/>
  <Override PartName="/xl/printerSettings/printerSettings1052.bin" ContentType="application/vnd.openxmlformats-officedocument.spreadsheetml.printerSettings"/>
  <Override PartName="/xl/printerSettings/printerSettings1197.bin" ContentType="application/vnd.openxmlformats-officedocument.spreadsheetml.printerSettings"/>
  <Override PartName="/xl/printerSettings/printerSettings124.bin" ContentType="application/vnd.openxmlformats-officedocument.spreadsheetml.printerSettings"/>
  <Override PartName="/xl/printerSettings/printerSettings269.bin" ContentType="application/vnd.openxmlformats-officedocument.spreadsheetml.printerSettings"/>
  <Override PartName="/xl/printerSettings/printerSettings310.bin" ContentType="application/vnd.openxmlformats-officedocument.spreadsheetml.printerSettings"/>
  <Override PartName="/xl/printerSettings/printerSettings455.bin" ContentType="application/vnd.openxmlformats-officedocument.spreadsheetml.printerSettings"/>
  <Override PartName="/xl/printerSettings/printerSettings786.bin" ContentType="application/vnd.openxmlformats-officedocument.spreadsheetml.printerSettings"/>
  <Override PartName="/xl/printerSettings/printerSettings802.bin" ContentType="application/vnd.openxmlformats-officedocument.spreadsheetml.printerSettings"/>
  <Override PartName="/xl/printerSettings/printerSettings1128.bin" ContentType="application/vnd.openxmlformats-officedocument.spreadsheetml.printerSettings"/>
  <Override PartName="/xl/worksheets/sheet23.xml" ContentType="application/vnd.openxmlformats-officedocument.spreadsheetml.worksheet+xml"/>
  <Override PartName="/xl/printerSettings/printerSettings294.bin" ContentType="application/vnd.openxmlformats-officedocument.spreadsheetml.printerSettings"/>
  <Override PartName="/xl/printerSettings/printerSettings641.bin" ContentType="application/vnd.openxmlformats-officedocument.spreadsheetml.printerSettings"/>
  <Override PartName="/xl/printerSettings/printerSettings972.bin" ContentType="application/vnd.openxmlformats-officedocument.spreadsheetml.printerSettings"/>
  <Override PartName="/xl/externalLinks/externalLink37.xml" ContentType="application/vnd.openxmlformats-officedocument.spreadsheetml.externalLink+xml"/>
  <Override PartName="/xl/printerSettings/printerSettings480.bin" ContentType="application/vnd.openxmlformats-officedocument.spreadsheetml.printerSettings"/>
  <Override PartName="/xl/printerSettings/printerSettings717.bin" ContentType="application/vnd.openxmlformats-officedocument.spreadsheetml.printerSettings"/>
  <Override PartName="/xl/printerSettings/printerSettings903.bin" ContentType="application/vnd.openxmlformats-officedocument.spreadsheetml.printerSettings"/>
  <Override PartName="/xl/printerSettings/printerSettings1153.bin" ContentType="application/vnd.openxmlformats-officedocument.spreadsheetml.printerSettings"/>
  <Override PartName="/xl/printerSettings/printerSettings38.bin" ContentType="application/vnd.openxmlformats-officedocument.spreadsheetml.printerSettings"/>
  <Override PartName="/xl/printerSettings/printerSettings225.bin" ContentType="application/vnd.openxmlformats-officedocument.spreadsheetml.printerSettings"/>
  <Override PartName="/xl/printerSettings/printerSettings411.bin" ContentType="application/vnd.openxmlformats-officedocument.spreadsheetml.printerSettings"/>
  <Override PartName="/xl/printerSettings/printerSettings556.bin" ContentType="application/vnd.openxmlformats-officedocument.spreadsheetml.printerSettings"/>
  <Override PartName="/xl/printerSettings/printerSettings742.bin" ContentType="application/vnd.openxmlformats-officedocument.spreadsheetml.printerSettings"/>
  <Override PartName="/xl/printerSettings/printerSettings887.bin" ContentType="application/vnd.openxmlformats-officedocument.spreadsheetml.printerSettings"/>
  <Override PartName="/xl/printerSettings/printerSettings1229.bin" ContentType="application/vnd.openxmlformats-officedocument.spreadsheetml.printerSettings"/>
  <Override PartName="/xl/printerSettings/printerSettings250.bin" ContentType="application/vnd.openxmlformats-officedocument.spreadsheetml.printerSettings"/>
  <Override PartName="/xl/printerSettings/printerSettings395.bin" ContentType="application/vnd.openxmlformats-officedocument.spreadsheetml.printerSettings"/>
  <Override PartName="/xl/printerSettings/printerSettings581.bin" ContentType="application/vnd.openxmlformats-officedocument.spreadsheetml.printerSettings"/>
  <Override PartName="/xl/printerSettings/printerSettings1068.bin" ContentType="application/vnd.openxmlformats-officedocument.spreadsheetml.printerSettings"/>
  <Override PartName="/xl/printerSettings/printerSettings63.bin" ContentType="application/vnd.openxmlformats-officedocument.spreadsheetml.printerSettings"/>
  <Override PartName="/xl/printerSettings/printerSettings326.bin" ContentType="application/vnd.openxmlformats-officedocument.spreadsheetml.printerSettings"/>
  <Override PartName="/xl/printerSettings/printerSettings657.bin" ContentType="application/vnd.openxmlformats-officedocument.spreadsheetml.printerSettings"/>
  <Override PartName="/xl/printerSettings/printerSettings818.bin" ContentType="application/vnd.openxmlformats-officedocument.spreadsheetml.printerSettings"/>
  <Override PartName="/xl/printerSettings/printerSettings1093.bin" ContentType="application/vnd.openxmlformats-officedocument.spreadsheetml.printerSettings"/>
  <Override PartName="/xl/worksheets/sheet39.xml" ContentType="application/vnd.openxmlformats-officedocument.spreadsheetml.worksheet+xml"/>
  <Override PartName="/xl/printerSettings/printerSettings165.bin" ContentType="application/vnd.openxmlformats-officedocument.spreadsheetml.printerSettings"/>
  <Override PartName="/xl/printerSettings/printerSettings496.bin" ContentType="application/vnd.openxmlformats-officedocument.spreadsheetml.printerSettings"/>
  <Override PartName="/xl/printerSettings/printerSettings512.bin" ContentType="application/vnd.openxmlformats-officedocument.spreadsheetml.printerSettings"/>
  <Override PartName="/xl/printerSettings/printerSettings843.bin" ContentType="application/vnd.openxmlformats-officedocument.spreadsheetml.printerSettings"/>
  <Override PartName="/xl/printerSettings/printerSettings988.bin" ContentType="application/vnd.openxmlformats-officedocument.spreadsheetml.printerSettings"/>
  <Override PartName="/xl/worksheets/sheet64.xml" ContentType="application/vnd.openxmlformats-officedocument.spreadsheetml.worksheet+xml"/>
  <Override PartName="/xl/printerSettings/printerSettings351.bin" ContentType="application/vnd.openxmlformats-officedocument.spreadsheetml.printerSettings"/>
  <Override PartName="/xl/printerSettings/printerSettings682.bin" ContentType="application/vnd.openxmlformats-officedocument.spreadsheetml.printerSettings"/>
  <Override PartName="/xl/printerSettings/printerSettings919.bin" ContentType="application/vnd.openxmlformats-officedocument.spreadsheetml.printerSettings"/>
  <Override PartName="/xl/printerSettings/printerSettings1024.bin" ContentType="application/vnd.openxmlformats-officedocument.spreadsheetml.printerSettings"/>
  <Override PartName="/xl/printerSettings/printerSettings1169.bin" ContentType="application/vnd.openxmlformats-officedocument.spreadsheetml.printerSettings"/>
  <Override PartName="/xl/printerSettings/printerSettings1210.bin" ContentType="application/vnd.openxmlformats-officedocument.spreadsheetml.printerSettings"/>
  <Override PartName="/xl/printerSettings/printerSettings190.bin" ContentType="application/vnd.openxmlformats-officedocument.spreadsheetml.printerSettings"/>
  <Override PartName="/xl/printerSettings/printerSettings427.bin" ContentType="application/vnd.openxmlformats-officedocument.spreadsheetml.printerSettings"/>
  <Override PartName="/xl/printerSettings/printerSettings758.bin" ContentType="application/vnd.openxmlformats-officedocument.spreadsheetml.printerSettings"/>
  <Override PartName="/xl/printerSettings/printerSettings1194.bin" ContentType="application/vnd.openxmlformats-officedocument.spreadsheetml.printerSettings"/>
  <Override PartName="/xl/printerSettings/printerSettings121.bin" ContentType="application/vnd.openxmlformats-officedocument.spreadsheetml.printerSettings"/>
  <Override PartName="/xl/printerSettings/printerSettings266.bin" ContentType="application/vnd.openxmlformats-officedocument.spreadsheetml.printerSettings"/>
  <Override PartName="/xl/printerSettings/printerSettings597.bin" ContentType="application/vnd.openxmlformats-officedocument.spreadsheetml.printerSettings"/>
  <Override PartName="/xl/printerSettings/printerSettings613.bin" ContentType="application/vnd.openxmlformats-officedocument.spreadsheetml.printerSettings"/>
  <Override PartName="/xl/printerSettings/printerSettings944.bin" ContentType="application/vnd.openxmlformats-officedocument.spreadsheetml.printerSettings"/>
  <Override PartName="/xl/worksheets/sheet20.xml" ContentType="application/vnd.openxmlformats-officedocument.spreadsheetml.worksheet+xml"/>
  <Override PartName="/xl/printerSettings/printerSettings79.bin" ContentType="application/vnd.openxmlformats-officedocument.spreadsheetml.printerSettings"/>
  <Override PartName="/xl/printerSettings/printerSettings452.bin" ContentType="application/vnd.openxmlformats-officedocument.spreadsheetml.printerSettings"/>
  <Override PartName="/xl/printerSettings/printerSettings783.bin" ContentType="application/vnd.openxmlformats-officedocument.spreadsheetml.printerSettings"/>
  <Override PartName="/xl/printerSettings/printerSettings1125.bin" ContentType="application/vnd.openxmlformats-officedocument.spreadsheetml.printerSettings"/>
  <Override PartName="/xl/externalLinks/externalLink34.xml" ContentType="application/vnd.openxmlformats-officedocument.spreadsheetml.externalLink+xml"/>
  <Override PartName="/xl/printerSettings/printerSettings291.bin" ContentType="application/vnd.openxmlformats-officedocument.spreadsheetml.printerSettings"/>
  <Override PartName="/xl/printerSettings/printerSettings528.bin" ContentType="application/vnd.openxmlformats-officedocument.spreadsheetml.printerSettings"/>
  <Override PartName="/xl/printerSettings/printerSettings714.bin" ContentType="application/vnd.openxmlformats-officedocument.spreadsheetml.printerSettings"/>
  <Override PartName="/xl/printerSettings/printerSettings859.bin" ContentType="application/vnd.openxmlformats-officedocument.spreadsheetml.printerSettings"/>
  <Override PartName="/xl/printerSettings/printerSettings1150.bin" ContentType="application/vnd.openxmlformats-officedocument.spreadsheetml.printerSettings"/>
  <Override PartName="/xl/printerSettings/printerSettings222.bin" ContentType="application/vnd.openxmlformats-officedocument.spreadsheetml.printerSettings"/>
  <Override PartName="/xl/printerSettings/printerSettings367.bin" ContentType="application/vnd.openxmlformats-officedocument.spreadsheetml.printerSettings"/>
  <Override PartName="/xl/printerSettings/printerSettings553.bin" ContentType="application/vnd.openxmlformats-officedocument.spreadsheetml.printerSettings"/>
  <Override PartName="/xl/printerSettings/printerSettings698.bin" ContentType="application/vnd.openxmlformats-officedocument.spreadsheetml.printerSettings"/>
  <Override PartName="/xl/printerSettings/printerSettings884.bin" ContentType="application/vnd.openxmlformats-officedocument.spreadsheetml.printerSettings"/>
  <Override PartName="/xl/printerSettings/printerSettings900.bin" ContentType="application/vnd.openxmlformats-officedocument.spreadsheetml.printerSettings"/>
  <Override PartName="/xl/printerSettings/printerSettings1226.bin" ContentType="application/vnd.openxmlformats-officedocument.spreadsheetml.printerSettings"/>
  <Override PartName="/xl/printerSettings/printerSettings35.bin" ContentType="application/vnd.openxmlformats-officedocument.spreadsheetml.printerSettings"/>
  <Override PartName="/xl/printerSettings/printerSettings392.bin" ContentType="application/vnd.openxmlformats-officedocument.spreadsheetml.printerSettings"/>
  <Override PartName="/xl/printerSettings/printerSettings629.bin" ContentType="application/vnd.openxmlformats-officedocument.spreadsheetml.printerSettings"/>
  <Override PartName="/xl/printerSettings/printerSettings1065.bin" ContentType="application/vnd.openxmlformats-officedocument.spreadsheetml.printerSettings"/>
  <Override PartName="/xl/printerSettings/printerSettings60.bin" ContentType="application/vnd.openxmlformats-officedocument.spreadsheetml.printerSettings"/>
  <Override PartName="/xl/printerSettings/printerSettings137.bin" ContentType="application/vnd.openxmlformats-officedocument.spreadsheetml.printerSettings"/>
  <Override PartName="/xl/printerSettings/printerSettings468.bin" ContentType="application/vnd.openxmlformats-officedocument.spreadsheetml.printerSettings"/>
  <Override PartName="/xl/printerSettings/printerSettings815.bin" ContentType="application/vnd.openxmlformats-officedocument.spreadsheetml.printerSettings"/>
  <Override PartName="/xl/worksheets/sheet36.xml" ContentType="application/vnd.openxmlformats-officedocument.spreadsheetml.worksheet+xml"/>
  <Override PartName="/xl/printerSettings/printerSettings323.bin" ContentType="application/vnd.openxmlformats-officedocument.spreadsheetml.printerSettings"/>
  <Override PartName="/xl/printerSettings/printerSettings654.bin" ContentType="application/vnd.openxmlformats-officedocument.spreadsheetml.printerSettings"/>
  <Override PartName="/xl/printerSettings/printerSettings799.bin" ContentType="application/vnd.openxmlformats-officedocument.spreadsheetml.printerSettings"/>
  <Override PartName="/xl/printerSettings/printerSettings840.bin" ContentType="application/vnd.openxmlformats-officedocument.spreadsheetml.printerSettings"/>
  <Override PartName="/xl/printerSettings/printerSettings985.bin" ContentType="application/vnd.openxmlformats-officedocument.spreadsheetml.printerSettings"/>
  <Override PartName="/xl/printerSettings/printerSettings1090.bin" ContentType="application/vnd.openxmlformats-officedocument.spreadsheetml.printerSettings"/>
  <Override PartName="/xl/printerSettings/printerSettings162.bin" ContentType="application/vnd.openxmlformats-officedocument.spreadsheetml.printerSettings"/>
  <Override PartName="/xl/printerSettings/printerSettings493.bin" ContentType="application/vnd.openxmlformats-officedocument.spreadsheetml.printerSettings"/>
  <Override PartName="/xl/printerSettings/printerSettings1021.bin" ContentType="application/vnd.openxmlformats-officedocument.spreadsheetml.printerSettings"/>
  <Override PartName="/xl/printerSettings/printerSettings1166.bin" ContentType="application/vnd.openxmlformats-officedocument.spreadsheetml.printerSettings"/>
  <Override PartName="/xl/worksheets/sheet61.xml" ContentType="application/vnd.openxmlformats-officedocument.spreadsheetml.worksheet+xml"/>
  <Override PartName="/xl/printerSettings/printerSettings238.bin" ContentType="application/vnd.openxmlformats-officedocument.spreadsheetml.printerSettings"/>
  <Override PartName="/xl/printerSettings/printerSettings424.bin" ContentType="application/vnd.openxmlformats-officedocument.spreadsheetml.printerSettings"/>
  <Override PartName="/xl/printerSettings/printerSettings569.bin" ContentType="application/vnd.openxmlformats-officedocument.spreadsheetml.printerSettings"/>
  <Override PartName="/xl/printerSettings/printerSettings916.bin" ContentType="application/vnd.openxmlformats-officedocument.spreadsheetml.printerSettings"/>
  <Override PartName="/xl/printerSettings/printerSettings263.bin" ContentType="application/vnd.openxmlformats-officedocument.spreadsheetml.printerSettings"/>
  <Override PartName="/xl/printerSettings/printerSettings610.bin" ContentType="application/vnd.openxmlformats-officedocument.spreadsheetml.printerSettings"/>
  <Override PartName="/xl/printerSettings/printerSettings755.bin" ContentType="application/vnd.openxmlformats-officedocument.spreadsheetml.printerSettings"/>
  <Override PartName="/xl/printerSettings/printerSettings941.bin" ContentType="application/vnd.openxmlformats-officedocument.spreadsheetml.printerSettings"/>
  <Override PartName="/xl/printerSettings/printerSettings1191.bin" ContentType="application/vnd.openxmlformats-officedocument.spreadsheetml.printerSettings"/>
  <Override PartName="/xl/printerSettings/printerSettings76.bin" ContentType="application/vnd.openxmlformats-officedocument.spreadsheetml.printerSettings"/>
  <Override PartName="/xl/printerSettings/printerSettings594.bin" ContentType="application/vnd.openxmlformats-officedocument.spreadsheetml.printerSettings"/>
  <Override PartName="/xl/printerSettings/printerSettings780.bin" ContentType="application/vnd.openxmlformats-officedocument.spreadsheetml.printerSettings"/>
  <Override PartName="/xl/printerSettings/printerSettings1122.bin" ContentType="application/vnd.openxmlformats-officedocument.spreadsheetml.printerSettings"/>
  <Override PartName="/xl/printerSettings/printerSettings339.bin" ContentType="application/vnd.openxmlformats-officedocument.spreadsheetml.printerSettings"/>
  <Override PartName="/xl/printerSettings/printerSettings525.bin" ContentType="application/vnd.openxmlformats-officedocument.spreadsheetml.printerSettings"/>
  <Override PartName="/xl/printerSettings/printerSettings856.bin" ContentType="application/vnd.openxmlformats-officedocument.spreadsheetml.printerSettings"/>
  <Override PartName="/xl/worksheets/sheet77.xml" ContentType="application/vnd.openxmlformats-officedocument.spreadsheetml.worksheet+xml"/>
  <Override PartName="/xl/externalLinks/externalLink31.xml" ContentType="application/vnd.openxmlformats-officedocument.spreadsheetml.externalLink+xml"/>
  <Override PartName="/xl/printerSettings/printerSettings178.bin" ContentType="application/vnd.openxmlformats-officedocument.spreadsheetml.printerSettings"/>
  <Override PartName="/xl/printerSettings/printerSettings364.bin" ContentType="application/vnd.openxmlformats-officedocument.spreadsheetml.printerSettings"/>
  <Override PartName="/xl/printerSettings/printerSettings695.bin" ContentType="application/vnd.openxmlformats-officedocument.spreadsheetml.printerSettings"/>
  <Override PartName="/xl/printerSettings/printerSettings711.bin" ContentType="application/vnd.openxmlformats-officedocument.spreadsheetml.printerSettings"/>
  <Override PartName="/xl/printerSettings/printerSettings1037.bin" ContentType="application/vnd.openxmlformats-officedocument.spreadsheetml.printerSettings"/>
  <Override PartName="/xl/printerSettings/printerSettings32.bin" ContentType="application/vnd.openxmlformats-officedocument.spreadsheetml.printerSettings"/>
  <Override PartName="/xl/printerSettings/printerSettings109.bin" ContentType="application/vnd.openxmlformats-officedocument.spreadsheetml.printerSettings"/>
  <Override PartName="/xl/printerSettings/printerSettings550.bin" ContentType="application/vnd.openxmlformats-officedocument.spreadsheetml.printerSettings"/>
  <Override PartName="/xl/printerSettings/printerSettings881.bin" ContentType="application/vnd.openxmlformats-officedocument.spreadsheetml.printerSettings"/>
  <Override PartName="/xl/printerSettings/printerSettings1223.bin" ContentType="application/vnd.openxmlformats-officedocument.spreadsheetml.printerSettings"/>
  <Override PartName="/xl/printerSettings/printerSettings279.bin" ContentType="application/vnd.openxmlformats-officedocument.spreadsheetml.printerSettings"/>
  <Override PartName="/xl/printerSettings/printerSettings626.bin" ContentType="application/vnd.openxmlformats-officedocument.spreadsheetml.printerSettings"/>
  <Override PartName="/xl/printerSettings/printerSettings812.bin" ContentType="application/vnd.openxmlformats-officedocument.spreadsheetml.printerSettings"/>
  <Override PartName="/xl/printerSettings/printerSettings957.bin" ContentType="application/vnd.openxmlformats-officedocument.spreadsheetml.printerSettings"/>
  <Override PartName="/xl/printerSettings/printerSettings1062.bin" ContentType="application/vnd.openxmlformats-officedocument.spreadsheetml.printerSettings"/>
  <Override PartName="/xl/printerSettings/printerSettings134.bin" ContentType="application/vnd.openxmlformats-officedocument.spreadsheetml.printerSettings"/>
  <Override PartName="/xl/printerSettings/printerSettings320.bin" ContentType="application/vnd.openxmlformats-officedocument.spreadsheetml.printerSettings"/>
  <Override PartName="/xl/printerSettings/printerSettings465.bin" ContentType="application/vnd.openxmlformats-officedocument.spreadsheetml.printerSettings"/>
  <Override PartName="/xl/printerSettings/printerSettings651.bin" ContentType="application/vnd.openxmlformats-officedocument.spreadsheetml.printerSettings"/>
  <Override PartName="/xl/printerSettings/printerSettings796.bin" ContentType="application/vnd.openxmlformats-officedocument.spreadsheetml.printerSettings"/>
  <Override PartName="/xl/printerSettings/printerSettings1138.bin" ContentType="application/vnd.openxmlformats-officedocument.spreadsheetml.printerSettings"/>
  <Override PartName="/xl/worksheets/sheet9.xml" ContentType="application/vnd.openxmlformats-officedocument.spreadsheetml.worksheet+xml"/>
  <Override PartName="/xl/worksheets/sheet33.xml" ContentType="application/vnd.openxmlformats-officedocument.spreadsheetml.worksheet+xml"/>
  <Override PartName="/xl/printerSettings/printerSettings490.bin" ContentType="application/vnd.openxmlformats-officedocument.spreadsheetml.printerSettings"/>
  <Override PartName="/xl/printerSettings/printerSettings982.bin" ContentType="application/vnd.openxmlformats-officedocument.spreadsheetml.printerSettings"/>
  <Override PartName="/xl/printerSettings/printerSettings1163.bin" ContentType="application/vnd.openxmlformats-officedocument.spreadsheetml.printerSettings"/>
  <Override PartName="/xl/printerSettings/printerSettings235.bin" ContentType="application/vnd.openxmlformats-officedocument.spreadsheetml.printerSettings"/>
  <Override PartName="/xl/printerSettings/printerSettings727.bin" ContentType="application/vnd.openxmlformats-officedocument.spreadsheetml.printerSettings"/>
  <Override PartName="/xl/printerSettings/printerSettings913.bin" ContentType="application/vnd.openxmlformats-officedocument.spreadsheetml.printerSettings"/>
  <Override PartName="/xl/printerSettings/printerSettings48.bin" ContentType="application/vnd.openxmlformats-officedocument.spreadsheetml.printerSettings"/>
  <Override PartName="/xl/printerSettings/printerSettings421.bin" ContentType="application/vnd.openxmlformats-officedocument.spreadsheetml.printerSettings"/>
  <Override PartName="/xl/printerSettings/printerSettings566.bin" ContentType="application/vnd.openxmlformats-officedocument.spreadsheetml.printerSettings"/>
  <Override PartName="/xl/printerSettings/printerSettings752.bin" ContentType="application/vnd.openxmlformats-officedocument.spreadsheetml.printerSettings"/>
  <Override PartName="/xl/printerSettings/printerSettings897.bin" ContentType="application/vnd.openxmlformats-officedocument.spreadsheetml.printerSettings"/>
  <Override PartName="/xl/printerSettings/printerSettings1239.bin" ContentType="application/vnd.openxmlformats-officedocument.spreadsheetml.printerSettings"/>
  <Override PartName="/xl/printerSettings/printerSettings260.bin" ContentType="application/vnd.openxmlformats-officedocument.spreadsheetml.printerSettings"/>
  <Override PartName="/xl/printerSettings/printerSettings591.bin" ContentType="application/vnd.openxmlformats-officedocument.spreadsheetml.printerSettings"/>
  <Override PartName="/xl/printerSettings/printerSettings828.bin" ContentType="application/vnd.openxmlformats-officedocument.spreadsheetml.printerSettings"/>
  <Override PartName="/xl/printerSettings/printerSettings1078.bin" ContentType="application/vnd.openxmlformats-officedocument.spreadsheetml.printerSettings"/>
  <Override PartName="/xl/worksheets/sheet49.xml" ContentType="application/vnd.openxmlformats-officedocument.spreadsheetml.worksheet+xml"/>
  <Override PartName="/xl/printerSettings/printerSettings73.bin" ContentType="application/vnd.openxmlformats-officedocument.spreadsheetml.printerSettings"/>
  <Override PartName="/xl/printerSettings/printerSettings336.bin" ContentType="application/vnd.openxmlformats-officedocument.spreadsheetml.printerSettings"/>
  <Override PartName="/xl/printerSettings/printerSettings667.bin" ContentType="application/vnd.openxmlformats-officedocument.spreadsheetml.printerSettings"/>
  <Override PartName="/xl/printerSettings/printerSettings998.bin" ContentType="application/vnd.openxmlformats-officedocument.spreadsheetml.printerSettings"/>
  <Override PartName="/xl/printerSettings/printerSettings1009.bin" ContentType="application/vnd.openxmlformats-officedocument.spreadsheetml.printerSettings"/>
  <Override PartName="/xl/printerSettings/printerSettings175.bin" ContentType="application/vnd.openxmlformats-officedocument.spreadsheetml.printerSettings"/>
  <Override PartName="/xl/printerSettings/printerSettings522.bin" ContentType="application/vnd.openxmlformats-officedocument.spreadsheetml.printerSettings"/>
  <Override PartName="/xl/printerSettings/printerSettings853.bin" ContentType="application/vnd.openxmlformats-officedocument.spreadsheetml.printerSettings"/>
  <Override PartName="/xl/printerSettings/printerSettings1179.bin" ContentType="application/vnd.openxmlformats-officedocument.spreadsheetml.printerSettings"/>
  <Override PartName="/xl/worksheets/sheet74.xml" ContentType="application/vnd.openxmlformats-officedocument.spreadsheetml.worksheet+xml"/>
  <Override PartName="/xl/printerSettings/printerSettings361.bin" ContentType="application/vnd.openxmlformats-officedocument.spreadsheetml.printerSettings"/>
  <Override PartName="/xl/printerSettings/printerSettings692.bin" ContentType="application/vnd.openxmlformats-officedocument.spreadsheetml.printerSettings"/>
  <Override PartName="/xl/printerSettings/printerSettings929.bin" ContentType="application/vnd.openxmlformats-officedocument.spreadsheetml.printerSettings"/>
  <Override PartName="/xl/printerSettings/printerSettings1034.bin" ContentType="application/vnd.openxmlformats-officedocument.spreadsheetml.printerSettings"/>
  <Override PartName="/xl/printerSettings/printerSettings1220.bin" ContentType="application/vnd.openxmlformats-officedocument.spreadsheetml.printerSettings"/>
  <Override PartName="/xl/printerSettings/printerSettings106.bin" ContentType="application/vnd.openxmlformats-officedocument.spreadsheetml.printerSettings"/>
  <Override PartName="/xl/printerSettings/printerSettings437.bin" ContentType="application/vnd.openxmlformats-officedocument.spreadsheetml.printerSettings"/>
  <Override PartName="/xl/printerSettings/printerSettings623.bin" ContentType="application/vnd.openxmlformats-officedocument.spreadsheetml.printerSettings"/>
  <Override PartName="/xl/printerSettings/printerSettings768.bin" ContentType="application/vnd.openxmlformats-officedocument.spreadsheetml.printerSettings"/>
  <Override PartName="/xl/printerSettings/printerSettings954.bin" ContentType="application/vnd.openxmlformats-officedocument.spreadsheetml.printerSettings"/>
  <Override PartName="/xl/externalLinks/externalLink8.xml" ContentType="application/vnd.openxmlformats-officedocument.spreadsheetml.externalLink+xml"/>
  <Override PartName="/xl/externalLinks/externalLink19.xml" ContentType="application/vnd.openxmlformats-officedocument.spreadsheetml.externalLink+xml"/>
  <Override PartName="/xl/printerSettings/printerSettings89.bin" ContentType="application/vnd.openxmlformats-officedocument.spreadsheetml.printerSettings"/>
  <Override PartName="/xl/printerSettings/printerSettings131.bin" ContentType="application/vnd.openxmlformats-officedocument.spreadsheetml.printerSettings"/>
  <Override PartName="/xl/printerSettings/printerSettings276.bin" ContentType="application/vnd.openxmlformats-officedocument.spreadsheetml.printerSettings"/>
  <Override PartName="/xl/printerSettings/printerSettings462.bin" ContentType="application/vnd.openxmlformats-officedocument.spreadsheetml.printerSettings"/>
  <Override PartName="/xl/printerSettings/printerSettings793.bin" ContentType="application/vnd.openxmlformats-officedocument.spreadsheetml.printerSettings"/>
  <Override PartName="/xl/printerSettings/printerSettings1135.bin" ContentType="application/vnd.openxmlformats-officedocument.spreadsheetml.printerSettings"/>
  <Override PartName="/xl/worksheets/sheet6.xml" ContentType="application/vnd.openxmlformats-officedocument.spreadsheetml.worksheet+xml"/>
  <Override PartName="/xl/worksheets/sheet30.xml" ContentType="application/vnd.openxmlformats-officedocument.spreadsheetml.worksheet+xml"/>
  <Override PartName="/xl/printerSettings/printerSettings207.bin" ContentType="application/vnd.openxmlformats-officedocument.spreadsheetml.printerSettings"/>
  <Override PartName="/xl/printerSettings/printerSettings538.bin" ContentType="application/vnd.openxmlformats-officedocument.spreadsheetml.printerSettings"/>
  <Override PartName="/xl/printerSettings/printerSettings377.bin" ContentType="application/vnd.openxmlformats-officedocument.spreadsheetml.printerSettings"/>
  <Override PartName="/xl/printerSettings/printerSettings724.bin" ContentType="application/vnd.openxmlformats-officedocument.spreadsheetml.printerSettings"/>
  <Override PartName="/xl/printerSettings/printerSettings869.bin" ContentType="application/vnd.openxmlformats-officedocument.spreadsheetml.printerSettings"/>
  <Override PartName="/xl/printerSettings/printerSettings1160.bin" ContentType="application/vnd.openxmlformats-officedocument.spreadsheetml.printerSettings"/>
  <Override PartName="/xl/printerSettings/printerSettings45.bin" ContentType="application/vnd.openxmlformats-officedocument.spreadsheetml.printerSettings"/>
  <Override PartName="/xl/printerSettings/printerSettings232.bin" ContentType="application/vnd.openxmlformats-officedocument.spreadsheetml.printerSettings"/>
  <Override PartName="/xl/printerSettings/printerSettings563.bin" ContentType="application/vnd.openxmlformats-officedocument.spreadsheetml.printerSettings"/>
  <Override PartName="/xl/printerSettings/printerSettings894.bin" ContentType="application/vnd.openxmlformats-officedocument.spreadsheetml.printerSettings"/>
  <Override PartName="/xl/printerSettings/printerSettings910.bin" ContentType="application/vnd.openxmlformats-officedocument.spreadsheetml.printerSettings"/>
  <Override PartName="/xl/printerSettings/printerSettings1236.bin" ContentType="application/vnd.openxmlformats-officedocument.spreadsheetml.printerSettings"/>
  <Override PartName="/xl/printerSettings/printerSettings308.bin" ContentType="application/vnd.openxmlformats-officedocument.spreadsheetml.printerSettings"/>
  <Override PartName="/xl/printerSettings/printerSettings639.bin" ContentType="application/vnd.openxmlformats-officedocument.spreadsheetml.printerSettings"/>
  <Override PartName="/xl/printerSettings/printerSettings1075.bin" ContentType="application/vnd.openxmlformats-officedocument.spreadsheetml.printerSettings"/>
  <Override PartName="/xl/printerSettings/printerSettings70.bin" ContentType="application/vnd.openxmlformats-officedocument.spreadsheetml.printerSettings"/>
  <Override PartName="/xl/printerSettings/printerSettings147.bin" ContentType="application/vnd.openxmlformats-officedocument.spreadsheetml.printerSettings"/>
  <Override PartName="/xl/printerSettings/printerSettings333.bin" ContentType="application/vnd.openxmlformats-officedocument.spreadsheetml.printerSettings"/>
  <Override PartName="/xl/printerSettings/printerSettings478.bin" ContentType="application/vnd.openxmlformats-officedocument.spreadsheetml.printerSettings"/>
  <Override PartName="/xl/printerSettings/printerSettings825.bin" ContentType="application/vnd.openxmlformats-officedocument.spreadsheetml.printerSettings"/>
  <Override PartName="/xl/worksheets/sheet46.xml" ContentType="application/vnd.openxmlformats-officedocument.spreadsheetml.worksheet+xml"/>
  <Override PartName="/xl/printerSettings/printerSettings172.bin" ContentType="application/vnd.openxmlformats-officedocument.spreadsheetml.printerSettings"/>
  <Override PartName="/xl/printerSettings/printerSettings664.bin" ContentType="application/vnd.openxmlformats-officedocument.spreadsheetml.printerSettings"/>
  <Override PartName="/xl/printerSettings/printerSettings850.bin" ContentType="application/vnd.openxmlformats-officedocument.spreadsheetml.printerSettings"/>
  <Override PartName="/xl/printerSettings/printerSettings995.bin" ContentType="application/vnd.openxmlformats-officedocument.spreadsheetml.printerSettings"/>
  <Override PartName="/xl/printerSettings/printerSettings1006.bin" ContentType="application/vnd.openxmlformats-officedocument.spreadsheetml.printerSettings"/>
  <Override PartName="/xl/worksheets/sheet71.xml" ContentType="application/vnd.openxmlformats-officedocument.spreadsheetml.worksheet+xml"/>
  <Override PartName="/xl/printerSettings/printerSettings409.bin" ContentType="application/vnd.openxmlformats-officedocument.spreadsheetml.printerSettings"/>
  <Override PartName="/xl/printerSettings/printerSettings926.bin" ContentType="application/vnd.openxmlformats-officedocument.spreadsheetml.printerSettings"/>
  <Override PartName="/xl/printerSettings/printerSettings1031.bin" ContentType="application/vnd.openxmlformats-officedocument.spreadsheetml.printerSettings"/>
  <Override PartName="/xl/printerSettings/printerSettings1176.bin" ContentType="application/vnd.openxmlformats-officedocument.spreadsheetml.printerSettings"/>
  <Override PartName="/xl/printerSettings/printerSettings103.bin" ContentType="application/vnd.openxmlformats-officedocument.spreadsheetml.printerSettings"/>
  <Override PartName="/xl/printerSettings/printerSettings248.bin" ContentType="application/vnd.openxmlformats-officedocument.spreadsheetml.printerSettings"/>
  <Override PartName="/xl/printerSettings/printerSettings434.bin" ContentType="application/vnd.openxmlformats-officedocument.spreadsheetml.printerSettings"/>
  <Override PartName="/xl/printerSettings/printerSettings579.bin" ContentType="application/vnd.openxmlformats-officedocument.spreadsheetml.printerSettings"/>
  <Override PartName="/xl/printerSettings/printerSettings765.bin" ContentType="application/vnd.openxmlformats-officedocument.spreadsheetml.printerSettings"/>
  <Override PartName="/xl/printerSettings/printerSettings1107.bin" ContentType="application/vnd.openxmlformats-officedocument.spreadsheetml.printerSettings"/>
  <Override PartName="/xl/printerSettings/printerSettings273.bin" ContentType="application/vnd.openxmlformats-officedocument.spreadsheetml.printerSettings"/>
  <Override PartName="/xl/printerSettings/printerSettings620.bin" ContentType="application/vnd.openxmlformats-officedocument.spreadsheetml.printerSettings"/>
  <Override PartName="/xl/printerSettings/printerSettings951.bin" ContentType="application/vnd.openxmlformats-officedocument.spreadsheetml.printerSettings"/>
  <Override PartName="/xl/externalLinks/externalLink5.xml" ContentType="application/vnd.openxmlformats-officedocument.spreadsheetml.externalLink+xml"/>
  <Override PartName="/xl/externalLinks/externalLink16.xml" ContentType="application/vnd.openxmlformats-officedocument.spreadsheetml.externalLink+xml"/>
  <Override PartName="/xl/printerSettings/printerSettings86.bin" ContentType="application/vnd.openxmlformats-officedocument.spreadsheetml.printerSettings"/>
  <Override PartName="/xl/printerSettings/printerSettings349.bin" ContentType="application/vnd.openxmlformats-officedocument.spreadsheetml.printerSettings"/>
  <Override PartName="/xl/printerSettings/printerSettings790.bin" ContentType="application/vnd.openxmlformats-officedocument.spreadsheetml.printerSettings"/>
  <Override PartName="/xl/printerSettings/printerSettings1132.bin" ContentType="application/vnd.openxmlformats-officedocument.spreadsheetml.printerSettings"/>
  <Override PartName="/xl/worksheets/sheet3.xml" ContentType="application/vnd.openxmlformats-officedocument.spreadsheetml.worksheet+xml"/>
  <Override PartName="/xl/printerSettings/printerSettings17.bin" ContentType="application/vnd.openxmlformats-officedocument.spreadsheetml.printerSettings"/>
  <Override PartName="/xl/printerSettings/printerSettings188.bin" ContentType="application/vnd.openxmlformats-officedocument.spreadsheetml.printerSettings"/>
  <Override PartName="/xl/printerSettings/printerSettings204.bin" ContentType="application/vnd.openxmlformats-officedocument.spreadsheetml.printerSettings"/>
  <Override PartName="/xl/printerSettings/printerSettings535.bin" ContentType="application/vnd.openxmlformats-officedocument.spreadsheetml.printerSettings"/>
  <Override PartName="/xl/printerSettings/printerSettings721.bin" ContentType="application/vnd.openxmlformats-officedocument.spreadsheetml.printerSettings"/>
  <Override PartName="/xl/printerSettings/printerSettings866.bin" ContentType="application/vnd.openxmlformats-officedocument.spreadsheetml.printerSettings"/>
  <Override PartName="/xl/printerSettings/printerSettings1208.bin" ContentType="application/vnd.openxmlformats-officedocument.spreadsheetml.printerSettings"/>
  <Override PartName="/xl/printerSettings/printerSettings374.bin" ContentType="application/vnd.openxmlformats-officedocument.spreadsheetml.printerSettings"/>
  <Override PartName="/xl/printerSettings/printerSettings560.bin" ContentType="application/vnd.openxmlformats-officedocument.spreadsheetml.printerSettings"/>
  <Override PartName="/xl/printerSettings/printerSettings1047.bin" ContentType="application/vnd.openxmlformats-officedocument.spreadsheetml.printerSettings"/>
  <Override PartName="/xl/printerSettings/printerSettings1233.bin" ContentType="application/vnd.openxmlformats-officedocument.spreadsheetml.printerSettings"/>
  <Override PartName="/xl/printerSettings/printerSettings42.bin" ContentType="application/vnd.openxmlformats-officedocument.spreadsheetml.printerSettings"/>
  <Override PartName="/xl/printerSettings/printerSettings119.bin" ContentType="application/vnd.openxmlformats-officedocument.spreadsheetml.printerSettings"/>
  <Override PartName="/xl/printerSettings/printerSettings305.bin" ContentType="application/vnd.openxmlformats-officedocument.spreadsheetml.printerSettings"/>
  <Override PartName="/xl/printerSettings/printerSettings891.bin" ContentType="application/vnd.openxmlformats-officedocument.spreadsheetml.printerSettings"/>
  <Override PartName="/xl/printerSettings/printerSettings1072.bin" ContentType="application/vnd.openxmlformats-officedocument.spreadsheetml.printerSettings"/>
  <Override PartName="/xl/worksheets/sheet18.xml" ContentType="application/vnd.openxmlformats-officedocument.spreadsheetml.worksheet+xml"/>
  <Override PartName="/xl/printerSettings/printerSettings144.bin" ContentType="application/vnd.openxmlformats-officedocument.spreadsheetml.printerSettings"/>
  <Override PartName="/xl/printerSettings/printerSettings289.bin" ContentType="application/vnd.openxmlformats-officedocument.spreadsheetml.printerSettings"/>
  <Override PartName="/xl/printerSettings/printerSettings636.bin" ContentType="application/vnd.openxmlformats-officedocument.spreadsheetml.printerSettings"/>
  <Override PartName="/xl/printerSettings/printerSettings822.bin" ContentType="application/vnd.openxmlformats-officedocument.spreadsheetml.printerSettings"/>
  <Override PartName="/xl/printerSettings/printerSettings967.bin" ContentType="application/vnd.openxmlformats-officedocument.spreadsheetml.printerSettings"/>
  <Override PartName="/xl/worksheets/sheet43.xml" ContentType="application/vnd.openxmlformats-officedocument.spreadsheetml.worksheet+xml"/>
  <Override PartName="/xl/printerSettings/printerSettings330.bin" ContentType="application/vnd.openxmlformats-officedocument.spreadsheetml.printerSettings"/>
  <Override PartName="/xl/printerSettings/printerSettings475.bin" ContentType="application/vnd.openxmlformats-officedocument.spreadsheetml.printerSettings"/>
  <Override PartName="/xl/printerSettings/printerSettings661.bin" ContentType="application/vnd.openxmlformats-officedocument.spreadsheetml.printerSettings"/>
  <Override PartName="/xl/printerSettings/printerSettings992.bin" ContentType="application/vnd.openxmlformats-officedocument.spreadsheetml.printerSettings"/>
  <Override PartName="/xl/printerSettings/printerSettings1003.bin" ContentType="application/vnd.openxmlformats-officedocument.spreadsheetml.printerSettings"/>
  <Override PartName="/xl/printerSettings/printerSettings1148.bin" ContentType="application/vnd.openxmlformats-officedocument.spreadsheetml.printerSettings"/>
  <Override PartName="/xl/printerSettings/printerSettings406.bin" ContentType="application/vnd.openxmlformats-officedocument.spreadsheetml.printerSettings"/>
  <Override PartName="/xl/printerSettings/printerSettings737.bin" ContentType="application/vnd.openxmlformats-officedocument.spreadsheetml.printerSettings"/>
  <Override PartName="/xl/printerSettings/printerSettings1173.bin" ContentType="application/vnd.openxmlformats-officedocument.spreadsheetml.printerSettings"/>
  <Override PartName="/xl/printerSettings/printerSettings100.bin" ContentType="application/vnd.openxmlformats-officedocument.spreadsheetml.printerSettings"/>
  <Override PartName="/xl/printerSettings/printerSettings245.bin" ContentType="application/vnd.openxmlformats-officedocument.spreadsheetml.printerSettings"/>
  <Override PartName="/xl/printerSettings/printerSettings576.bin" ContentType="application/vnd.openxmlformats-officedocument.spreadsheetml.printerSettings"/>
  <Override PartName="/xl/printerSettings/printerSettings923.bin" ContentType="application/vnd.openxmlformats-officedocument.spreadsheetml.printerSettings"/>
  <Override PartName="/xl/printerSettings/printerSettings58.bin" ContentType="application/vnd.openxmlformats-officedocument.spreadsheetml.printerSettings"/>
  <Override PartName="/xl/printerSettings/printerSettings431.bin" ContentType="application/vnd.openxmlformats-officedocument.spreadsheetml.printerSettings"/>
  <Override PartName="/xl/printerSettings/printerSettings762.bin" ContentType="application/vnd.openxmlformats-officedocument.spreadsheetml.printerSettings"/>
  <Override PartName="/xl/printerSettings/printerSettings1088.bin" ContentType="application/vnd.openxmlformats-officedocument.spreadsheetml.printerSettings"/>
  <Override PartName="/xl/printerSettings/printerSettings1104.bin" ContentType="application/vnd.openxmlformats-officedocument.spreadsheetml.printerSettings"/>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13.xml" ContentType="application/vnd.openxmlformats-officedocument.spreadsheetml.externalLink+xml"/>
  <Override PartName="/xl/printerSettings/printerSettings83.bin" ContentType="application/vnd.openxmlformats-officedocument.spreadsheetml.printerSettings"/>
  <Override PartName="/xl/printerSettings/printerSettings270.bin" ContentType="application/vnd.openxmlformats-officedocument.spreadsheetml.printerSettings"/>
  <Override PartName="/xl/printerSettings/printerSettings507.bin" ContentType="application/vnd.openxmlformats-officedocument.spreadsheetml.printerSettings"/>
  <Override PartName="/xl/printerSettings/printerSettings838.bin" ContentType="application/vnd.openxmlformats-officedocument.spreadsheetml.printerSettings"/>
  <Override PartName="/xl/worksheets/sheet59.xml" ContentType="application/vnd.openxmlformats-officedocument.spreadsheetml.worksheet+xml"/>
  <Override PartName="/xl/printerSettings/printerSettings7.bin" ContentType="application/vnd.openxmlformats-officedocument.spreadsheetml.printerSettings"/>
  <Override PartName="/xl/printerSettings/printerSettings201.bin" ContentType="application/vnd.openxmlformats-officedocument.spreadsheetml.printerSettings"/>
  <Override PartName="/xl/printerSettings/printerSettings346.bin" ContentType="application/vnd.openxmlformats-officedocument.spreadsheetml.printerSettings"/>
  <Override PartName="/xl/printerSettings/printerSettings532.bin" ContentType="application/vnd.openxmlformats-officedocument.spreadsheetml.printerSettings"/>
  <Override PartName="/xl/printerSettings/printerSettings677.bin" ContentType="application/vnd.openxmlformats-officedocument.spreadsheetml.printerSettings"/>
  <Override PartName="/xl/printerSettings/printerSettings863.bin" ContentType="application/vnd.openxmlformats-officedocument.spreadsheetml.printerSettings"/>
  <Override PartName="/xl/printerSettings/printerSettings1019.bin" ContentType="application/vnd.openxmlformats-officedocument.spreadsheetml.printerSettings"/>
  <Override PartName="/xl/printerSettings/printerSettings1205.bin" ContentType="application/vnd.openxmlformats-officedocument.spreadsheetml.printerSettings"/>
  <Override PartName="/xl/printerSettings/printerSettings14.bin" ContentType="application/vnd.openxmlformats-officedocument.spreadsheetml.printerSettings"/>
  <Override PartName="/xl/printerSettings/printerSettings185.bin" ContentType="application/vnd.openxmlformats-officedocument.spreadsheetml.printerSettings"/>
  <Override PartName="/xl/printerSettings/printerSettings371.bin" ContentType="application/vnd.openxmlformats-officedocument.spreadsheetml.printerSettings"/>
  <Override PartName="/xl/printerSettings/printerSettings608.bin" ContentType="application/vnd.openxmlformats-officedocument.spreadsheetml.printerSettings"/>
  <Override PartName="/xl/printerSettings/printerSettings1044.bin" ContentType="application/vnd.openxmlformats-officedocument.spreadsheetml.printerSettings"/>
  <Override PartName="/xl/printerSettings/printerSettings1189.bin" ContentType="application/vnd.openxmlformats-officedocument.spreadsheetml.printerSettings"/>
  <Override PartName="/xl/worksheets/sheet84.xml" ContentType="application/vnd.openxmlformats-officedocument.spreadsheetml.worksheet+xml"/>
  <Override PartName="/xl/printerSettings/printerSettings116.bin" ContentType="application/vnd.openxmlformats-officedocument.spreadsheetml.printerSettings"/>
  <Override PartName="/xl/printerSettings/printerSettings447.bin" ContentType="application/vnd.openxmlformats-officedocument.spreadsheetml.printerSettings"/>
  <Override PartName="/xl/printerSettings/printerSettings939.bin" ContentType="application/vnd.openxmlformats-officedocument.spreadsheetml.printerSettings"/>
  <Override PartName="/xl/printerSettings/printerSettings1230.bin" ContentType="application/vnd.openxmlformats-officedocument.spreadsheetml.printerSettings"/>
  <Override PartName="/xl/worksheets/sheet15.xml" ContentType="application/vnd.openxmlformats-officedocument.spreadsheetml.worksheet+xml"/>
  <Override PartName="/xl/printerSettings/printerSettings286.bin" ContentType="application/vnd.openxmlformats-officedocument.spreadsheetml.printerSettings"/>
  <Override PartName="/xl/printerSettings/printerSettings302.bin" ContentType="application/vnd.openxmlformats-officedocument.spreadsheetml.printerSettings"/>
  <Override PartName="/xl/printerSettings/printerSettings633.bin" ContentType="application/vnd.openxmlformats-officedocument.spreadsheetml.printerSettings"/>
  <Override PartName="/xl/printerSettings/printerSettings778.bin" ContentType="application/vnd.openxmlformats-officedocument.spreadsheetml.printerSettings"/>
  <Override PartName="/xl/printerSettings/printerSettings964.bin" ContentType="application/vnd.openxmlformats-officedocument.spreadsheetml.printerSettings"/>
  <Override PartName="/xl/externalLinks/externalLink29.xml" ContentType="application/vnd.openxmlformats-officedocument.spreadsheetml.externalLink+xml"/>
  <Override PartName="/xl/printerSettings/printerSettings99.bin" ContentType="application/vnd.openxmlformats-officedocument.spreadsheetml.printerSettings"/>
  <Override PartName="/xl/printerSettings/printerSettings141.bin" ContentType="application/vnd.openxmlformats-officedocument.spreadsheetml.printerSettings"/>
  <Override PartName="/xl/printerSettings/printerSettings472.bin" ContentType="application/vnd.openxmlformats-officedocument.spreadsheetml.printerSettings"/>
  <Override PartName="/xl/printerSettings/printerSettings709.bin" ContentType="application/vnd.openxmlformats-officedocument.spreadsheetml.printerSettings"/>
  <Override PartName="/xl/printerSettings/printerSettings1000.bin" ContentType="application/vnd.openxmlformats-officedocument.spreadsheetml.printerSettings"/>
  <Override PartName="/xl/printerSettings/printerSettings1145.bin" ContentType="application/vnd.openxmlformats-officedocument.spreadsheetml.printerSettings"/>
  <Override PartName="/xl/worksheets/sheet40.xml" ContentType="application/vnd.openxmlformats-officedocument.spreadsheetml.worksheet+xml"/>
  <Override PartName="/xl/printerSettings/printerSettings217.bin" ContentType="application/vnd.openxmlformats-officedocument.spreadsheetml.printerSettings"/>
  <Override PartName="/xl/printerSettings/printerSettings403.bin" ContentType="application/vnd.openxmlformats-officedocument.spreadsheetml.printerSettings"/>
  <Override PartName="/xl/printerSettings/printerSettings548.bin" ContentType="application/vnd.openxmlformats-officedocument.spreadsheetml.printerSettings"/>
  <Override PartName="/xl/printerSettings/printerSettings879.bin" ContentType="application/vnd.openxmlformats-officedocument.spreadsheetml.printerSettings"/>
  <Override PartName="/xl/printerSettings/printerSettings242.bin" ContentType="application/vnd.openxmlformats-officedocument.spreadsheetml.printerSettings"/>
  <Override PartName="/xl/printerSettings/printerSettings387.bin" ContentType="application/vnd.openxmlformats-officedocument.spreadsheetml.printerSettings"/>
  <Override PartName="/xl/printerSettings/printerSettings734.bin" ContentType="application/vnd.openxmlformats-officedocument.spreadsheetml.printerSettings"/>
  <Override PartName="/xl/printerSettings/printerSettings920.bin" ContentType="application/vnd.openxmlformats-officedocument.spreadsheetml.printerSettings"/>
  <Override PartName="/xl/printerSettings/printerSettings1170.bin" ContentType="application/vnd.openxmlformats-officedocument.spreadsheetml.printerSettings"/>
  <Override PartName="/xl/printerSettings/printerSettings55.bin" ContentType="application/vnd.openxmlformats-officedocument.spreadsheetml.printerSettings"/>
  <Override PartName="/xl/printerSettings/printerSettings573.bin" ContentType="application/vnd.openxmlformats-officedocument.spreadsheetml.printerSettings"/>
  <Override PartName="/xl/printerSettings/printerSettings1101.bin" ContentType="application/vnd.openxmlformats-officedocument.spreadsheetml.printerSettings"/>
  <Override PartName="/xl/comments2.xml" ContentType="application/vnd.openxmlformats-officedocument.spreadsheetml.comments+xml"/>
  <Override PartName="/xl/printerSettings/printerSettings1246.bin" ContentType="application/vnd.openxmlformats-officedocument.spreadsheetml.printerSettings"/>
  <Override PartName="/xl/printerSettings/printerSettings318.bin" ContentType="application/vnd.openxmlformats-officedocument.spreadsheetml.printerSettings"/>
  <Override PartName="/xl/printerSettings/printerSettings504.bin" ContentType="application/vnd.openxmlformats-officedocument.spreadsheetml.printerSettings"/>
  <Override PartName="/xl/printerSettings/printerSettings649.bin" ContentType="application/vnd.openxmlformats-officedocument.spreadsheetml.printerSettings"/>
  <Override PartName="/xl/printerSettings/printerSettings835.bin" ContentType="application/vnd.openxmlformats-officedocument.spreadsheetml.printerSettings"/>
  <Override PartName="/xl/printerSettings/printerSettings1085.bin" ContentType="application/vnd.openxmlformats-officedocument.spreadsheetml.printerSettings"/>
  <Override PartName="/xl/externalLinks/externalLink10.xml" ContentType="application/vnd.openxmlformats-officedocument.spreadsheetml.externalLink+xml"/>
  <Override PartName="/xl/printerSettings/printerSettings4.bin" ContentType="application/vnd.openxmlformats-officedocument.spreadsheetml.printerSettings"/>
  <Override PartName="/xl/printerSettings/printerSettings80.bin" ContentType="application/vnd.openxmlformats-officedocument.spreadsheetml.printerSettings"/>
  <Override PartName="/xl/printerSettings/printerSettings157.bin" ContentType="application/vnd.openxmlformats-officedocument.spreadsheetml.printerSettings"/>
  <Override PartName="/xl/printerSettings/printerSettings343.bin" ContentType="application/vnd.openxmlformats-officedocument.spreadsheetml.printerSettings"/>
  <Override PartName="/xl/printerSettings/printerSettings488.bin" ContentType="application/vnd.openxmlformats-officedocument.spreadsheetml.printerSettings"/>
  <Override PartName="/xl/printerSettings/printerSettings674.bin" ContentType="application/vnd.openxmlformats-officedocument.spreadsheetml.printerSettings"/>
  <Override PartName="/xl/printerSettings/printerSettings1016.bin" ContentType="application/vnd.openxmlformats-officedocument.spreadsheetml.printerSettings"/>
  <Override PartName="/xl/worksheets/sheet56.xml" ContentType="application/vnd.openxmlformats-officedocument.spreadsheetml.worksheet+xml"/>
  <Override PartName="/xl/printerSettings/printerSettings11.bin" ContentType="application/vnd.openxmlformats-officedocument.spreadsheetml.printerSettings"/>
  <Override PartName="/xl/printerSettings/printerSettings182.bin" ContentType="application/vnd.openxmlformats-officedocument.spreadsheetml.printerSettings"/>
  <Override PartName="/xl/printerSettings/printerSettings419.bin" ContentType="application/vnd.openxmlformats-officedocument.spreadsheetml.printerSettings"/>
  <Override PartName="/xl/printerSettings/printerSettings860.bin" ContentType="application/vnd.openxmlformats-officedocument.spreadsheetml.printerSettings"/>
  <Override PartName="/xl/printerSettings/printerSettings1186.bin" ContentType="application/vnd.openxmlformats-officedocument.spreadsheetml.printerSettings"/>
  <Override PartName="/xl/printerSettings/printerSettings1202.bin" ContentType="application/vnd.openxmlformats-officedocument.spreadsheetml.printerSettings"/>
  <Override PartName="/xl/worksheets/sheet81.xml" ContentType="application/vnd.openxmlformats-officedocument.spreadsheetml.worksheet+xml"/>
  <Override PartName="/xl/printerSettings/printerSettings258.bin" ContentType="application/vnd.openxmlformats-officedocument.spreadsheetml.printerSettings"/>
  <Override PartName="/xl/printerSettings/printerSettings589.bin" ContentType="application/vnd.openxmlformats-officedocument.spreadsheetml.printerSettings"/>
  <Override PartName="/xl/printerSettings/printerSettings605.bin" ContentType="application/vnd.openxmlformats-officedocument.spreadsheetml.printerSettings"/>
  <Override PartName="/xl/printerSettings/printerSettings936.bin" ContentType="application/vnd.openxmlformats-officedocument.spreadsheetml.printerSettings"/>
  <Override PartName="/xl/printerSettings/printerSettings1041.bin" ContentType="application/vnd.openxmlformats-officedocument.spreadsheetml.printerSettings"/>
  <Override PartName="/xl/printerSettings/printerSettings113.bin" ContentType="application/vnd.openxmlformats-officedocument.spreadsheetml.printerSettings"/>
  <Override PartName="/xl/printerSettings/printerSettings444.bin" ContentType="application/vnd.openxmlformats-officedocument.spreadsheetml.printerSettings"/>
  <Override PartName="/xl/printerSettings/printerSettings630.bin" ContentType="application/vnd.openxmlformats-officedocument.spreadsheetml.printerSettings"/>
  <Override PartName="/xl/printerSettings/printerSettings775.bin" ContentType="application/vnd.openxmlformats-officedocument.spreadsheetml.printerSettings"/>
  <Override PartName="/xl/printerSettings/printerSettings1117.bin" ContentType="application/vnd.openxmlformats-officedocument.spreadsheetml.printerSettings"/>
  <Override PartName="/xl/worksheets/sheet12.xml" ContentType="application/vnd.openxmlformats-officedocument.spreadsheetml.worksheet+xml"/>
  <Override PartName="/xl/printerSettings/printerSettings283.bin" ContentType="application/vnd.openxmlformats-officedocument.spreadsheetml.printerSettings"/>
  <Override PartName="/xl/printerSettings/printerSettings961.bin" ContentType="application/vnd.openxmlformats-officedocument.spreadsheetml.printerSettings"/>
  <Override PartName="/xl/printerSettings/printerSettings1142.bin" ContentType="application/vnd.openxmlformats-officedocument.spreadsheetml.printerSettings"/>
  <Override PartName="/xl/externalLinks/externalLink26.xml" ContentType="application/vnd.openxmlformats-officedocument.spreadsheetml.externalLink+xml"/>
  <Override PartName="/xl/printerSettings/printerSettings96.bin" ContentType="application/vnd.openxmlformats-officedocument.spreadsheetml.printerSettings"/>
  <Override PartName="/xl/printerSettings/printerSettings214.bin" ContentType="application/vnd.openxmlformats-officedocument.spreadsheetml.printerSettings"/>
  <Override PartName="/xl/printerSettings/printerSettings359.bin" ContentType="application/vnd.openxmlformats-officedocument.spreadsheetml.printerSettings"/>
  <Override PartName="/xl/printerSettings/printerSettings706.bin" ContentType="application/vnd.openxmlformats-officedocument.spreadsheetml.printerSettings"/>
  <Override PartName="/xl/printerSettings/printerSettings27.bin" ContentType="application/vnd.openxmlformats-officedocument.spreadsheetml.printerSettings"/>
  <Override PartName="/xl/printerSettings/printerSettings198.bin" ContentType="application/vnd.openxmlformats-officedocument.spreadsheetml.printerSettings"/>
  <Override PartName="/xl/printerSettings/printerSettings400.bin" ContentType="application/vnd.openxmlformats-officedocument.spreadsheetml.printerSettings"/>
  <Override PartName="/xl/printerSettings/printerSettings545.bin" ContentType="application/vnd.openxmlformats-officedocument.spreadsheetml.printerSettings"/>
  <Override PartName="/xl/printerSettings/printerSettings731.bin" ContentType="application/vnd.openxmlformats-officedocument.spreadsheetml.printerSettings"/>
  <Override PartName="/xl/printerSettings/printerSettings876.bin" ContentType="application/vnd.openxmlformats-officedocument.spreadsheetml.printerSettings"/>
  <Override PartName="/xl/printerSettings/printerSettings1218.bin" ContentType="application/vnd.openxmlformats-officedocument.spreadsheetml.printerSettings"/>
  <Override PartName="/xl/printerSettings/printerSettings384.bin" ContentType="application/vnd.openxmlformats-officedocument.spreadsheetml.printerSettings"/>
  <Override PartName="/xl/printerSettings/printerSettings570.bin" ContentType="application/vnd.openxmlformats-officedocument.spreadsheetml.printerSettings"/>
  <Override PartName="/xl/printerSettings/printerSettings807.bin" ContentType="application/vnd.openxmlformats-officedocument.spreadsheetml.printerSettings"/>
  <Override PartName="/xl/printerSettings/printerSettings1057.bin" ContentType="application/vnd.openxmlformats-officedocument.spreadsheetml.printerSettings"/>
  <Override PartName="/xl/printerSettings/printerSettings1243.bin" ContentType="application/vnd.openxmlformats-officedocument.spreadsheetml.printerSettings"/>
  <Override PartName="/xl/worksheets/sheet28.xml" ContentType="application/vnd.openxmlformats-officedocument.spreadsheetml.worksheet+xml"/>
  <Override PartName="/xl/printerSettings/printerSettings52.bin" ContentType="application/vnd.openxmlformats-officedocument.spreadsheetml.printerSettings"/>
  <Override PartName="/xl/printerSettings/printerSettings129.bin" ContentType="application/vnd.openxmlformats-officedocument.spreadsheetml.printerSettings"/>
  <Override PartName="/xl/printerSettings/printerSettings315.bin" ContentType="application/vnd.openxmlformats-officedocument.spreadsheetml.printerSettings"/>
  <Override PartName="/xl/printerSettings/printerSettings646.bin" ContentType="application/vnd.openxmlformats-officedocument.spreadsheetml.printerSettings"/>
  <Override PartName="/xl/printerSettings/printerSettings977.bin" ContentType="application/vnd.openxmlformats-officedocument.spreadsheetml.printerSettings"/>
  <Override PartName="/xl/printerSettings/printerSettings1082.bin" ContentType="application/vnd.openxmlformats-officedocument.spreadsheetml.printerSettings"/>
  <Override PartName="/xl/printerSettings/printerSettings154.bin" ContentType="application/vnd.openxmlformats-officedocument.spreadsheetml.printerSettings"/>
  <Override PartName="/xl/printerSettings/printerSettings299.bin" ContentType="application/vnd.openxmlformats-officedocument.spreadsheetml.printerSettings"/>
  <Override PartName="/xl/printerSettings/printerSettings485.bin" ContentType="application/vnd.openxmlformats-officedocument.spreadsheetml.printerSettings"/>
  <Override PartName="/xl/printerSettings/printerSettings501.bin" ContentType="application/vnd.openxmlformats-officedocument.spreadsheetml.printerSettings"/>
  <Override PartName="/xl/printerSettings/printerSettings832.bin" ContentType="application/vnd.openxmlformats-officedocument.spreadsheetml.printerSettings"/>
  <Override PartName="/xl/printerSettings/printerSettings1158.bin" ContentType="application/vnd.openxmlformats-officedocument.spreadsheetml.printerSettings"/>
  <Override PartName="/xl/worksheets/sheet53.xml" ContentType="application/vnd.openxmlformats-officedocument.spreadsheetml.worksheet+xml"/>
  <Override PartName="/xl/printerSettings/printerSettings1.bin" ContentType="application/vnd.openxmlformats-officedocument.spreadsheetml.printerSettings"/>
  <Override PartName="/xl/printerSettings/printerSettings340.bin" ContentType="application/vnd.openxmlformats-officedocument.spreadsheetml.printerSettings"/>
  <Override PartName="/xl/printerSettings/printerSettings671.bin" ContentType="application/vnd.openxmlformats-officedocument.spreadsheetml.printerSettings"/>
  <Override PartName="/xl/printerSettings/printerSettings908.bin" ContentType="application/vnd.openxmlformats-officedocument.spreadsheetml.printerSettings"/>
  <Override PartName="/xl/printerSettings/printerSettings1013.bin" ContentType="application/vnd.openxmlformats-officedocument.spreadsheetml.printerSettings"/>
  <Override PartName="/xl/printerSettings/printerSettings416.bin" ContentType="application/vnd.openxmlformats-officedocument.spreadsheetml.printerSettings"/>
  <Override PartName="/xl/printerSettings/printerSettings602.bin" ContentType="application/vnd.openxmlformats-officedocument.spreadsheetml.printerSettings"/>
  <Override PartName="/xl/printerSettings/printerSettings747.bin" ContentType="application/vnd.openxmlformats-officedocument.spreadsheetml.printerSettings"/>
  <Override PartName="/xl/printerSettings/printerSettings933.bin" ContentType="application/vnd.openxmlformats-officedocument.spreadsheetml.printerSettings"/>
  <Override PartName="/xl/printerSettings/printerSettings1183.bin" ContentType="application/vnd.openxmlformats-officedocument.spreadsheetml.printerSettings"/>
  <Override PartName="/xl/printerSettings/printerSettings68.bin" ContentType="application/vnd.openxmlformats-officedocument.spreadsheetml.printerSettings"/>
  <Override PartName="/xl/printerSettings/printerSettings110.bin" ContentType="application/vnd.openxmlformats-officedocument.spreadsheetml.printerSettings"/>
  <Override PartName="/xl/printerSettings/printerSettings255.bin" ContentType="application/vnd.openxmlformats-officedocument.spreadsheetml.printerSettings"/>
  <Override PartName="/xl/printerSettings/printerSettings441.bin" ContentType="application/vnd.openxmlformats-officedocument.spreadsheetml.printerSettings"/>
  <Override PartName="/xl/printerSettings/printerSettings586.bin" ContentType="application/vnd.openxmlformats-officedocument.spreadsheetml.printerSettings"/>
  <Override PartName="/xl/printerSettings/printerSettings772.bin" ContentType="application/vnd.openxmlformats-officedocument.spreadsheetml.printerSettings"/>
  <Override PartName="/xl/printerSettings/printerSettings1114.bin" ContentType="application/vnd.openxmlformats-officedocument.spreadsheetml.printerSettings"/>
  <Override PartName="/xl/printerSettings/printerSettings280.bin" ContentType="application/vnd.openxmlformats-officedocument.spreadsheetml.printerSettings"/>
  <Override PartName="/xl/printerSettings/printerSettings517.bin" ContentType="application/vnd.openxmlformats-officedocument.spreadsheetml.printerSettings"/>
  <Override PartName="/xl/printerSettings/printerSettings1098.bin" ContentType="application/vnd.openxmlformats-officedocument.spreadsheetml.printerSettings"/>
  <Override PartName="/xl/externalLinks/externalLink23.xml" ContentType="application/vnd.openxmlformats-officedocument.spreadsheetml.externalLink+xml"/>
  <Override PartName="/xl/printerSettings/printerSettings93.bin" ContentType="application/vnd.openxmlformats-officedocument.spreadsheetml.printerSettings"/>
  <Override PartName="/xl/printerSettings/printerSettings356.bin" ContentType="application/vnd.openxmlformats-officedocument.spreadsheetml.printerSettings"/>
  <Override PartName="/xl/printerSettings/printerSettings703.bin" ContentType="application/vnd.openxmlformats-officedocument.spreadsheetml.printerSettings"/>
  <Override PartName="/xl/printerSettings/printerSettings848.bin" ContentType="application/vnd.openxmlformats-officedocument.spreadsheetml.printerSettings"/>
  <Override PartName="/xl/worksheets/sheet69.xml" ContentType="application/vnd.openxmlformats-officedocument.spreadsheetml.worksheet+xml"/>
  <Override PartName="/xl/printerSettings/printerSettings195.bin" ContentType="application/vnd.openxmlformats-officedocument.spreadsheetml.printerSettings"/>
  <Override PartName="/xl/printerSettings/printerSettings211.bin" ContentType="application/vnd.openxmlformats-officedocument.spreadsheetml.printerSettings"/>
  <Override PartName="/xl/printerSettings/printerSettings542.bin" ContentType="application/vnd.openxmlformats-officedocument.spreadsheetml.printerSettings"/>
  <Override PartName="/xl/printerSettings/printerSettings687.bin" ContentType="application/vnd.openxmlformats-officedocument.spreadsheetml.printerSettings"/>
  <Override PartName="/xl/printerSettings/printerSettings873.bin" ContentType="application/vnd.openxmlformats-officedocument.spreadsheetml.printerSettings"/>
  <Override PartName="/xl/printerSettings/printerSettings1029.bin" ContentType="application/vnd.openxmlformats-officedocument.spreadsheetml.printerSettings"/>
  <Override PartName="/xl/printerSettings/printerSettings1215.bin" ContentType="application/vnd.openxmlformats-officedocument.spreadsheetml.printerSettings"/>
  <Override PartName="/xl/sharedStrings.xml" ContentType="application/vnd.openxmlformats-officedocument.spreadsheetml.sharedStrings+xml"/>
  <Override PartName="/xl/printerSettings/printerSettings24.bin" ContentType="application/vnd.openxmlformats-officedocument.spreadsheetml.printerSettings"/>
  <Override PartName="/xl/printerSettings/printerSettings381.bin" ContentType="application/vnd.openxmlformats-officedocument.spreadsheetml.printerSettings"/>
  <Override PartName="/xl/printerSettings/printerSettings618.bin" ContentType="application/vnd.openxmlformats-officedocument.spreadsheetml.printerSettings"/>
  <Override PartName="/xl/printerSettings/printerSettings949.bin" ContentType="application/vnd.openxmlformats-officedocument.spreadsheetml.printerSettings"/>
  <Override PartName="/xl/printerSettings/printerSettings1054.bin" ContentType="application/vnd.openxmlformats-officedocument.spreadsheetml.printerSettings"/>
  <Override PartName="/xl/printerSettings/printerSettings1199.bin" ContentType="application/vnd.openxmlformats-officedocument.spreadsheetml.printerSettings"/>
  <Override PartName="/xl/printerSettings/printerSettings126.bin" ContentType="application/vnd.openxmlformats-officedocument.spreadsheetml.printerSettings"/>
  <Override PartName="/xl/printerSettings/printerSettings173.bin" ContentType="application/vnd.openxmlformats-officedocument.spreadsheetml.printerSettings"/>
  <Override PartName="/xl/printerSettings/printerSettings312.bin" ContentType="application/vnd.openxmlformats-officedocument.spreadsheetml.printerSettings"/>
  <Override PartName="/xl/printerSettings/printerSettings457.bin" ContentType="application/vnd.openxmlformats-officedocument.spreadsheetml.printerSettings"/>
  <Override PartName="/xl/printerSettings/printerSettings520.bin" ContentType="application/vnd.openxmlformats-officedocument.spreadsheetml.printerSettings"/>
  <Override PartName="/xl/printerSettings/printerSettings788.bin" ContentType="application/vnd.openxmlformats-officedocument.spreadsheetml.printerSettings"/>
  <Override PartName="/xl/printerSettings/printerSettings804.bin" ContentType="application/vnd.openxmlformats-officedocument.spreadsheetml.printerSettings"/>
  <Override PartName="/xl/printerSettings/printerSettings851.bin" ContentType="application/vnd.openxmlformats-officedocument.spreadsheetml.printerSettings"/>
  <Override PartName="/xl/printerSettings/printerSettings1177.bin" ContentType="application/vnd.openxmlformats-officedocument.spreadsheetml.printerSettings"/>
  <Override PartName="/xl/printerSettings/printerSettings1240.bin" ContentType="application/vnd.openxmlformats-officedocument.spreadsheetml.printerSettings"/>
  <Override PartName="/xl/worksheets/sheet25.xml" ContentType="application/vnd.openxmlformats-officedocument.spreadsheetml.worksheet+xml"/>
  <Override PartName="/xl/worksheets/sheet72.xml" ContentType="application/vnd.openxmlformats-officedocument.spreadsheetml.worksheet+xml"/>
  <Override PartName="/xl/printerSettings/printerSettings104.bin" ContentType="application/vnd.openxmlformats-officedocument.spreadsheetml.printerSettings"/>
  <Override PartName="/xl/printerSettings/printerSettings151.bin" ContentType="application/vnd.openxmlformats-officedocument.spreadsheetml.printerSettings"/>
  <Override PartName="/xl/printerSettings/printerSettings249.bin" ContentType="application/vnd.openxmlformats-officedocument.spreadsheetml.printerSettings"/>
  <Override PartName="/xl/printerSettings/printerSettings296.bin" ContentType="application/vnd.openxmlformats-officedocument.spreadsheetml.printerSettings"/>
  <Override PartName="/xl/printerSettings/printerSettings643.bin" ContentType="application/vnd.openxmlformats-officedocument.spreadsheetml.printerSettings"/>
  <Override PartName="/xl/printerSettings/printerSettings690.bin" ContentType="application/vnd.openxmlformats-officedocument.spreadsheetml.printerSettings"/>
  <Override PartName="/xl/printerSettings/printerSettings927.bin" ContentType="application/vnd.openxmlformats-officedocument.spreadsheetml.printerSettings"/>
  <Override PartName="/xl/printerSettings/printerSettings974.bin" ContentType="application/vnd.openxmlformats-officedocument.spreadsheetml.printerSettings"/>
  <Override PartName="/xl/printerSettings/printerSettings1032.bin" ContentType="application/vnd.openxmlformats-officedocument.spreadsheetml.printerSettings"/>
  <Override PartName="/xl/worksheets/sheet50.xml" ContentType="application/vnd.openxmlformats-officedocument.spreadsheetml.worksheet+xml"/>
  <Override PartName="/xl/printerSettings/printerSettings435.bin" ContentType="application/vnd.openxmlformats-officedocument.spreadsheetml.printerSettings"/>
  <Override PartName="/xl/printerSettings/printerSettings482.bin" ContentType="application/vnd.openxmlformats-officedocument.spreadsheetml.printerSettings"/>
  <Override PartName="/xl/printerSettings/printerSettings621.bin" ContentType="application/vnd.openxmlformats-officedocument.spreadsheetml.printerSettings"/>
  <Override PartName="/xl/printerSettings/printerSettings719.bin" ContentType="application/vnd.openxmlformats-officedocument.spreadsheetml.printerSettings"/>
  <Override PartName="/xl/printerSettings/printerSettings766.bin" ContentType="application/vnd.openxmlformats-officedocument.spreadsheetml.printerSettings"/>
  <Override PartName="/xl/printerSettings/printerSettings905.bin" ContentType="application/vnd.openxmlformats-officedocument.spreadsheetml.printerSettings"/>
  <Override PartName="/xl/printerSettings/printerSettings952.bin" ContentType="application/vnd.openxmlformats-officedocument.spreadsheetml.printerSettings"/>
  <Override PartName="/xl/printerSettings/printerSettings1010.bin" ContentType="application/vnd.openxmlformats-officedocument.spreadsheetml.printerSettings"/>
  <Override PartName="/xl/printerSettings/printerSettings1108.bin" ContentType="application/vnd.openxmlformats-officedocument.spreadsheetml.printerSettings"/>
  <Override PartName="/xl/printerSettings/printerSettings1155.bin" ContentType="application/vnd.openxmlformats-officedocument.spreadsheetml.printerSettings"/>
  <Override PartName="/xl/externalLinks/externalLink6.xml" ContentType="application/vnd.openxmlformats-officedocument.spreadsheetml.externalLink+xml"/>
  <Override PartName="/xl/externalLinks/externalLink17.xml" ContentType="application/vnd.openxmlformats-officedocument.spreadsheetml.externalLink+xml"/>
  <Override PartName="/xl/printerSettings/printerSettings87.bin" ContentType="application/vnd.openxmlformats-officedocument.spreadsheetml.printerSettings"/>
  <Override PartName="/xl/printerSettings/printerSettings227.bin" ContentType="application/vnd.openxmlformats-officedocument.spreadsheetml.printerSettings"/>
  <Override PartName="/xl/printerSettings/printerSettings274.bin" ContentType="application/vnd.openxmlformats-officedocument.spreadsheetml.printerSettings"/>
  <Override PartName="/xl/printerSettings/printerSettings413.bin" ContentType="application/vnd.openxmlformats-officedocument.spreadsheetml.printerSettings"/>
  <Override PartName="/xl/printerSettings/printerSettings460.bin" ContentType="application/vnd.openxmlformats-officedocument.spreadsheetml.printerSettings"/>
  <Override PartName="/xl/printerSettings/printerSettings558.bin" ContentType="application/vnd.openxmlformats-officedocument.spreadsheetml.printerSettings"/>
  <Override PartName="/xl/printerSettings/printerSettings744.bin" ContentType="application/vnd.openxmlformats-officedocument.spreadsheetml.printerSettings"/>
  <Override PartName="/xl/printerSettings/printerSettings791.bin" ContentType="application/vnd.openxmlformats-officedocument.spreadsheetml.printerSettings"/>
  <Override PartName="/xl/printerSettings/printerSettings889.bin" ContentType="application/vnd.openxmlformats-officedocument.spreadsheetml.printerSettings"/>
  <Override PartName="/xl/printerSettings/printerSettings1133.bin" ContentType="application/vnd.openxmlformats-officedocument.spreadsheetml.printerSettings"/>
  <Override PartName="/xl/printerSettings/printerSettings1180.bin" ContentType="application/vnd.openxmlformats-officedocument.spreadsheetml.printerSettings"/>
  <Override PartName="/xl/workbook.xml" ContentType="application/vnd.openxmlformats-officedocument.spreadsheetml.sheet.main+xml"/>
  <Override PartName="/xl/worksheets/sheet4.xml" ContentType="application/vnd.openxmlformats-officedocument.spreadsheetml.worksheet+xml"/>
  <Override PartName="/xl/printerSettings/printerSettings205.bin" ContentType="application/vnd.openxmlformats-officedocument.spreadsheetml.printerSettings"/>
  <Override PartName="/xl/printerSettings/printerSettings252.bin" ContentType="application/vnd.openxmlformats-officedocument.spreadsheetml.printerSettings"/>
  <Override PartName="/xl/printerSettings/printerSettings397.bin" ContentType="application/vnd.openxmlformats-officedocument.spreadsheetml.printerSettings"/>
  <Override PartName="/xl/printerSettings/printerSettings536.bin" ContentType="application/vnd.openxmlformats-officedocument.spreadsheetml.printerSettings"/>
  <Override PartName="/xl/printerSettings/printerSettings583.bin" ContentType="application/vnd.openxmlformats-officedocument.spreadsheetml.printerSettings"/>
  <Override PartName="/xl/printerSettings/printerSettings930.bin" ContentType="application/vnd.openxmlformats-officedocument.spreadsheetml.printerSettings"/>
  <Override PartName="/xl/printerSettings/printerSettings1209.bin" ContentType="application/vnd.openxmlformats-officedocument.spreadsheetml.printerSettings"/>
  <Override PartName="/xl/printerSettings/printerSettings18.bin" ContentType="application/vnd.openxmlformats-officedocument.spreadsheetml.printerSettings"/>
  <Override PartName="/xl/printerSettings/printerSettings65.bin" ContentType="application/vnd.openxmlformats-officedocument.spreadsheetml.printerSettings"/>
  <Override PartName="/xl/printerSettings/printerSettings189.bin" ContentType="application/vnd.openxmlformats-officedocument.spreadsheetml.printerSettings"/>
  <Override PartName="/xl/printerSettings/printerSettings328.bin" ContentType="application/vnd.openxmlformats-officedocument.spreadsheetml.printerSettings"/>
  <Override PartName="/xl/printerSettings/printerSettings375.bin" ContentType="application/vnd.openxmlformats-officedocument.spreadsheetml.printerSettings"/>
  <Override PartName="/xl/printerSettings/printerSettings722.bin" ContentType="application/vnd.openxmlformats-officedocument.spreadsheetml.printerSettings"/>
  <Override PartName="/xl/printerSettings/printerSettings867.bin" ContentType="application/vnd.openxmlformats-officedocument.spreadsheetml.printerSettings"/>
  <Override PartName="/xl/printerSettings/printerSettings1048.bin" ContentType="application/vnd.openxmlformats-officedocument.spreadsheetml.printerSettings"/>
  <Override PartName="/xl/printerSettings/printerSettings1095.bin" ContentType="application/vnd.openxmlformats-officedocument.spreadsheetml.printerSettings"/>
  <Override PartName="/xl/printerSettings/printerSettings1111.bin" ContentType="application/vnd.openxmlformats-officedocument.spreadsheetml.printerSettings"/>
  <Override PartName="/xl/externalLinks/externalLink20.xml" ContentType="application/vnd.openxmlformats-officedocument.spreadsheetml.externalLink+xml"/>
  <Default Extension="vml" ContentType="application/vnd.openxmlformats-officedocument.vmlDrawing"/>
  <Override PartName="/xl/printerSettings/printerSettings43.bin" ContentType="application/vnd.openxmlformats-officedocument.spreadsheetml.printerSettings"/>
  <Override PartName="/xl/printerSettings/printerSettings90.bin" ContentType="application/vnd.openxmlformats-officedocument.spreadsheetml.printerSettings"/>
  <Override PartName="/xl/printerSettings/printerSettings167.bin" ContentType="application/vnd.openxmlformats-officedocument.spreadsheetml.printerSettings"/>
  <Override PartName="/xl/printerSettings/printerSettings230.bin" ContentType="application/vnd.openxmlformats-officedocument.spreadsheetml.printerSettings"/>
  <Override PartName="/xl/printerSettings/printerSettings514.bin" ContentType="application/vnd.openxmlformats-officedocument.spreadsheetml.printerSettings"/>
  <Override PartName="/xl/printerSettings/printerSettings561.bin" ContentType="application/vnd.openxmlformats-officedocument.spreadsheetml.printerSettings"/>
  <Override PartName="/xl/printerSettings/printerSettings659.bin" ContentType="application/vnd.openxmlformats-officedocument.spreadsheetml.printerSettings"/>
  <Override PartName="/xl/printerSettings/printerSettings700.bin" ContentType="application/vnd.openxmlformats-officedocument.spreadsheetml.printerSettings"/>
  <Override PartName="/xl/printerSettings/printerSettings845.bin" ContentType="application/vnd.openxmlformats-officedocument.spreadsheetml.printerSettings"/>
  <Override PartName="/xl/printerSettings/printerSettings892.bin" ContentType="application/vnd.openxmlformats-officedocument.spreadsheetml.printerSettings"/>
  <Override PartName="/xl/printerSettings/printerSettings1234.bin" ContentType="application/vnd.openxmlformats-officedocument.spreadsheetml.printerSettings"/>
  <Override PartName="/xl/worksheets/sheet19.xml" ContentType="application/vnd.openxmlformats-officedocument.spreadsheetml.worksheet+xml"/>
  <Override PartName="/xl/worksheets/sheet66.xml" ContentType="application/vnd.openxmlformats-officedocument.spreadsheetml.worksheet+xml"/>
  <Override PartName="/xl/printerSettings/printerSettings306.bin" ContentType="application/vnd.openxmlformats-officedocument.spreadsheetml.printerSettings"/>
  <Override PartName="/xl/printerSettings/printerSettings353.bin" ContentType="application/vnd.openxmlformats-officedocument.spreadsheetml.printerSettings"/>
  <Override PartName="/xl/printerSettings/printerSettings498.bin" ContentType="application/vnd.openxmlformats-officedocument.spreadsheetml.printerSettings"/>
  <Override PartName="/xl/printerSettings/printerSettings637.bin" ContentType="application/vnd.openxmlformats-officedocument.spreadsheetml.printerSettings"/>
  <Override PartName="/xl/printerSettings/printerSettings684.bin" ContentType="application/vnd.openxmlformats-officedocument.spreadsheetml.printerSettings"/>
  <Override PartName="/xl/printerSettings/printerSettings968.bin" ContentType="application/vnd.openxmlformats-officedocument.spreadsheetml.printerSettings"/>
  <Override PartName="/xl/printerSettings/printerSettings1026.bin" ContentType="application/vnd.openxmlformats-officedocument.spreadsheetml.printerSettings"/>
  <Override PartName="/xl/printerSettings/printerSettings1073.bin" ContentType="application/vnd.openxmlformats-officedocument.spreadsheetml.printerSettings"/>
  <Override PartName="/xl/printerSettings/printerSettings1212.bin" ContentType="application/vnd.openxmlformats-officedocument.spreadsheetml.printerSettings"/>
  <Override PartName="/xl/printerSettings/printerSettings21.bin" ContentType="application/vnd.openxmlformats-officedocument.spreadsheetml.printerSettings"/>
  <Override PartName="/xl/printerSettings/printerSettings145.bin" ContentType="application/vnd.openxmlformats-officedocument.spreadsheetml.printerSettings"/>
  <Override PartName="/xl/printerSettings/printerSettings192.bin" ContentType="application/vnd.openxmlformats-officedocument.spreadsheetml.printerSettings"/>
  <Override PartName="/xl/printerSettings/printerSettings331.bin" ContentType="application/vnd.openxmlformats-officedocument.spreadsheetml.printerSettings"/>
  <Override PartName="/xl/printerSettings/printerSettings429.bin" ContentType="application/vnd.openxmlformats-officedocument.spreadsheetml.printerSettings"/>
  <Override PartName="/xl/printerSettings/printerSettings476.bin" ContentType="application/vnd.openxmlformats-officedocument.spreadsheetml.printerSettings"/>
  <Override PartName="/xl/printerSettings/printerSettings823.bin" ContentType="application/vnd.openxmlformats-officedocument.spreadsheetml.printerSettings"/>
  <Override PartName="/xl/printerSettings/printerSettings870.bin" ContentType="application/vnd.openxmlformats-officedocument.spreadsheetml.printerSettings"/>
  <Override PartName="/xl/printerSettings/printerSettings1004.bin" ContentType="application/vnd.openxmlformats-officedocument.spreadsheetml.printerSettings"/>
  <Override PartName="/xl/printerSettings/printerSettings1051.bin" ContentType="application/vnd.openxmlformats-officedocument.spreadsheetml.printerSettings"/>
  <Override PartName="/xl/printerSettings/printerSettings1149.bin" ContentType="application/vnd.openxmlformats-officedocument.spreadsheetml.printerSettings"/>
  <Override PartName="/xl/printerSettings/printerSettings1196.bin" ContentType="application/vnd.openxmlformats-officedocument.spreadsheetml.printerSettings"/>
  <Override PartName="/docProps/core.xml" ContentType="application/vnd.openxmlformats-package.core-properties+xml"/>
  <Override PartName="/xl/worksheets/sheet44.xml" ContentType="application/vnd.openxmlformats-officedocument.spreadsheetml.worksheet+xml"/>
  <Override PartName="/xl/printerSettings/printerSettings123.bin" ContentType="application/vnd.openxmlformats-officedocument.spreadsheetml.printerSettings"/>
  <Override PartName="/xl/printerSettings/printerSettings170.bin" ContentType="application/vnd.openxmlformats-officedocument.spreadsheetml.printerSettings"/>
  <Override PartName="/xl/printerSettings/printerSettings268.bin" ContentType="application/vnd.openxmlformats-officedocument.spreadsheetml.printerSettings"/>
  <Override PartName="/xl/printerSettings/printerSettings599.bin" ContentType="application/vnd.openxmlformats-officedocument.spreadsheetml.printerSettings"/>
  <Override PartName="/xl/printerSettings/printerSettings615.bin" ContentType="application/vnd.openxmlformats-officedocument.spreadsheetml.printerSettings"/>
  <Override PartName="/xl/printerSettings/printerSettings662.bin" ContentType="application/vnd.openxmlformats-officedocument.spreadsheetml.printerSettings"/>
  <Override PartName="/xl/printerSettings/printerSettings801.bin" ContentType="application/vnd.openxmlformats-officedocument.spreadsheetml.printerSettings"/>
  <Override PartName="/xl/printerSettings/printerSettings946.bin" ContentType="application/vnd.openxmlformats-officedocument.spreadsheetml.printerSettings"/>
  <Override PartName="/xl/printerSettings/printerSettings993.bin" ContentType="application/vnd.openxmlformats-officedocument.spreadsheetml.printerSettings"/>
  <Override PartName="/xl/worksheets/sheet22.xml" ContentType="application/vnd.openxmlformats-officedocument.spreadsheetml.worksheet+xml"/>
  <Override PartName="/xl/printerSettings/printerSettings407.bin" ContentType="application/vnd.openxmlformats-officedocument.spreadsheetml.printerSettings"/>
  <Override PartName="/xl/printerSettings/printerSettings454.bin" ContentType="application/vnd.openxmlformats-officedocument.spreadsheetml.printerSettings"/>
  <Override PartName="/xl/printerSettings/printerSettings640.bin" ContentType="application/vnd.openxmlformats-officedocument.spreadsheetml.printerSettings"/>
  <Override PartName="/xl/printerSettings/printerSettings738.bin" ContentType="application/vnd.openxmlformats-officedocument.spreadsheetml.printerSettings"/>
  <Override PartName="/xl/printerSettings/printerSettings785.bin" ContentType="application/vnd.openxmlformats-officedocument.spreadsheetml.printerSettings"/>
  <Override PartName="/xl/printerSettings/printerSettings924.bin" ContentType="application/vnd.openxmlformats-officedocument.spreadsheetml.printerSettings"/>
  <Override PartName="/xl/printerSettings/printerSettings971.bin" ContentType="application/vnd.openxmlformats-officedocument.spreadsheetml.printerSettings"/>
  <Override PartName="/xl/printerSettings/printerSettings1127.bin" ContentType="application/vnd.openxmlformats-officedocument.spreadsheetml.printerSettings"/>
  <Override PartName="/xl/printerSettings/printerSettings1174.bin" ContentType="application/vnd.openxmlformats-officedocument.spreadsheetml.printerSettings"/>
  <Override PartName="/xl/externalLinks/externalLink36.xml" ContentType="application/vnd.openxmlformats-officedocument.spreadsheetml.externalLink+xml"/>
  <Override PartName="/xl/printerSettings/printerSettings59.bin" ContentType="application/vnd.openxmlformats-officedocument.spreadsheetml.printerSettings"/>
  <Override PartName="/xl/printerSettings/printerSettings101.bin" ContentType="application/vnd.openxmlformats-officedocument.spreadsheetml.printerSettings"/>
  <Override PartName="/xl/printerSettings/printerSettings246.bin" ContentType="application/vnd.openxmlformats-officedocument.spreadsheetml.printerSettings"/>
  <Override PartName="/xl/printerSettings/printerSettings293.bin" ContentType="application/vnd.openxmlformats-officedocument.spreadsheetml.printerSettings"/>
  <Override PartName="/xl/printerSettings/printerSettings432.bin" ContentType="application/vnd.openxmlformats-officedocument.spreadsheetml.printerSettings"/>
  <Override PartName="/xl/printerSettings/printerSettings577.bin" ContentType="application/vnd.openxmlformats-officedocument.spreadsheetml.printerSettings"/>
  <Override PartName="/xl/printerSettings/printerSettings716.bin" ContentType="application/vnd.openxmlformats-officedocument.spreadsheetml.printerSettings"/>
  <Override PartName="/xl/printerSettings/printerSettings763.bin" ContentType="application/vnd.openxmlformats-officedocument.spreadsheetml.printerSettings"/>
  <Override PartName="/xl/printerSettings/printerSettings1105.bin" ContentType="application/vnd.openxmlformats-officedocument.spreadsheetml.printerSettings"/>
  <Override PartName="/xl/printerSettings/printerSettings1152.bin" ContentType="application/vnd.openxmlformats-officedocument.spreadsheetml.printerSettings"/>
  <Default Extension="rels" ContentType="application/vnd.openxmlformats-package.relationships+xml"/>
  <Override PartName="/xl/printerSettings/printerSettings224.bin" ContentType="application/vnd.openxmlformats-officedocument.spreadsheetml.printerSettings"/>
  <Override PartName="/xl/printerSettings/printerSettings271.bin" ContentType="application/vnd.openxmlformats-officedocument.spreadsheetml.printerSettings"/>
  <Override PartName="/xl/printerSettings/printerSettings369.bin" ContentType="application/vnd.openxmlformats-officedocument.spreadsheetml.printerSettings"/>
  <Override PartName="/xl/printerSettings/printerSettings508.bin" ContentType="application/vnd.openxmlformats-officedocument.spreadsheetml.printerSettings"/>
  <Override PartName="/xl/printerSettings/printerSettings555.bin" ContentType="application/vnd.openxmlformats-officedocument.spreadsheetml.printerSettings"/>
  <Override PartName="/xl/printerSettings/printerSettings839.bin" ContentType="application/vnd.openxmlformats-officedocument.spreadsheetml.printerSettings"/>
  <Override PartName="/xl/printerSettings/printerSettings886.bin" ContentType="application/vnd.openxmlformats-officedocument.spreadsheetml.printerSettings"/>
  <Override PartName="/xl/printerSettings/printerSettings902.bin" ContentType="application/vnd.openxmlformats-officedocument.spreadsheetml.printerSettings"/>
  <Override PartName="/xl/printerSettings/printerSettings1089.bin" ContentType="application/vnd.openxmlformats-officedocument.spreadsheetml.printerSettings"/>
  <Override PartName="/xl/printerSettings/printerSettings1228.bin" ContentType="application/vnd.openxmlformats-officedocument.spreadsheetml.printerSettings"/>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printerSettings/printerSettings8.bin" ContentType="application/vnd.openxmlformats-officedocument.spreadsheetml.printerSettings"/>
  <Override PartName="/xl/printerSettings/printerSettings37.bin" ContentType="application/vnd.openxmlformats-officedocument.spreadsheetml.printerSettings"/>
  <Override PartName="/xl/printerSettings/printerSettings84.bin" ContentType="application/vnd.openxmlformats-officedocument.spreadsheetml.printerSettings"/>
  <Override PartName="/xl/printerSettings/printerSettings347.bin" ContentType="application/vnd.openxmlformats-officedocument.spreadsheetml.printerSettings"/>
  <Override PartName="/xl/printerSettings/printerSettings394.bin" ContentType="application/vnd.openxmlformats-officedocument.spreadsheetml.printerSettings"/>
  <Override PartName="/xl/printerSettings/printerSettings410.bin" ContentType="application/vnd.openxmlformats-officedocument.spreadsheetml.printerSettings"/>
  <Override PartName="/xl/printerSettings/printerSettings678.bin" ContentType="application/vnd.openxmlformats-officedocument.spreadsheetml.printerSettings"/>
  <Override PartName="/xl/printerSettings/printerSettings741.bin" ContentType="application/vnd.openxmlformats-officedocument.spreadsheetml.printerSettings"/>
  <Override PartName="/xl/printerSettings/printerSettings1067.bin" ContentType="application/vnd.openxmlformats-officedocument.spreadsheetml.printerSettings"/>
  <Override PartName="/xl/printerSettings/printerSettings1130.bin" ContentType="application/vnd.openxmlformats-officedocument.spreadsheetml.printerSettings"/>
  <Override PartName="/xl/worksheets/sheet1.xml" ContentType="application/vnd.openxmlformats-officedocument.spreadsheetml.worksheet+xml"/>
  <Override PartName="/xl/printerSettings/printerSettings15.bin" ContentType="application/vnd.openxmlformats-officedocument.spreadsheetml.printerSettings"/>
  <Override PartName="/xl/printerSettings/printerSettings62.bin" ContentType="application/vnd.openxmlformats-officedocument.spreadsheetml.printerSettings"/>
  <Override PartName="/xl/printerSettings/printerSettings139.bin" ContentType="application/vnd.openxmlformats-officedocument.spreadsheetml.printerSettings"/>
  <Override PartName="/xl/printerSettings/printerSettings186.bin" ContentType="application/vnd.openxmlformats-officedocument.spreadsheetml.printerSettings"/>
  <Override PartName="/xl/printerSettings/printerSettings202.bin" ContentType="application/vnd.openxmlformats-officedocument.spreadsheetml.printerSettings"/>
  <Override PartName="/xl/printerSettings/printerSettings533.bin" ContentType="application/vnd.openxmlformats-officedocument.spreadsheetml.printerSettings"/>
  <Override PartName="/xl/printerSettings/printerSettings580.bin" ContentType="application/vnd.openxmlformats-officedocument.spreadsheetml.printerSettings"/>
  <Override PartName="/xl/printerSettings/printerSettings817.bin" ContentType="application/vnd.openxmlformats-officedocument.spreadsheetml.printerSettings"/>
  <Override PartName="/xl/printerSettings/printerSettings864.bin" ContentType="application/vnd.openxmlformats-officedocument.spreadsheetml.printerSettings"/>
  <Override PartName="/xl/printerSettings/printerSettings1206.bin" ContentType="application/vnd.openxmlformats-officedocument.spreadsheetml.printerSettings"/>
  <Override PartName="/xl/worksheets/sheet38.xml" ContentType="application/vnd.openxmlformats-officedocument.spreadsheetml.worksheet+xml"/>
  <Override PartName="/xl/worksheets/sheet85.xml" ContentType="application/vnd.openxmlformats-officedocument.spreadsheetml.worksheet+xml"/>
  <Override PartName="/xl/printerSettings/printerSettings325.bin" ContentType="application/vnd.openxmlformats-officedocument.spreadsheetml.printerSettings"/>
  <Override PartName="/xl/printerSettings/printerSettings372.bin" ContentType="application/vnd.openxmlformats-officedocument.spreadsheetml.printerSettings"/>
  <Override PartName="/xl/printerSettings/printerSettings511.bin" ContentType="application/vnd.openxmlformats-officedocument.spreadsheetml.printerSettings"/>
  <Override PartName="/xl/printerSettings/printerSettings609.bin" ContentType="application/vnd.openxmlformats-officedocument.spreadsheetml.printerSettings"/>
  <Override PartName="/xl/printerSettings/printerSettings656.bin" ContentType="application/vnd.openxmlformats-officedocument.spreadsheetml.printerSettings"/>
  <Override PartName="/xl/printerSettings/printerSettings987.bin" ContentType="application/vnd.openxmlformats-officedocument.spreadsheetml.printerSettings"/>
  <Override PartName="/xl/printerSettings/printerSettings1045.bin" ContentType="application/vnd.openxmlformats-officedocument.spreadsheetml.printerSettings"/>
  <Override PartName="/xl/printerSettings/printerSettings1092.bin" ContentType="application/vnd.openxmlformats-officedocument.spreadsheetml.printerSettings"/>
  <Override PartName="/xl/printerSettings/printerSettings1231.bin" ContentType="application/vnd.openxmlformats-officedocument.spreadsheetml.printerSettings"/>
  <Override PartName="/xl/printerSettings/printerSettings40.bin" ContentType="application/vnd.openxmlformats-officedocument.spreadsheetml.printerSettings"/>
  <Override PartName="/xl/printerSettings/printerSettings117.bin" ContentType="application/vnd.openxmlformats-officedocument.spreadsheetml.printerSettings"/>
  <Override PartName="/xl/printerSettings/printerSettings164.bin" ContentType="application/vnd.openxmlformats-officedocument.spreadsheetml.printerSettings"/>
  <Override PartName="/xl/printerSettings/printerSettings303.bin" ContentType="application/vnd.openxmlformats-officedocument.spreadsheetml.printerSettings"/>
  <Override PartName="/xl/printerSettings/printerSettings350.bin" ContentType="application/vnd.openxmlformats-officedocument.spreadsheetml.printerSettings"/>
  <Override PartName="/xl/printerSettings/printerSettings448.bin" ContentType="application/vnd.openxmlformats-officedocument.spreadsheetml.printerSettings"/>
  <Override PartName="/xl/printerSettings/printerSettings495.bin" ContentType="application/vnd.openxmlformats-officedocument.spreadsheetml.printerSettings"/>
  <Override PartName="/xl/printerSettings/printerSettings634.bin" ContentType="application/vnd.openxmlformats-officedocument.spreadsheetml.printerSettings"/>
  <Override PartName="/xl/printerSettings/printerSettings779.bin" ContentType="application/vnd.openxmlformats-officedocument.spreadsheetml.printerSettings"/>
  <Override PartName="/xl/printerSettings/printerSettings842.bin" ContentType="application/vnd.openxmlformats-officedocument.spreadsheetml.printerSettings"/>
  <Override PartName="/xl/printerSettings/printerSettings1023.bin" ContentType="application/vnd.openxmlformats-officedocument.spreadsheetml.printerSettings"/>
  <Override PartName="/xl/printerSettings/printerSettings1070.bin" ContentType="application/vnd.openxmlformats-officedocument.spreadsheetml.printerSettings"/>
  <Override PartName="/xl/printerSettings/printerSettings1168.bin" ContentType="application/vnd.openxmlformats-officedocument.spreadsheetml.printerSettings"/>
  <Override PartName="/xl/worksheets/sheet16.xml" ContentType="application/vnd.openxmlformats-officedocument.spreadsheetml.worksheet+xml"/>
  <Override PartName="/xl/worksheets/sheet63.xml" ContentType="application/vnd.openxmlformats-officedocument.spreadsheetml.worksheet+xml"/>
  <Override PartName="/xl/printerSettings/printerSettings142.bin" ContentType="application/vnd.openxmlformats-officedocument.spreadsheetml.printerSettings"/>
  <Override PartName="/xl/printerSettings/printerSettings287.bin" ContentType="application/vnd.openxmlformats-officedocument.spreadsheetml.printerSettings"/>
  <Override PartName="/xl/printerSettings/printerSettings426.bin" ContentType="application/vnd.openxmlformats-officedocument.spreadsheetml.printerSettings"/>
  <Override PartName="/xl/printerSettings/printerSettings473.bin" ContentType="application/vnd.openxmlformats-officedocument.spreadsheetml.printerSettings"/>
  <Override PartName="/xl/printerSettings/printerSettings681.bin" ContentType="application/vnd.openxmlformats-officedocument.spreadsheetml.printerSettings"/>
  <Override PartName="/xl/printerSettings/printerSettings820.bin" ContentType="application/vnd.openxmlformats-officedocument.spreadsheetml.printerSettings"/>
  <Override PartName="/xl/printerSettings/printerSettings918.bin" ContentType="application/vnd.openxmlformats-officedocument.spreadsheetml.printerSettings"/>
  <Override PartName="/xl/printerSettings/printerSettings965.bin" ContentType="application/vnd.openxmlformats-officedocument.spreadsheetml.printerSettings"/>
  <Override PartName="/xl/worksheets/sheet41.xml" ContentType="application/vnd.openxmlformats-officedocument.spreadsheetml.worksheet+xml"/>
  <Override PartName="/xl/printerSettings/printerSettings218.bin" ContentType="application/vnd.openxmlformats-officedocument.spreadsheetml.printerSettings"/>
  <Override PartName="/xl/printerSettings/printerSettings265.bin" ContentType="application/vnd.openxmlformats-officedocument.spreadsheetml.printerSettings"/>
  <Override PartName="/xl/printerSettings/printerSettings612.bin" ContentType="application/vnd.openxmlformats-officedocument.spreadsheetml.printerSettings"/>
  <Override PartName="/xl/printerSettings/printerSettings757.bin" ContentType="application/vnd.openxmlformats-officedocument.spreadsheetml.printerSettings"/>
  <Override PartName="/xl/printerSettings/printerSettings943.bin" ContentType="application/vnd.openxmlformats-officedocument.spreadsheetml.printerSettings"/>
  <Override PartName="/xl/printerSettings/printerSettings990.bin" ContentType="application/vnd.openxmlformats-officedocument.spreadsheetml.printerSettings"/>
  <Override PartName="/xl/printerSettings/printerSettings1001.bin" ContentType="application/vnd.openxmlformats-officedocument.spreadsheetml.printerSettings"/>
  <Override PartName="/xl/printerSettings/printerSettings1146.bin" ContentType="application/vnd.openxmlformats-officedocument.spreadsheetml.printerSettings"/>
  <Override PartName="/xl/printerSettings/printerSettings1193.bin" ContentType="application/vnd.openxmlformats-officedocument.spreadsheetml.printerSettings"/>
  <Override PartName="/xl/printerSettings/printerSettings78.bin" ContentType="application/vnd.openxmlformats-officedocument.spreadsheetml.printerSettings"/>
  <Override PartName="/xl/printerSettings/printerSettings120.bin" ContentType="application/vnd.openxmlformats-officedocument.spreadsheetml.printerSettings"/>
  <Override PartName="/xl/printerSettings/printerSettings404.bin" ContentType="application/vnd.openxmlformats-officedocument.spreadsheetml.printerSettings"/>
  <Override PartName="/xl/printerSettings/printerSettings451.bin" ContentType="application/vnd.openxmlformats-officedocument.spreadsheetml.printerSettings"/>
  <Override PartName="/xl/printerSettings/printerSettings549.bin" ContentType="application/vnd.openxmlformats-officedocument.spreadsheetml.printerSettings"/>
  <Override PartName="/xl/printerSettings/printerSettings596.bin" ContentType="application/vnd.openxmlformats-officedocument.spreadsheetml.printerSettings"/>
  <Override PartName="/xl/printerSettings/printerSettings735.bin" ContentType="application/vnd.openxmlformats-officedocument.spreadsheetml.printerSettings"/>
  <Override PartName="/xl/printerSettings/printerSettings782.bin" ContentType="application/vnd.openxmlformats-officedocument.spreadsheetml.printerSettings"/>
  <Override PartName="/xl/printerSettings/printerSettings1124.bin" ContentType="application/vnd.openxmlformats-officedocument.spreadsheetml.printerSettings"/>
  <Override PartName="/xl/printerSettings/printerSettings1171.bin" ContentType="application/vnd.openxmlformats-officedocument.spreadsheetml.printerSettings"/>
  <Override PartName="/xl/printerSettings/printerSettings243.bin" ContentType="application/vnd.openxmlformats-officedocument.spreadsheetml.printerSettings"/>
  <Override PartName="/xl/printerSettings/printerSettings290.bin" ContentType="application/vnd.openxmlformats-officedocument.spreadsheetml.printerSettings"/>
  <Override PartName="/xl/printerSettings/printerSettings388.bin" ContentType="application/vnd.openxmlformats-officedocument.spreadsheetml.printerSettings"/>
  <Override PartName="/xl/printerSettings/printerSettings527.bin" ContentType="application/vnd.openxmlformats-officedocument.spreadsheetml.printerSettings"/>
  <Override PartName="/xl/printerSettings/printerSettings574.bin" ContentType="application/vnd.openxmlformats-officedocument.spreadsheetml.printerSettings"/>
  <Override PartName="/xl/printerSettings/printerSettings858.bin" ContentType="application/vnd.openxmlformats-officedocument.spreadsheetml.printerSettings"/>
  <Override PartName="/xl/printerSettings/printerSettings921.bin" ContentType="application/vnd.openxmlformats-officedocument.spreadsheetml.printerSettings"/>
  <Override PartName="/xl/externalLinks/externalLink33.xml" ContentType="application/vnd.openxmlformats-officedocument.spreadsheetml.externalLink+xml"/>
  <Override PartName="/xl/printerSettings/printerSettings56.bin" ContentType="application/vnd.openxmlformats-officedocument.spreadsheetml.printerSettings"/>
  <Override PartName="/xl/printerSettings/printerSettings319.bin" ContentType="application/vnd.openxmlformats-officedocument.spreadsheetml.printerSettings"/>
  <Override PartName="/xl/printerSettings/printerSettings366.bin" ContentType="application/vnd.openxmlformats-officedocument.spreadsheetml.printerSettings"/>
  <Override PartName="/xl/printerSettings/printerSettings697.bin" ContentType="application/vnd.openxmlformats-officedocument.spreadsheetml.printerSettings"/>
  <Override PartName="/xl/printerSettings/printerSettings713.bin" ContentType="application/vnd.openxmlformats-officedocument.spreadsheetml.printerSettings"/>
  <Override PartName="/xl/printerSettings/printerSettings760.bin" ContentType="application/vnd.openxmlformats-officedocument.spreadsheetml.printerSettings"/>
  <Override PartName="/xl/printerSettings/printerSettings1039.bin" ContentType="application/vnd.openxmlformats-officedocument.spreadsheetml.printerSettings"/>
  <Override PartName="/xl/printerSettings/printerSettings1086.bin" ContentType="application/vnd.openxmlformats-officedocument.spreadsheetml.printerSettings"/>
  <Override PartName="/xl/printerSettings/printerSettings1102.bin" ContentType="application/vnd.openxmlformats-officedocument.spreadsheetml.printerSettings"/>
  <Override PartName="/xl/worksheets/sheet79.xml" ContentType="application/vnd.openxmlformats-officedocument.spreadsheetml.worksheet+xml"/>
  <Override PartName="/xl/externalLinks/externalLink11.xml" ContentType="application/vnd.openxmlformats-officedocument.spreadsheetml.externalLink+xml"/>
  <Override PartName="/xl/printerSettings/printerSettings34.bin" ContentType="application/vnd.openxmlformats-officedocument.spreadsheetml.printerSettings"/>
  <Override PartName="/xl/printerSettings/printerSettings81.bin" ContentType="application/vnd.openxmlformats-officedocument.spreadsheetml.printerSettings"/>
  <Override PartName="/xl/printerSettings/printerSettings158.bin" ContentType="application/vnd.openxmlformats-officedocument.spreadsheetml.printerSettings"/>
  <Override PartName="/xl/printerSettings/printerSettings221.bin" ContentType="application/vnd.openxmlformats-officedocument.spreadsheetml.printerSettings"/>
  <Override PartName="/xl/printerSettings/printerSettings489.bin" ContentType="application/vnd.openxmlformats-officedocument.spreadsheetml.printerSettings"/>
  <Override PartName="/xl/printerSettings/printerSettings505.bin" ContentType="application/vnd.openxmlformats-officedocument.spreadsheetml.printerSettings"/>
  <Override PartName="/xl/printerSettings/printerSettings552.bin" ContentType="application/vnd.openxmlformats-officedocument.spreadsheetml.printerSettings"/>
  <Override PartName="/xl/printerSettings/printerSettings836.bin" ContentType="application/vnd.openxmlformats-officedocument.spreadsheetml.printerSettings"/>
  <Override PartName="/xl/printerSettings/printerSettings883.bin" ContentType="application/vnd.openxmlformats-officedocument.spreadsheetml.printerSettings"/>
  <Override PartName="/xl/printerSettings/printerSettings1225.bin" ContentType="application/vnd.openxmlformats-officedocument.spreadsheetml.printerSettings"/>
  <Override PartName="/xl/worksheets/sheet57.xml" ContentType="application/vnd.openxmlformats-officedocument.spreadsheetml.worksheet+xml"/>
  <Override PartName="/xl/printerSettings/printerSettings5.bin" ContentType="application/vnd.openxmlformats-officedocument.spreadsheetml.printerSettings"/>
  <Override PartName="/xl/printerSettings/printerSettings344.bin" ContentType="application/vnd.openxmlformats-officedocument.spreadsheetml.printerSettings"/>
  <Override PartName="/xl/printerSettings/printerSettings391.bin" ContentType="application/vnd.openxmlformats-officedocument.spreadsheetml.printerSettings"/>
  <Override PartName="/xl/printerSettings/printerSettings530.bin" ContentType="application/vnd.openxmlformats-officedocument.spreadsheetml.printerSettings"/>
  <Override PartName="/xl/printerSettings/printerSettings628.bin" ContentType="application/vnd.openxmlformats-officedocument.spreadsheetml.printerSettings"/>
  <Override PartName="/xl/printerSettings/printerSettings675.bin" ContentType="application/vnd.openxmlformats-officedocument.spreadsheetml.printerSettings"/>
  <Override PartName="/xl/printerSettings/printerSettings814.bin" ContentType="application/vnd.openxmlformats-officedocument.spreadsheetml.printerSettings"/>
  <Override PartName="/xl/printerSettings/printerSettings861.bin" ContentType="application/vnd.openxmlformats-officedocument.spreadsheetml.printerSettings"/>
  <Override PartName="/xl/printerSettings/printerSettings959.bin" ContentType="application/vnd.openxmlformats-officedocument.spreadsheetml.printerSettings"/>
  <Override PartName="/xl/printerSettings/printerSettings1017.bin" ContentType="application/vnd.openxmlformats-officedocument.spreadsheetml.printerSettings"/>
  <Override PartName="/xl/printerSettings/printerSettings1064.bin" ContentType="application/vnd.openxmlformats-officedocument.spreadsheetml.printerSettings"/>
  <Override PartName="/xl/printerSettings/printerSettings1203.bin" ContentType="application/vnd.openxmlformats-officedocument.spreadsheetml.printerSettings"/>
  <Override PartName="/xl/printerSettings/printerSettings12.bin" ContentType="application/vnd.openxmlformats-officedocument.spreadsheetml.printerSettings"/>
  <Override PartName="/xl/printerSettings/printerSettings136.bin" ContentType="application/vnd.openxmlformats-officedocument.spreadsheetml.printerSettings"/>
  <Override PartName="/xl/printerSettings/printerSettings183.bin" ContentType="application/vnd.openxmlformats-officedocument.spreadsheetml.printerSettings"/>
  <Override PartName="/xl/printerSettings/printerSettings322.bin" ContentType="application/vnd.openxmlformats-officedocument.spreadsheetml.printerSettings"/>
  <Override PartName="/xl/printerSettings/printerSettings467.bin" ContentType="application/vnd.openxmlformats-officedocument.spreadsheetml.printerSettings"/>
  <Override PartName="/xl/printerSettings/printerSettings606.bin" ContentType="application/vnd.openxmlformats-officedocument.spreadsheetml.printerSettings"/>
  <Override PartName="/xl/printerSettings/printerSettings653.bin" ContentType="application/vnd.openxmlformats-officedocument.spreadsheetml.printerSettings"/>
  <Override PartName="/xl/printerSettings/printerSettings798.bin" ContentType="application/vnd.openxmlformats-officedocument.spreadsheetml.printerSettings"/>
  <Override PartName="/xl/printerSettings/printerSettings1042.bin" ContentType="application/vnd.openxmlformats-officedocument.spreadsheetml.printerSettings"/>
  <Override PartName="/xl/printerSettings/printerSettings1187.bin" ContentType="application/vnd.openxmlformats-officedocument.spreadsheetml.printerSettings"/>
  <Override PartName="/xl/worksheets/sheet35.xml" ContentType="application/vnd.openxmlformats-officedocument.spreadsheetml.worksheet+xml"/>
  <Override PartName="/xl/printerSettings/printerSettings161.bin" ContentType="application/vnd.openxmlformats-officedocument.spreadsheetml.printerSettings"/>
  <Override PartName="/xl/printerSettings/printerSettings492.bin" ContentType="application/vnd.openxmlformats-officedocument.spreadsheetml.printerSettings"/>
  <Override PartName="/xl/printerSettings/printerSettings984.bin" ContentType="application/vnd.openxmlformats-officedocument.spreadsheetml.printerSettings"/>
  <Override PartName="/xl/printerSettings/printerSettings1165.bin" ContentType="application/vnd.openxmlformats-officedocument.spreadsheetml.printerSettings"/>
  <Override PartName="/xl/worksheets/sheet60.xml" ContentType="application/vnd.openxmlformats-officedocument.spreadsheetml.worksheet+xml"/>
  <Override PartName="/xl/printerSettings/printerSettings237.bin" ContentType="application/vnd.openxmlformats-officedocument.spreadsheetml.printerSettings"/>
  <Override PartName="/xl/printerSettings/printerSettings729.bin" ContentType="application/vnd.openxmlformats-officedocument.spreadsheetml.printerSettings"/>
  <Override PartName="/xl/printerSettings/printerSettings915.bin" ContentType="application/vnd.openxmlformats-officedocument.spreadsheetml.printerSettings"/>
  <Override PartName="/xl/printerSettings/printerSettings1020.bin" ContentType="application/vnd.openxmlformats-officedocument.spreadsheetml.printerSettings"/>
  <Override PartName="/xl/printerSettings/printerSettings423.bin" ContentType="application/vnd.openxmlformats-officedocument.spreadsheetml.printerSettings"/>
  <Override PartName="/xl/printerSettings/printerSettings568.bin" ContentType="application/vnd.openxmlformats-officedocument.spreadsheetml.printerSettings"/>
  <Override PartName="/xl/printerSettings/printerSettings754.bin" ContentType="application/vnd.openxmlformats-officedocument.spreadsheetml.printerSettings"/>
  <Override PartName="/xl/printerSettings/printerSettings899.bin" ContentType="application/vnd.openxmlformats-officedocument.spreadsheetml.printerSettings"/>
  <Override PartName="/xl/printerSettings/printerSettings1190.bin" ContentType="application/vnd.openxmlformats-officedocument.spreadsheetml.printerSettings"/>
  <Override PartName="/xl/printerSettings/printerSettings262.bin" ContentType="application/vnd.openxmlformats-officedocument.spreadsheetml.printerSettings"/>
  <Override PartName="/xl/printerSettings/printerSettings593.bin" ContentType="application/vnd.openxmlformats-officedocument.spreadsheetml.printerSettings"/>
  <Override PartName="/xl/printerSettings/printerSettings940.bin" ContentType="application/vnd.openxmlformats-officedocument.spreadsheetml.printerSettings"/>
  <Override PartName="/xl/printerSettings/printerSettings75.bin" ContentType="application/vnd.openxmlformats-officedocument.spreadsheetml.printerSettings"/>
  <Override PartName="/xl/printerSettings/printerSettings338.bin" ContentType="application/vnd.openxmlformats-officedocument.spreadsheetml.printerSettings"/>
  <Override PartName="/xl/printerSettings/printerSettings669.bin" ContentType="application/vnd.openxmlformats-officedocument.spreadsheetml.printerSettings"/>
  <Override PartName="/xl/printerSettings/printerSettings1121.bin" ContentType="application/vnd.openxmlformats-officedocument.spreadsheetml.printerSettings"/>
  <Override PartName="/xl/externalLinks/externalLink30.xml" ContentType="application/vnd.openxmlformats-officedocument.spreadsheetml.externalLink+xml"/>
  <Override PartName="/xl/printerSettings/printerSettings177.bin" ContentType="application/vnd.openxmlformats-officedocument.spreadsheetml.printerSettings"/>
  <Override PartName="/xl/printerSettings/printerSettings524.bin" ContentType="application/vnd.openxmlformats-officedocument.spreadsheetml.printerSettings"/>
  <Override PartName="/xl/printerSettings/printerSettings710.bin" ContentType="application/vnd.openxmlformats-officedocument.spreadsheetml.printerSettings"/>
  <Override PartName="/xl/printerSettings/printerSettings855.bin" ContentType="application/vnd.openxmlformats-officedocument.spreadsheetml.printerSettings"/>
  <Override PartName="/xl/worksheets/sheet76.xml" ContentType="application/vnd.openxmlformats-officedocument.spreadsheetml.worksheet+xml"/>
  <Override PartName="/xl/printerSettings/printerSettings363.bin" ContentType="application/vnd.openxmlformats-officedocument.spreadsheetml.printerSettings"/>
  <Override PartName="/xl/printerSettings/printerSettings694.bin" ContentType="application/vnd.openxmlformats-officedocument.spreadsheetml.printerSettings"/>
  <Override PartName="/xl/printerSettings/printerSettings880.bin" ContentType="application/vnd.openxmlformats-officedocument.spreadsheetml.printerSettings"/>
  <Override PartName="/xl/printerSettings/printerSettings1036.bin" ContentType="application/vnd.openxmlformats-officedocument.spreadsheetml.printerSettings"/>
  <Override PartName="/xl/printerSettings/printerSettings1222.bin" ContentType="application/vnd.openxmlformats-officedocument.spreadsheetml.printerSettings"/>
  <Override PartName="/xl/printerSettings/printerSettings31.bin" ContentType="application/vnd.openxmlformats-officedocument.spreadsheetml.printerSettings"/>
  <Override PartName="/xl/printerSettings/printerSettings108.bin" ContentType="application/vnd.openxmlformats-officedocument.spreadsheetml.printerSettings"/>
  <Override PartName="/xl/printerSettings/printerSettings439.bin" ContentType="application/vnd.openxmlformats-officedocument.spreadsheetml.printerSettings"/>
  <Override PartName="/xl/printerSettings/printerSettings625.bin" ContentType="application/vnd.openxmlformats-officedocument.spreadsheetml.printerSettings"/>
  <Override PartName="/xl/printerSettings/printerSettings956.bin" ContentType="application/vnd.openxmlformats-officedocument.spreadsheetml.printerSettings"/>
  <Override PartName="/xl/printerSettings/printerSettings1061.bin" ContentType="application/vnd.openxmlformats-officedocument.spreadsheetml.printerSettings"/>
  <Override PartName="/xl/printerSettings/printerSettings133.bin" ContentType="application/vnd.openxmlformats-officedocument.spreadsheetml.printerSettings"/>
  <Override PartName="/xl/printerSettings/printerSettings278.bin" ContentType="application/vnd.openxmlformats-officedocument.spreadsheetml.printerSettings"/>
  <Override PartName="/xl/printerSettings/printerSettings464.bin" ContentType="application/vnd.openxmlformats-officedocument.spreadsheetml.printerSettings"/>
  <Override PartName="/xl/printerSettings/printerSettings795.bin" ContentType="application/vnd.openxmlformats-officedocument.spreadsheetml.printerSettings"/>
  <Override PartName="/xl/printerSettings/printerSettings811.bin" ContentType="application/vnd.openxmlformats-officedocument.spreadsheetml.printerSettings"/>
  <Override PartName="/xl/printerSettings/printerSettings1137.bin" ContentType="application/vnd.openxmlformats-officedocument.spreadsheetml.printerSettings"/>
  <Override PartName="/xl/worksheets/sheet32.xml" ContentType="application/vnd.openxmlformats-officedocument.spreadsheetml.worksheet+xml"/>
  <Override PartName="/xl/printerSettings/printerSettings209.bin" ContentType="application/vnd.openxmlformats-officedocument.spreadsheetml.printerSettings"/>
  <Override PartName="/xl/printerSettings/printerSettings650.bin" ContentType="application/vnd.openxmlformats-officedocument.spreadsheetml.printerSettings"/>
  <Override PartName="/xl/printerSettings/printerSettings981.bin" ContentType="application/vnd.openxmlformats-officedocument.spreadsheetml.printerSettings"/>
  <Override PartName="/xl/worksheets/sheet8.xml" ContentType="application/vnd.openxmlformats-officedocument.spreadsheetml.worksheet+xml"/>
  <Override PartName="/xl/printerSettings/printerSettings379.bin" ContentType="application/vnd.openxmlformats-officedocument.spreadsheetml.printerSettings"/>
  <Override PartName="/xl/printerSettings/printerSettings726.bin" ContentType="application/vnd.openxmlformats-officedocument.spreadsheetml.printerSettings"/>
  <Override PartName="/xl/printerSettings/printerSettings1162.bin" ContentType="application/vnd.openxmlformats-officedocument.spreadsheetml.printerSettings"/>
  <Override PartName="/xl/printerSettings/printerSettings47.bin" ContentType="application/vnd.openxmlformats-officedocument.spreadsheetml.printerSettings"/>
  <Override PartName="/xl/printerSettings/printerSettings234.bin" ContentType="application/vnd.openxmlformats-officedocument.spreadsheetml.printerSettings"/>
  <Override PartName="/xl/printerSettings/printerSettings420.bin" ContentType="application/vnd.openxmlformats-officedocument.spreadsheetml.printerSettings"/>
  <Override PartName="/xl/printerSettings/printerSettings565.bin" ContentType="application/vnd.openxmlformats-officedocument.spreadsheetml.printerSettings"/>
  <Override PartName="/xl/printerSettings/printerSettings896.bin" ContentType="application/vnd.openxmlformats-officedocument.spreadsheetml.printerSettings"/>
  <Override PartName="/xl/printerSettings/printerSettings912.bin" ContentType="application/vnd.openxmlformats-officedocument.spreadsheetml.printerSettings"/>
  <Override PartName="/xl/printerSettings/printerSettings1238.bin" ContentType="application/vnd.openxmlformats-officedocument.spreadsheetml.printerSettings"/>
  <Override PartName="/xl/printerSettings/printerSettings751.bin" ContentType="application/vnd.openxmlformats-officedocument.spreadsheetml.printerSettings"/>
  <Override PartName="/xl/printerSettings/printerSettings1077.bin" ContentType="application/vnd.openxmlformats-officedocument.spreadsheetml.printerSettings"/>
  <Override PartName="/xl/printerSettings/printerSettings72.bin" ContentType="application/vnd.openxmlformats-officedocument.spreadsheetml.printerSettings"/>
  <Override PartName="/xl/printerSettings/printerSettings149.bin" ContentType="application/vnd.openxmlformats-officedocument.spreadsheetml.printerSettings"/>
  <Override PartName="/xl/printerSettings/printerSettings335.bin" ContentType="application/vnd.openxmlformats-officedocument.spreadsheetml.printerSettings"/>
  <Override PartName="/xl/printerSettings/printerSettings590.bin" ContentType="application/vnd.openxmlformats-officedocument.spreadsheetml.printerSettings"/>
  <Override PartName="/xl/printerSettings/printerSettings827.bin" ContentType="application/vnd.openxmlformats-officedocument.spreadsheetml.printerSettings"/>
  <Override PartName="/xl/calcChain.xml" ContentType="application/vnd.openxmlformats-officedocument.spreadsheetml.calcChain+xml"/>
  <Override PartName="/xl/worksheets/sheet48.xml" ContentType="application/vnd.openxmlformats-officedocument.spreadsheetml.worksheet+xml"/>
  <Override PartName="/xl/printerSettings/printerSettings174.bin" ContentType="application/vnd.openxmlformats-officedocument.spreadsheetml.printerSettings"/>
  <Override PartName="/xl/printerSettings/printerSettings521.bin" ContentType="application/vnd.openxmlformats-officedocument.spreadsheetml.printerSettings"/>
  <Override PartName="/xl/printerSettings/printerSettings666.bin" ContentType="application/vnd.openxmlformats-officedocument.spreadsheetml.printerSettings"/>
  <Override PartName="/xl/printerSettings/printerSettings852.bin" ContentType="application/vnd.openxmlformats-officedocument.spreadsheetml.printerSettings"/>
  <Override PartName="/xl/printerSettings/printerSettings997.bin" ContentType="application/vnd.openxmlformats-officedocument.spreadsheetml.printerSettings"/>
  <Override PartName="/xl/printerSettings/printerSettings1008.bin" ContentType="application/vnd.openxmlformats-officedocument.spreadsheetml.printerSettings"/>
  <Override PartName="/xl/worksheets/sheet73.xml" ContentType="application/vnd.openxmlformats-officedocument.spreadsheetml.worksheet+xml"/>
  <Override PartName="/xl/printerSettings/printerSettings360.bin" ContentType="application/vnd.openxmlformats-officedocument.spreadsheetml.printerSettings"/>
  <Override PartName="/xl/printerSettings/printerSettings691.bin" ContentType="application/vnd.openxmlformats-officedocument.spreadsheetml.printerSettings"/>
  <Override PartName="/xl/printerSettings/printerSettings928.bin" ContentType="application/vnd.openxmlformats-officedocument.spreadsheetml.printerSettings"/>
  <Override PartName="/xl/printerSettings/printerSettings1033.bin" ContentType="application/vnd.openxmlformats-officedocument.spreadsheetml.printerSettings"/>
  <Override PartName="/xl/printerSettings/printerSettings1178.bin" ContentType="application/vnd.openxmlformats-officedocument.spreadsheetml.printerSettings"/>
  <Override PartName="/xl/printerSettings/printerSettings105.bin" ContentType="application/vnd.openxmlformats-officedocument.spreadsheetml.printerSettings"/>
  <Override PartName="/xl/printerSettings/printerSettings436.bin" ContentType="application/vnd.openxmlformats-officedocument.spreadsheetml.printerSettings"/>
  <Override PartName="/xl/printerSettings/printerSettings767.bin" ContentType="application/vnd.openxmlformats-officedocument.spreadsheetml.printerSettings"/>
  <Override PartName="/xl/printerSettings/printerSettings1109.bin" ContentType="application/vnd.openxmlformats-officedocument.spreadsheetml.printerSettings"/>
  <Override PartName="/xl/printerSettings/printerSettings275.bin" ContentType="application/vnd.openxmlformats-officedocument.spreadsheetml.printerSettings"/>
  <Override PartName="/xl/printerSettings/printerSettings622.bin" ContentType="application/vnd.openxmlformats-officedocument.spreadsheetml.printerSettings"/>
  <Override PartName="/xl/printerSettings/printerSettings953.bin" ContentType="application/vnd.openxmlformats-officedocument.spreadsheetml.printerSettings"/>
  <Override PartName="/xl/externalLinks/externalLink7.xml" ContentType="application/vnd.openxmlformats-officedocument.spreadsheetml.externalLink+xml"/>
  <Override PartName="/xl/externalLinks/externalLink18.xml" ContentType="application/vnd.openxmlformats-officedocument.spreadsheetml.externalLink+xml"/>
  <Override PartName="/xl/printerSettings/printerSettings88.bin" ContentType="application/vnd.openxmlformats-officedocument.spreadsheetml.printerSettings"/>
  <Override PartName="/xl/printerSettings/printerSettings130.bin" ContentType="application/vnd.openxmlformats-officedocument.spreadsheetml.printerSettings"/>
  <Override PartName="/xl/printerSettings/printerSettings461.bin" ContentType="application/vnd.openxmlformats-officedocument.spreadsheetml.printerSettings"/>
  <Override PartName="/xl/printerSettings/printerSettings792.bin" ContentType="application/vnd.openxmlformats-officedocument.spreadsheetml.printerSettings"/>
  <Override PartName="/xl/printerSettings/printerSettings1134.bin" ContentType="application/vnd.openxmlformats-officedocument.spreadsheetml.printerSettings"/>
  <Override PartName="/xl/worksheets/sheet5.xml" ContentType="application/vnd.openxmlformats-officedocument.spreadsheetml.worksheet+xml"/>
  <Override PartName="/xl/printerSettings/printerSettings19.bin" ContentType="application/vnd.openxmlformats-officedocument.spreadsheetml.printerSettings"/>
  <Override PartName="/xl/printerSettings/printerSettings206.bin" ContentType="application/vnd.openxmlformats-officedocument.spreadsheetml.printerSettings"/>
  <Override PartName="/xl/printerSettings/printerSettings537.bin" ContentType="application/vnd.openxmlformats-officedocument.spreadsheetml.printerSettings"/>
  <Override PartName="/xl/printerSettings/printerSettings723.bin" ContentType="application/vnd.openxmlformats-officedocument.spreadsheetml.printerSettings"/>
  <Override PartName="/xl/printerSettings/printerSettings868.bin" ContentType="application/vnd.openxmlformats-officedocument.spreadsheetml.printerSettings"/>
  <Override PartName="/xl/printerSettings/printerSettings231.bin" ContentType="application/vnd.openxmlformats-officedocument.spreadsheetml.printerSettings"/>
  <Override PartName="/xl/printerSettings/printerSettings376.bin" ContentType="application/vnd.openxmlformats-officedocument.spreadsheetml.printerSettings"/>
  <Override PartName="/xl/printerSettings/printerSettings562.bin" ContentType="application/vnd.openxmlformats-officedocument.spreadsheetml.printerSettings"/>
  <Override PartName="/xl/printerSettings/printerSettings1049.bin" ContentType="application/vnd.openxmlformats-officedocument.spreadsheetml.printerSettings"/>
  <Override PartName="/xl/printerSettings/printerSettings1235.bin" ContentType="application/vnd.openxmlformats-officedocument.spreadsheetml.printerSettings"/>
  <Override PartName="/xl/printerSettings/printerSettings44.bin" ContentType="application/vnd.openxmlformats-officedocument.spreadsheetml.printerSettings"/>
  <Override PartName="/xl/printerSettings/printerSettings307.bin" ContentType="application/vnd.openxmlformats-officedocument.spreadsheetml.printerSettings"/>
  <Override PartName="/xl/printerSettings/printerSettings893.bin" ContentType="application/vnd.openxmlformats-officedocument.spreadsheetml.printerSettings"/>
  <Override PartName="/xl/printerSettings/printerSettings1074.bin" ContentType="application/vnd.openxmlformats-officedocument.spreadsheetml.printerSettings"/>
  <Override PartName="/xl/printerSettings/printerSettings146.bin" ContentType="application/vnd.openxmlformats-officedocument.spreadsheetml.printerSettings"/>
  <Override PartName="/xl/printerSettings/printerSettings638.bin" ContentType="application/vnd.openxmlformats-officedocument.spreadsheetml.printerSettings"/>
  <Override PartName="/xl/printerSettings/printerSettings824.bin" ContentType="application/vnd.openxmlformats-officedocument.spreadsheetml.printerSettings"/>
  <Override PartName="/xl/printerSettings/printerSettings969.bin" ContentType="application/vnd.openxmlformats-officedocument.spreadsheetml.printerSettings"/>
  <Override PartName="/xl/worksheets/sheet45.xml" ContentType="application/vnd.openxmlformats-officedocument.spreadsheetml.worksheet+xml"/>
  <Override PartName="/xl/printerSettings/printerSettings332.bin" ContentType="application/vnd.openxmlformats-officedocument.spreadsheetml.printerSettings"/>
  <Override PartName="/xl/printerSettings/printerSettings477.bin" ContentType="application/vnd.openxmlformats-officedocument.spreadsheetml.printerSettings"/>
  <Override PartName="/xl/printerSettings/printerSettings663.bin" ContentType="application/vnd.openxmlformats-officedocument.spreadsheetml.printerSettings"/>
  <Override PartName="/xl/printerSettings/printerSettings994.bin" ContentType="application/vnd.openxmlformats-officedocument.spreadsheetml.printerSettings"/>
  <Override PartName="/xl/printerSettings/printerSettings1005.bin" ContentType="application/vnd.openxmlformats-officedocument.spreadsheetml.printerSettings"/>
  <Override PartName="/xl/printerSettings/printerSettings171.bin" ContentType="application/vnd.openxmlformats-officedocument.spreadsheetml.printerSettings"/>
  <Override PartName="/xl/printerSettings/printerSettings408.bin" ContentType="application/vnd.openxmlformats-officedocument.spreadsheetml.printerSettings"/>
  <Override PartName="/xl/printerSettings/printerSettings739.bin" ContentType="application/vnd.openxmlformats-officedocument.spreadsheetml.printerSettings"/>
  <Override PartName="/xl/printerSettings/printerSettings1175.bin" ContentType="application/vnd.openxmlformats-officedocument.spreadsheetml.printerSettings"/>
  <Override PartName="/xl/worksheets/sheet70.xml" ContentType="application/vnd.openxmlformats-officedocument.spreadsheetml.worksheet+xml"/>
  <Override PartName="/xl/printerSettings/printerSettings102.bin" ContentType="application/vnd.openxmlformats-officedocument.spreadsheetml.printerSettings"/>
  <Override PartName="/xl/printerSettings/printerSettings247.bin" ContentType="application/vnd.openxmlformats-officedocument.spreadsheetml.printerSettings"/>
  <Override PartName="/xl/printerSettings/printerSettings578.bin" ContentType="application/vnd.openxmlformats-officedocument.spreadsheetml.printerSettings"/>
  <Override PartName="/xl/printerSettings/printerSettings925.bin" ContentType="application/vnd.openxmlformats-officedocument.spreadsheetml.printerSettings"/>
  <Override PartName="/xl/printerSettings/printerSettings1030.bin" ContentType="application/vnd.openxmlformats-officedocument.spreadsheetml.printerSettings"/>
  <Override PartName="/xl/printerSettings/printerSettings433.bin" ContentType="application/vnd.openxmlformats-officedocument.spreadsheetml.printerSettings"/>
  <Override PartName="/xl/printerSettings/printerSettings764.bin" ContentType="application/vnd.openxmlformats-officedocument.spreadsheetml.printerSettings"/>
  <Override PartName="/xl/printerSettings/printerSettings950.bin" ContentType="application/vnd.openxmlformats-officedocument.spreadsheetml.printerSettings"/>
  <Override PartName="/xl/printerSettings/printerSettings1106.bin" ContentType="application/vnd.openxmlformats-officedocument.spreadsheetml.printerSettings"/>
  <Override PartName="/xl/externalLinks/externalLink4.xml" ContentType="application/vnd.openxmlformats-officedocument.spreadsheetml.externalLink+xml"/>
  <Override PartName="/xl/externalLinks/externalLink15.xml" ContentType="application/vnd.openxmlformats-officedocument.spreadsheetml.externalLink+xml"/>
  <Override PartName="/xl/printerSettings/printerSettings85.bin" ContentType="application/vnd.openxmlformats-officedocument.spreadsheetml.printerSettings"/>
  <Override PartName="/xl/printerSettings/printerSettings272.bin" ContentType="application/vnd.openxmlformats-officedocument.spreadsheetml.printerSettings"/>
  <Override PartName="/xl/printerSettings/printerSettings509.bin" ContentType="application/vnd.openxmlformats-officedocument.spreadsheetml.printerSettings"/>
  <Override PartName="/xl/printerSettings/printerSettings1131.bin" ContentType="application/vnd.openxmlformats-officedocument.spreadsheetml.printerSettings"/>
  <Override PartName="/xl/worksheets/sheet2.xml" ContentType="application/vnd.openxmlformats-officedocument.spreadsheetml.worksheet+xml"/>
  <Override PartName="/xl/printerSettings/printerSettings9.bin" ContentType="application/vnd.openxmlformats-officedocument.spreadsheetml.printerSettings"/>
  <Override PartName="/xl/printerSettings/printerSettings203.bin" ContentType="application/vnd.openxmlformats-officedocument.spreadsheetml.printerSettings"/>
  <Override PartName="/xl/printerSettings/printerSettings348.bin" ContentType="application/vnd.openxmlformats-officedocument.spreadsheetml.printerSettings"/>
  <Override PartName="/xl/printerSettings/printerSettings534.bin" ContentType="application/vnd.openxmlformats-officedocument.spreadsheetml.printerSettings"/>
  <Override PartName="/xl/printerSettings/printerSettings679.bin" ContentType="application/vnd.openxmlformats-officedocument.spreadsheetml.printerSettings"/>
  <Override PartName="/xl/printerSettings/printerSettings1207.bin" ContentType="application/vnd.openxmlformats-officedocument.spreadsheetml.printerSettings"/>
  <Override PartName="/xl/printerSettings/printerSettings16.bin" ContentType="application/vnd.openxmlformats-officedocument.spreadsheetml.printerSettings"/>
  <Override PartName="/xl/printerSettings/printerSettings187.bin" ContentType="application/vnd.openxmlformats-officedocument.spreadsheetml.printerSettings"/>
  <Override PartName="/xl/printerSettings/printerSettings373.bin" ContentType="application/vnd.openxmlformats-officedocument.spreadsheetml.printerSettings"/>
  <Override PartName="/xl/printerSettings/printerSettings720.bin" ContentType="application/vnd.openxmlformats-officedocument.spreadsheetml.printerSettings"/>
  <Override PartName="/xl/printerSettings/printerSettings865.bin" ContentType="application/vnd.openxmlformats-officedocument.spreadsheetml.printerSettings"/>
  <Override PartName="/xl/printerSettings/printerSettings1046.bin" ContentType="application/vnd.openxmlformats-officedocument.spreadsheetml.printerSettings"/>
  <Override PartName="/xl/printerSettings/printerSettings41.bin" ContentType="application/vnd.openxmlformats-officedocument.spreadsheetml.printerSettings"/>
  <Override PartName="/xl/printerSettings/printerSettings118.bin" ContentType="application/vnd.openxmlformats-officedocument.spreadsheetml.printerSettings"/>
  <Override PartName="/xl/printerSettings/printerSettings449.bin" ContentType="application/vnd.openxmlformats-officedocument.spreadsheetml.printerSettings"/>
  <Override PartName="/xl/printerSettings/printerSettings890.bin" ContentType="application/vnd.openxmlformats-officedocument.spreadsheetml.printerSettings"/>
  <Override PartName="/xl/printerSettings/printerSettings1232.bin" ContentType="application/vnd.openxmlformats-officedocument.spreadsheetml.printerSettings"/>
  <Override PartName="/xl/worksheets/sheet17.xml" ContentType="application/vnd.openxmlformats-officedocument.spreadsheetml.worksheet+xml"/>
  <Override PartName="/xl/printerSettings/printerSettings288.bin" ContentType="application/vnd.openxmlformats-officedocument.spreadsheetml.printerSettings"/>
  <Override PartName="/xl/printerSettings/printerSettings304.bin" ContentType="application/vnd.openxmlformats-officedocument.spreadsheetml.printerSettings"/>
  <Override PartName="/xl/printerSettings/printerSettings635.bin" ContentType="application/vnd.openxmlformats-officedocument.spreadsheetml.printerSettings"/>
  <Override PartName="/xl/printerSettings/printerSettings966.bin" ContentType="application/vnd.openxmlformats-officedocument.spreadsheetml.printerSettings"/>
  <Override PartName="/xl/printerSettings/printerSettings1071.bin" ContentType="application/vnd.openxmlformats-officedocument.spreadsheetml.printerSettings"/>
  <Override PartName="/xl/printerSettings/printerSettings143.bin" ContentType="application/vnd.openxmlformats-officedocument.spreadsheetml.printerSettings"/>
  <Override PartName="/xl/printerSettings/printerSettings474.bin" ContentType="application/vnd.openxmlformats-officedocument.spreadsheetml.printerSettings"/>
  <Override PartName="/xl/printerSettings/printerSettings821.bin" ContentType="application/vnd.openxmlformats-officedocument.spreadsheetml.printerSettings"/>
  <Override PartName="/xl/printerSettings/printerSettings1002.bin" ContentType="application/vnd.openxmlformats-officedocument.spreadsheetml.printerSettings"/>
  <Override PartName="/xl/printerSettings/printerSettings1147.bin" ContentType="application/vnd.openxmlformats-officedocument.spreadsheetml.printerSettings"/>
  <Override PartName="/xl/worksheets/sheet42.xml" ContentType="application/vnd.openxmlformats-officedocument.spreadsheetml.worksheet+xml"/>
  <Override PartName="/xl/printerSettings/printerSettings219.bin" ContentType="application/vnd.openxmlformats-officedocument.spreadsheetml.printerSettings"/>
  <Override PartName="/xl/printerSettings/printerSettings660.bin" ContentType="application/vnd.openxmlformats-officedocument.spreadsheetml.printerSettings"/>
  <Override PartName="/xl/printerSettings/printerSettings991.bin" ContentType="application/vnd.openxmlformats-officedocument.spreadsheetml.printerSettings"/>
  <Override PartName="/xl/printerSettings/printerSettings389.bin" ContentType="application/vnd.openxmlformats-officedocument.spreadsheetml.printerSettings"/>
  <Override PartName="/xl/printerSettings/printerSettings405.bin" ContentType="application/vnd.openxmlformats-officedocument.spreadsheetml.printerSettings"/>
  <Override PartName="/xl/printerSettings/printerSettings736.bin" ContentType="application/vnd.openxmlformats-officedocument.spreadsheetml.printerSettings"/>
  <Override PartName="/xl/printerSettings/printerSettings922.bin" ContentType="application/vnd.openxmlformats-officedocument.spreadsheetml.printerSettings"/>
  <Override PartName="/xl/printerSettings/printerSettings1172.bin" ContentType="application/vnd.openxmlformats-officedocument.spreadsheetml.printerSettings"/>
  <Override PartName="/xl/printerSettings/printerSettings57.bin" ContentType="application/vnd.openxmlformats-officedocument.spreadsheetml.printerSettings"/>
  <Override PartName="/xl/printerSettings/printerSettings244.bin" ContentType="application/vnd.openxmlformats-officedocument.spreadsheetml.printerSettings"/>
  <Override PartName="/xl/printerSettings/printerSettings430.bin" ContentType="application/vnd.openxmlformats-officedocument.spreadsheetml.printerSettings"/>
  <Override PartName="/xl/printerSettings/printerSettings575.bin" ContentType="application/vnd.openxmlformats-officedocument.spreadsheetml.printerSettings"/>
  <Override PartName="/xl/printerSettings/printerSettings761.bin" ContentType="application/vnd.openxmlformats-officedocument.spreadsheetml.printerSettings"/>
  <Override PartName="/xl/printerSettings/printerSettings1103.bin" ContentType="application/vnd.openxmlformats-officedocument.spreadsheetml.printerSettings"/>
  <Override PartName="/xl/printerSettings/printerSettings506.bin" ContentType="application/vnd.openxmlformats-officedocument.spreadsheetml.printerSettings"/>
  <Override PartName="/xl/printerSettings/printerSettings837.bin" ContentType="application/vnd.openxmlformats-officedocument.spreadsheetml.printerSettings"/>
  <Override PartName="/xl/printerSettings/printerSettings1087.bin" ContentType="application/vnd.openxmlformats-officedocument.spreadsheetml.printerSettings"/>
  <Override PartName="/xl/externalLinks/externalLink1.xml" ContentType="application/vnd.openxmlformats-officedocument.spreadsheetml.externalLink+xml"/>
  <Override PartName="/xl/externalLinks/externalLink12.xml" ContentType="application/vnd.openxmlformats-officedocument.spreadsheetml.externalLink+xml"/>
  <Override PartName="/xl/printerSettings/printerSettings6.bin" ContentType="application/vnd.openxmlformats-officedocument.spreadsheetml.printerSettings"/>
  <Override PartName="/xl/printerSettings/printerSettings82.bin" ContentType="application/vnd.openxmlformats-officedocument.spreadsheetml.printerSettings"/>
  <Override PartName="/xl/printerSettings/printerSettings159.bin" ContentType="application/vnd.openxmlformats-officedocument.spreadsheetml.printerSettings"/>
  <Override PartName="/xl/printerSettings/printerSettings345.bin" ContentType="application/vnd.openxmlformats-officedocument.spreadsheetml.printerSettings"/>
  <Override PartName="/xl/printerSettings/printerSettings676.bin" ContentType="application/vnd.openxmlformats-officedocument.spreadsheetml.printerSettings"/>
  <Override PartName="/xl/printerSettings/printerSettings1018.bin" ContentType="application/vnd.openxmlformats-officedocument.spreadsheetml.printerSettings"/>
  <Override PartName="/xl/worksheets/sheet58.xml" ContentType="application/vnd.openxmlformats-officedocument.spreadsheetml.worksheet+xml"/>
  <Override PartName="/xl/printerSettings/printerSettings13.bin" ContentType="application/vnd.openxmlformats-officedocument.spreadsheetml.printerSettings"/>
  <Override PartName="/xl/printerSettings/printerSettings184.bin" ContentType="application/vnd.openxmlformats-officedocument.spreadsheetml.printerSettings"/>
  <Override PartName="/xl/printerSettings/printerSettings200.bin" ContentType="application/vnd.openxmlformats-officedocument.spreadsheetml.printerSettings"/>
  <Override PartName="/xl/printerSettings/printerSettings531.bin" ContentType="application/vnd.openxmlformats-officedocument.spreadsheetml.printerSettings"/>
  <Override PartName="/xl/printerSettings/printerSettings862.bin" ContentType="application/vnd.openxmlformats-officedocument.spreadsheetml.printerSettings"/>
  <Override PartName="/xl/printerSettings/printerSettings1188.bin" ContentType="application/vnd.openxmlformats-officedocument.spreadsheetml.printerSettings"/>
  <Override PartName="/xl/printerSettings/printerSettings1204.bin" ContentType="application/vnd.openxmlformats-officedocument.spreadsheetml.printerSettings"/>
  <Override PartName="/xl/worksheets/sheet83.xml" ContentType="application/vnd.openxmlformats-officedocument.spreadsheetml.worksheet+xml"/>
  <Override PartName="/xl/printerSettings/printerSettings370.bin" ContentType="application/vnd.openxmlformats-officedocument.spreadsheetml.printerSettings"/>
  <Override PartName="/xl/printerSettings/printerSettings607.bin" ContentType="application/vnd.openxmlformats-officedocument.spreadsheetml.printerSettings"/>
  <Override PartName="/xl/printerSettings/printerSettings938.bin" ContentType="application/vnd.openxmlformats-officedocument.spreadsheetml.printerSettings"/>
  <Override PartName="/xl/printerSettings/printerSettings1043.bin" ContentType="application/vnd.openxmlformats-officedocument.spreadsheetml.printerSettings"/>
  <Default Extension="bin" ContentType="application/vnd.openxmlformats-officedocument.spreadsheetml.customProperty"/>
  <Override PartName="/xl/printerSettings/printerSettings115.bin" ContentType="application/vnd.openxmlformats-officedocument.spreadsheetml.printerSettings"/>
  <Override PartName="/xl/printerSettings/printerSettings301.bin" ContentType="application/vnd.openxmlformats-officedocument.spreadsheetml.printerSettings"/>
  <Override PartName="/xl/printerSettings/printerSettings446.bin" ContentType="application/vnd.openxmlformats-officedocument.spreadsheetml.printerSettings"/>
  <Override PartName="/xl/printerSettings/printerSettings632.bin" ContentType="application/vnd.openxmlformats-officedocument.spreadsheetml.printerSettings"/>
  <Override PartName="/xl/printerSettings/printerSettings777.bin" ContentType="application/vnd.openxmlformats-officedocument.spreadsheetml.printerSettings"/>
  <Override PartName="/xl/printerSettings/printerSettings1119.bin" ContentType="application/vnd.openxmlformats-officedocument.spreadsheetml.printerSettings"/>
  <Override PartName="/xl/worksheets/sheet14.xml" ContentType="application/vnd.openxmlformats-officedocument.spreadsheetml.worksheet+xml"/>
  <Override PartName="/xl/printerSettings/printerSettings140.bin" ContentType="application/vnd.openxmlformats-officedocument.spreadsheetml.printerSettings"/>
  <Override PartName="/xl/printerSettings/printerSettings285.bin" ContentType="application/vnd.openxmlformats-officedocument.spreadsheetml.printerSettings"/>
  <Override PartName="/xl/printerSettings/printerSettings471.bin" ContentType="application/vnd.openxmlformats-officedocument.spreadsheetml.printerSettings"/>
  <Override PartName="/xl/printerSettings/printerSettings963.bin" ContentType="application/vnd.openxmlformats-officedocument.spreadsheetml.printerSettings"/>
  <Override PartName="/xl/externalLinks/externalLink28.xml" ContentType="application/vnd.openxmlformats-officedocument.spreadsheetml.externalLink+xml"/>
  <Override PartName="/xl/printerSettings/printerSettings98.bin" ContentType="application/vnd.openxmlformats-officedocument.spreadsheetml.printerSettings"/>
  <Override PartName="/xl/printerSettings/printerSettings216.bin" ContentType="application/vnd.openxmlformats-officedocument.spreadsheetml.printerSettings"/>
  <Override PartName="/xl/printerSettings/printerSettings708.bin" ContentType="application/vnd.openxmlformats-officedocument.spreadsheetml.printerSettings"/>
  <Override PartName="/xl/printerSettings/printerSettings1144.bin" ContentType="application/vnd.openxmlformats-officedocument.spreadsheetml.printerSettings"/>
  <Override PartName="/xl/printerSettings/printerSettings29.bin" ContentType="application/vnd.openxmlformats-officedocument.spreadsheetml.printerSettings"/>
  <Override PartName="/xl/printerSettings/printerSettings402.bin" ContentType="application/vnd.openxmlformats-officedocument.spreadsheetml.printerSettings"/>
  <Override PartName="/xl/printerSettings/printerSettings547.bin" ContentType="application/vnd.openxmlformats-officedocument.spreadsheetml.printerSettings"/>
  <Override PartName="/xl/printerSettings/printerSettings733.bin" ContentType="application/vnd.openxmlformats-officedocument.spreadsheetml.printerSettings"/>
  <Override PartName="/xl/printerSettings/printerSettings878.bin" ContentType="application/vnd.openxmlformats-officedocument.spreadsheetml.printerSettings"/>
  <Override PartName="/xl/printerSettings/printerSettings241.bin" ContentType="application/vnd.openxmlformats-officedocument.spreadsheetml.printerSettings"/>
  <Override PartName="/xl/printerSettings/printerSettings386.bin" ContentType="application/vnd.openxmlformats-officedocument.spreadsheetml.printerSettings"/>
  <Override PartName="/xl/printerSettings/printerSettings572.bin" ContentType="application/vnd.openxmlformats-officedocument.spreadsheetml.printerSettings"/>
  <Override PartName="/xl/printerSettings/printerSettings809.bin" ContentType="application/vnd.openxmlformats-officedocument.spreadsheetml.printerSettings"/>
  <Override PartName="/xl/printerSettings/printerSettings1059.bin" ContentType="application/vnd.openxmlformats-officedocument.spreadsheetml.printerSettings"/>
  <Override PartName="/xl/printerSettings/printerSettings1245.bin" ContentType="application/vnd.openxmlformats-officedocument.spreadsheetml.printerSettings"/>
  <Override PartName="/xl/printerSettings/printerSettings54.bin" ContentType="application/vnd.openxmlformats-officedocument.spreadsheetml.printerSettings"/>
  <Override PartName="/xl/comments1.xml" ContentType="application/vnd.openxmlformats-officedocument.spreadsheetml.comments+xml"/>
  <Override PartName="/xl/printerSettings/printerSettings317.bin" ContentType="application/vnd.openxmlformats-officedocument.spreadsheetml.printerSettings"/>
  <Override PartName="/xl/printerSettings/printerSettings648.bin" ContentType="application/vnd.openxmlformats-officedocument.spreadsheetml.printerSettings"/>
  <Override PartName="/xl/printerSettings/printerSettings979.bin" ContentType="application/vnd.openxmlformats-officedocument.spreadsheetml.printerSettings"/>
  <Override PartName="/xl/printerSettings/printerSettings1084.bin" ContentType="application/vnd.openxmlformats-officedocument.spreadsheetml.printerSettings"/>
  <Override PartName="/xl/printerSettings/printerSettings1100.bin" ContentType="application/vnd.openxmlformats-officedocument.spreadsheetml.printerSettings"/>
  <Override PartName="/xl/printerSettings/printerSettings156.bin" ContentType="application/vnd.openxmlformats-officedocument.spreadsheetml.printerSettings"/>
  <Override PartName="/xl/printerSettings/printerSettings487.bin" ContentType="application/vnd.openxmlformats-officedocument.spreadsheetml.printerSettings"/>
  <Override PartName="/xl/printerSettings/printerSettings503.bin" ContentType="application/vnd.openxmlformats-officedocument.spreadsheetml.printerSettings"/>
  <Override PartName="/xl/printerSettings/printerSettings834.bin" ContentType="application/vnd.openxmlformats-officedocument.spreadsheetml.printerSettings"/>
  <Override PartName="/xl/worksheets/sheet55.xml" ContentType="application/vnd.openxmlformats-officedocument.spreadsheetml.worksheet+xml"/>
  <Override PartName="/xl/printerSettings/printerSettings3.bin" ContentType="application/vnd.openxmlformats-officedocument.spreadsheetml.printerSettings"/>
  <Override PartName="/xl/printerSettings/printerSettings342.bin" ContentType="application/vnd.openxmlformats-officedocument.spreadsheetml.printerSettings"/>
  <Override PartName="/xl/printerSettings/printerSettings673.bin" ContentType="application/vnd.openxmlformats-officedocument.spreadsheetml.printerSettings"/>
  <Override PartName="/xl/printerSettings/printerSettings1015.bin" ContentType="application/vnd.openxmlformats-officedocument.spreadsheetml.printerSettings"/>
  <Override PartName="/xl/printerSettings/printerSettings1201.bin" ContentType="application/vnd.openxmlformats-officedocument.spreadsheetml.printerSettings"/>
  <Override PartName="/xl/printerSettings/printerSettings10.bin" ContentType="application/vnd.openxmlformats-officedocument.spreadsheetml.printerSettings"/>
  <Override PartName="/xl/printerSettings/printerSettings181.bin" ContentType="application/vnd.openxmlformats-officedocument.spreadsheetml.printerSettings"/>
  <Override PartName="/xl/printerSettings/printerSettings418.bin" ContentType="application/vnd.openxmlformats-officedocument.spreadsheetml.printerSettings"/>
  <Override PartName="/xl/printerSettings/printerSettings604.bin" ContentType="application/vnd.openxmlformats-officedocument.spreadsheetml.printerSettings"/>
  <Override PartName="/xl/printerSettings/printerSettings749.bin" ContentType="application/vnd.openxmlformats-officedocument.spreadsheetml.printerSettings"/>
  <Override PartName="/xl/printerSettings/printerSettings1040.bin" ContentType="application/vnd.openxmlformats-officedocument.spreadsheetml.printerSettings"/>
  <Override PartName="/xl/printerSettings/printerSettings1185.bin" ContentType="application/vnd.openxmlformats-officedocument.spreadsheetml.printerSettings"/>
  <Override PartName="/xl/worksheets/sheet80.xml" ContentType="application/vnd.openxmlformats-officedocument.spreadsheetml.worksheet+xml"/>
  <Override PartName="/xl/theme/theme1.xml" ContentType="application/vnd.openxmlformats-officedocument.theme+xml"/>
  <Override PartName="/xl/printerSettings/printerSettings112.bin" ContentType="application/vnd.openxmlformats-officedocument.spreadsheetml.printerSettings"/>
  <Override PartName="/xl/printerSettings/printerSettings257.bin" ContentType="application/vnd.openxmlformats-officedocument.spreadsheetml.printerSettings"/>
  <Override PartName="/xl/printerSettings/printerSettings443.bin" ContentType="application/vnd.openxmlformats-officedocument.spreadsheetml.printerSettings"/>
  <Override PartName="/xl/printerSettings/printerSettings588.bin" ContentType="application/vnd.openxmlformats-officedocument.spreadsheetml.printerSettings"/>
  <Override PartName="/xl/printerSettings/printerSettings935.bin" ContentType="application/vnd.openxmlformats-officedocument.spreadsheetml.printerSettings"/>
  <Override PartName="/xl/printerSettings/printerSettings1116.bin" ContentType="application/vnd.openxmlformats-officedocument.spreadsheetml.printerSettings"/>
  <Override PartName="/xl/worksheets/sheet11.xml" ContentType="application/vnd.openxmlformats-officedocument.spreadsheetml.worksheet+xml"/>
  <Override PartName="/xl/printerSettings/printerSettings282.bin" ContentType="application/vnd.openxmlformats-officedocument.spreadsheetml.printerSettings"/>
  <Override PartName="/xl/printerSettings/printerSettings519.bin" ContentType="application/vnd.openxmlformats-officedocument.spreadsheetml.printerSettings"/>
  <Override PartName="/xl/printerSettings/printerSettings774.bin" ContentType="application/vnd.openxmlformats-officedocument.spreadsheetml.printerSettings"/>
  <Override PartName="/xl/printerSettings/printerSettings960.bin" ContentType="application/vnd.openxmlformats-officedocument.spreadsheetml.printerSettings"/>
  <Override PartName="/xl/externalLinks/externalLink25.xml" ContentType="application/vnd.openxmlformats-officedocument.spreadsheetml.externalLink+xml"/>
  <Override PartName="/xl/printerSettings/printerSettings95.bin" ContentType="application/vnd.openxmlformats-officedocument.spreadsheetml.printerSettings"/>
  <Override PartName="/xl/printerSettings/printerSettings358.bin" ContentType="application/vnd.openxmlformats-officedocument.spreadsheetml.printerSettings"/>
  <Override PartName="/xl/printerSettings/printerSettings705.bin" ContentType="application/vnd.openxmlformats-officedocument.spreadsheetml.printerSettings"/>
  <Override PartName="/xl/printerSettings/printerSettings1141.bin" ContentType="application/vnd.openxmlformats-officedocument.spreadsheetml.printerSettings"/>
  <Override PartName="/xl/printerSettings/printerSettings197.bin" ContentType="application/vnd.openxmlformats-officedocument.spreadsheetml.printerSettings"/>
  <Override PartName="/xl/printerSettings/printerSettings213.bin" ContentType="application/vnd.openxmlformats-officedocument.spreadsheetml.printerSettings"/>
  <Override PartName="/xl/printerSettings/printerSettings544.bin" ContentType="application/vnd.openxmlformats-officedocument.spreadsheetml.printerSettings"/>
  <Override PartName="/xl/printerSettings/printerSettings689.bin" ContentType="application/vnd.openxmlformats-officedocument.spreadsheetml.printerSettings"/>
  <Override PartName="/xl/printerSettings/printerSettings875.bin" ContentType="application/vnd.openxmlformats-officedocument.spreadsheetml.printerSettings"/>
  <Override PartName="/xl/printerSettings/printerSettings1217.bin" ContentType="application/vnd.openxmlformats-officedocument.spreadsheetml.printerSettings"/>
  <Override PartName="/xl/printerSettings/printerSettings26.bin" ContentType="application/vnd.openxmlformats-officedocument.spreadsheetml.printerSettings"/>
  <Override PartName="/xl/printerSettings/printerSettings383.bin" ContentType="application/vnd.openxmlformats-officedocument.spreadsheetml.printerSettings"/>
  <Override PartName="/xl/printerSettings/printerSettings730.bin" ContentType="application/vnd.openxmlformats-officedocument.spreadsheetml.printerSettings"/>
  <Override PartName="/xl/printerSettings/printerSettings1056.bin" ContentType="application/vnd.openxmlformats-officedocument.spreadsheetml.printerSettings"/>
  <Override PartName="/xl/printerSettings/printerSettings51.bin" ContentType="application/vnd.openxmlformats-officedocument.spreadsheetml.printerSettings"/>
  <Override PartName="/xl/printerSettings/printerSettings128.bin" ContentType="application/vnd.openxmlformats-officedocument.spreadsheetml.printerSettings"/>
  <Override PartName="/xl/printerSettings/printerSettings459.bin" ContentType="application/vnd.openxmlformats-officedocument.spreadsheetml.printerSettings"/>
  <Override PartName="/xl/printerSettings/printerSettings806.bin" ContentType="application/vnd.openxmlformats-officedocument.spreadsheetml.printerSettings"/>
  <Override PartName="/xl/printerSettings/printerSettings1242.bin" ContentType="application/vnd.openxmlformats-officedocument.spreadsheetml.printerSettings"/>
  <Override PartName="/xl/worksheets/sheet27.xml" ContentType="application/vnd.openxmlformats-officedocument.spreadsheetml.worksheet+xml"/>
  <Override PartName="/xl/printerSettings/printerSettings298.bin" ContentType="application/vnd.openxmlformats-officedocument.spreadsheetml.printerSettings"/>
  <Override PartName="/xl/printerSettings/printerSettings314.bin" ContentType="application/vnd.openxmlformats-officedocument.spreadsheetml.printerSettings"/>
  <Override PartName="/xl/printerSettings/printerSettings500.bin" ContentType="application/vnd.openxmlformats-officedocument.spreadsheetml.printerSettings"/>
  <Override PartName="/xl/printerSettings/printerSettings645.bin" ContentType="application/vnd.openxmlformats-officedocument.spreadsheetml.printerSettings"/>
  <Override PartName="/xl/printerSettings/printerSettings831.bin" ContentType="application/vnd.openxmlformats-officedocument.spreadsheetml.printerSettings"/>
  <Override PartName="/xl/printerSettings/printerSettings976.bin" ContentType="application/vnd.openxmlformats-officedocument.spreadsheetml.printerSettings"/>
  <Override PartName="/xl/printerSettings/printerSettings1081.bin" ContentType="application/vnd.openxmlformats-officedocument.spreadsheetml.printerSettings"/>
  <Override PartName="/xl/worksheets/sheet52.xml" ContentType="application/vnd.openxmlformats-officedocument.spreadsheetml.worksheet+xml"/>
  <Override PartName="/xl/printerSettings/printerSettings153.bin" ContentType="application/vnd.openxmlformats-officedocument.spreadsheetml.printerSettings"/>
  <Override PartName="/xl/printerSettings/printerSettings484.bin" ContentType="application/vnd.openxmlformats-officedocument.spreadsheetml.printerSettings"/>
  <Override PartName="/xl/printerSettings/printerSettings670.bin" ContentType="application/vnd.openxmlformats-officedocument.spreadsheetml.printerSettings"/>
  <Override PartName="/xl/printerSettings/printerSettings907.bin" ContentType="application/vnd.openxmlformats-officedocument.spreadsheetml.printerSettings"/>
  <Override PartName="/xl/printerSettings/printerSettings1012.bin" ContentType="application/vnd.openxmlformats-officedocument.spreadsheetml.printerSettings"/>
  <Override PartName="/xl/printerSettings/printerSettings1157.bin" ContentType="application/vnd.openxmlformats-officedocument.spreadsheetml.printerSettings"/>
  <Override PartName="/xl/printerSettings/printerSettings229.bin" ContentType="application/vnd.openxmlformats-officedocument.spreadsheetml.printerSettings"/>
  <Override PartName="/xl/printerSettings/printerSettings415.bin" ContentType="application/vnd.openxmlformats-officedocument.spreadsheetml.printerSettings"/>
  <Override PartName="/xl/printerSettings/printerSettings746.bin" ContentType="application/vnd.openxmlformats-officedocument.spreadsheetml.printerSettings"/>
  <Override PartName="/xl/printerSettings/printerSettings1182.bin" ContentType="application/vnd.openxmlformats-officedocument.spreadsheetml.printerSettings"/>
  <Override PartName="/xl/printerSettings/printerSettings254.bin" ContentType="application/vnd.openxmlformats-officedocument.spreadsheetml.printerSettings"/>
  <Override PartName="/xl/printerSettings/printerSettings399.bin" ContentType="application/vnd.openxmlformats-officedocument.spreadsheetml.printerSettings"/>
  <Override PartName="/xl/printerSettings/printerSettings585.bin" ContentType="application/vnd.openxmlformats-officedocument.spreadsheetml.printerSettings"/>
  <Override PartName="/xl/printerSettings/printerSettings601.bin" ContentType="application/vnd.openxmlformats-officedocument.spreadsheetml.printerSettings"/>
  <Override PartName="/xl/printerSettings/printerSettings932.bin" ContentType="application/vnd.openxmlformats-officedocument.spreadsheetml.printerSettings"/>
  <Override PartName="/xl/printerSettings/printerSettings67.bin" ContentType="application/vnd.openxmlformats-officedocument.spreadsheetml.printerSettings"/>
  <Override PartName="/xl/printerSettings/printerSettings440.bin" ContentType="application/vnd.openxmlformats-officedocument.spreadsheetml.printerSettings"/>
  <Override PartName="/xl/printerSettings/printerSettings771.bin" ContentType="application/vnd.openxmlformats-officedocument.spreadsheetml.printerSettings"/>
  <Override PartName="/xl/printerSettings/printerSettings1097.bin" ContentType="application/vnd.openxmlformats-officedocument.spreadsheetml.printerSettings"/>
  <Override PartName="/xl/printerSettings/printerSettings1113.bin" ContentType="application/vnd.openxmlformats-officedocument.spreadsheetml.printerSettings"/>
  <Override PartName="/xl/externalLinks/externalLink22.xml" ContentType="application/vnd.openxmlformats-officedocument.spreadsheetml.externalLink+xml"/>
  <Override PartName="/xl/printerSettings/printerSettings92.bin" ContentType="application/vnd.openxmlformats-officedocument.spreadsheetml.printerSettings"/>
  <Override PartName="/xl/printerSettings/printerSettings169.bin" ContentType="application/vnd.openxmlformats-officedocument.spreadsheetml.printerSettings"/>
  <Override PartName="/xl/printerSettings/printerSettings516.bin" ContentType="application/vnd.openxmlformats-officedocument.spreadsheetml.printerSettings"/>
  <Override PartName="/xl/printerSettings/printerSettings702.bin" ContentType="application/vnd.openxmlformats-officedocument.spreadsheetml.printerSettings"/>
  <Override PartName="/xl/printerSettings/printerSettings847.bin" ContentType="application/vnd.openxmlformats-officedocument.spreadsheetml.printerSettings"/>
  <Override PartName="/xl/worksheets/sheet68.xml" ContentType="application/vnd.openxmlformats-officedocument.spreadsheetml.worksheet+xml"/>
  <Override PartName="/xl/printerSettings/printerSettings210.bin" ContentType="application/vnd.openxmlformats-officedocument.spreadsheetml.printerSettings"/>
  <Override PartName="/xl/printerSettings/printerSettings355.bin" ContentType="application/vnd.openxmlformats-officedocument.spreadsheetml.printerSettings"/>
  <Override PartName="/xl/printerSettings/printerSettings541.bin" ContentType="application/vnd.openxmlformats-officedocument.spreadsheetml.printerSettings"/>
  <Override PartName="/xl/printerSettings/printerSettings686.bin" ContentType="application/vnd.openxmlformats-officedocument.spreadsheetml.printerSettings"/>
  <Override PartName="/xl/printerSettings/printerSettings1028.bin" ContentType="application/vnd.openxmlformats-officedocument.spreadsheetml.printerSettings"/>
  <Override PartName="/xl/printerSettings/printerSettings23.bin" ContentType="application/vnd.openxmlformats-officedocument.spreadsheetml.printerSettings"/>
  <Override PartName="/xl/printerSettings/printerSettings194.bin" ContentType="application/vnd.openxmlformats-officedocument.spreadsheetml.printerSettings"/>
  <Override PartName="/xl/printerSettings/printerSettings380.bin" ContentType="application/vnd.openxmlformats-officedocument.spreadsheetml.printerSettings"/>
  <Override PartName="/xl/printerSettings/printerSettings872.bin" ContentType="application/vnd.openxmlformats-officedocument.spreadsheetml.printerSettings"/>
  <Override PartName="/xl/printerSettings/printerSettings1198.bin" ContentType="application/vnd.openxmlformats-officedocument.spreadsheetml.printerSettings"/>
  <Override PartName="/xl/printerSettings/printerSettings1214.bin" ContentType="application/vnd.openxmlformats-officedocument.spreadsheetml.printerSettings"/>
  <Override PartName="/xl/printerSettings/printerSettings125.bin" ContentType="application/vnd.openxmlformats-officedocument.spreadsheetml.printerSettings"/>
  <Override PartName="/xl/printerSettings/printerSettings617.bin" ContentType="application/vnd.openxmlformats-officedocument.spreadsheetml.printerSettings"/>
  <Override PartName="/xl/printerSettings/printerSettings803.bin" ContentType="application/vnd.openxmlformats-officedocument.spreadsheetml.printerSettings"/>
  <Override PartName="/xl/printerSettings/printerSettings948.bin" ContentType="application/vnd.openxmlformats-officedocument.spreadsheetml.printerSettings"/>
  <Override PartName="/xl/printerSettings/printerSettings1053.bin" ContentType="application/vnd.openxmlformats-officedocument.spreadsheetml.printerSettings"/>
  <Override PartName="/xl/worksheets/sheet24.xml" ContentType="application/vnd.openxmlformats-officedocument.spreadsheetml.worksheet+xml"/>
  <Override PartName="/xl/printerSettings/printerSettings311.bin" ContentType="application/vnd.openxmlformats-officedocument.spreadsheetml.printerSettings"/>
  <Override PartName="/xl/printerSettings/printerSettings456.bin" ContentType="application/vnd.openxmlformats-officedocument.spreadsheetml.printerSettings"/>
  <Override PartName="/xl/printerSettings/printerSettings642.bin" ContentType="application/vnd.openxmlformats-officedocument.spreadsheetml.printerSettings"/>
  <Override PartName="/xl/printerSettings/printerSettings787.bin" ContentType="application/vnd.openxmlformats-officedocument.spreadsheetml.printerSettings"/>
  <Override PartName="/xl/printerSettings/printerSettings973.bin" ContentType="application/vnd.openxmlformats-officedocument.spreadsheetml.printerSettings"/>
  <Override PartName="/xl/printerSettings/printerSettings1129.bin" ContentType="application/vnd.openxmlformats-officedocument.spreadsheetml.printerSettings"/>
  <Override PartName="/xl/externalLinks/externalLink38.xml" ContentType="application/vnd.openxmlformats-officedocument.spreadsheetml.externalLink+xml"/>
  <Override PartName="/xl/printerSettings/printerSettings150.bin" ContentType="application/vnd.openxmlformats-officedocument.spreadsheetml.printerSettings"/>
  <Override PartName="/xl/printerSettings/printerSettings295.bin" ContentType="application/vnd.openxmlformats-officedocument.spreadsheetml.printerSettings"/>
  <Override PartName="/xl/printerSettings/printerSettings481.bin" ContentType="application/vnd.openxmlformats-officedocument.spreadsheetml.printerSettings"/>
  <Override PartName="/xl/printerSettings/printerSettings718.bin" ContentType="application/vnd.openxmlformats-officedocument.spreadsheetml.printerSettings"/>
  <Override PartName="/xl/printerSettings/printerSettings1154.bin" ContentType="application/vnd.openxmlformats-officedocument.spreadsheetml.printerSettings"/>
  <Override PartName="/xl/printerSettings/printerSettings226.bin" ContentType="application/vnd.openxmlformats-officedocument.spreadsheetml.printerSettings"/>
  <Override PartName="/xl/printerSettings/printerSettings557.bin" ContentType="application/vnd.openxmlformats-officedocument.spreadsheetml.printerSettings"/>
  <Override PartName="/xl/printerSettings/printerSettings904.bin" ContentType="application/vnd.openxmlformats-officedocument.spreadsheetml.printerSettings"/>
  <Override PartName="/xl/printerSettings/printerSettings39.bin" ContentType="application/vnd.openxmlformats-officedocument.spreadsheetml.printerSettings"/>
  <Override PartName="/xl/printerSettings/printerSettings396.bin" ContentType="application/vnd.openxmlformats-officedocument.spreadsheetml.printerSettings"/>
  <Override PartName="/xl/printerSettings/printerSettings412.bin" ContentType="application/vnd.openxmlformats-officedocument.spreadsheetml.printerSettings"/>
  <Override PartName="/xl/printerSettings/printerSettings743.bin" ContentType="application/vnd.openxmlformats-officedocument.spreadsheetml.printerSettings"/>
  <Override PartName="/xl/printerSettings/printerSettings888.bin" ContentType="application/vnd.openxmlformats-officedocument.spreadsheetml.printerSettings"/>
  <Override PartName="/xl/printerSettings/printerSettings1069.bin" ContentType="application/vnd.openxmlformats-officedocument.spreadsheetml.printerSettings"/>
  <Override PartName="/xl/printerSettings/printerSettings64.bin" ContentType="application/vnd.openxmlformats-officedocument.spreadsheetml.printerSettings"/>
  <Override PartName="/xl/printerSettings/printerSettings251.bin" ContentType="application/vnd.openxmlformats-officedocument.spreadsheetml.printerSettings"/>
  <Override PartName="/xl/printerSettings/printerSettings582.bin" ContentType="application/vnd.openxmlformats-officedocument.spreadsheetml.printerSettings"/>
  <Override PartName="/xl/printerSettings/printerSettings819.bin" ContentType="application/vnd.openxmlformats-officedocument.spreadsheetml.printerSettings"/>
  <Override PartName="/xl/printerSettings/printerSettings1110.bin" ContentType="application/vnd.openxmlformats-officedocument.spreadsheetml.printerSettings"/>
  <Override PartName="/xl/printerSettings/printerSettings327.bin" ContentType="application/vnd.openxmlformats-officedocument.spreadsheetml.printerSettings"/>
  <Override PartName="/xl/printerSettings/printerSettings513.bin" ContentType="application/vnd.openxmlformats-officedocument.spreadsheetml.printerSettings"/>
  <Override PartName="/xl/printerSettings/printerSettings658.bin" ContentType="application/vnd.openxmlformats-officedocument.spreadsheetml.printerSettings"/>
  <Override PartName="/xl/printerSettings/printerSettings989.bin" ContentType="application/vnd.openxmlformats-officedocument.spreadsheetml.printerSettings"/>
  <Override PartName="/xl/printerSettings/printerSettings1094.bin" ContentType="application/vnd.openxmlformats-officedocument.spreadsheetml.printerSettings"/>
  <Override PartName="/xl/printerSettings/printerSettings166.bin" ContentType="application/vnd.openxmlformats-officedocument.spreadsheetml.printerSettings"/>
  <Override PartName="/xl/printerSettings/printerSettings352.bin" ContentType="application/vnd.openxmlformats-officedocument.spreadsheetml.printerSettings"/>
  <Override PartName="/xl/printerSettings/printerSettings497.bin" ContentType="application/vnd.openxmlformats-officedocument.spreadsheetml.printerSettings"/>
  <Override PartName="/xl/printerSettings/printerSettings844.bin" ContentType="application/vnd.openxmlformats-officedocument.spreadsheetml.printerSettings"/>
  <Override PartName="/xl/printerSettings/printerSettings1025.bin" ContentType="application/vnd.openxmlformats-officedocument.spreadsheetml.printerSettings"/>
  <Override PartName="/xl/worksheets/sheet65.xml" ContentType="application/vnd.openxmlformats-officedocument.spreadsheetml.worksheet+xml"/>
  <Override PartName="/xl/printerSettings/printerSettings20.bin" ContentType="application/vnd.openxmlformats-officedocument.spreadsheetml.printerSettings"/>
  <Override PartName="/xl/printerSettings/printerSettings191.bin" ContentType="application/vnd.openxmlformats-officedocument.spreadsheetml.printerSettings"/>
  <Override PartName="/xl/printerSettings/printerSettings683.bin" ContentType="application/vnd.openxmlformats-officedocument.spreadsheetml.printerSettings"/>
  <Override PartName="/xl/printerSettings/printerSettings1211.bin" ContentType="application/vnd.openxmlformats-officedocument.spreadsheetml.printerSettings"/>
  <Override PartName="/xl/printerSettings/printerSettings267.bin" ContentType="application/vnd.openxmlformats-officedocument.spreadsheetml.printerSettings"/>
  <Override PartName="/xl/printerSettings/printerSettings428.bin" ContentType="application/vnd.openxmlformats-officedocument.spreadsheetml.printerSettings"/>
  <Override PartName="/xl/printerSettings/printerSettings614.bin" ContentType="application/vnd.openxmlformats-officedocument.spreadsheetml.printerSettings"/>
  <Override PartName="/xl/printerSettings/printerSettings759.bin" ContentType="application/vnd.openxmlformats-officedocument.spreadsheetml.printerSettings"/>
  <Override PartName="/xl/printerSettings/printerSettings945.bin" ContentType="application/vnd.openxmlformats-officedocument.spreadsheetml.printerSettings"/>
  <Override PartName="/xl/printerSettings/printerSettings1050.bin" ContentType="application/vnd.openxmlformats-officedocument.spreadsheetml.printerSettings"/>
  <Override PartName="/xl/printerSettings/printerSettings1195.bin" ContentType="application/vnd.openxmlformats-officedocument.spreadsheetml.printerSettings"/>
  <Override PartName="/xl/printerSettings/printerSettings122.bin" ContentType="application/vnd.openxmlformats-officedocument.spreadsheetml.printerSettings"/>
  <Override PartName="/xl/printerSettings/printerSettings453.bin" ContentType="application/vnd.openxmlformats-officedocument.spreadsheetml.printerSettings"/>
  <Override PartName="/xl/printerSettings/printerSettings598.bin" ContentType="application/vnd.openxmlformats-officedocument.spreadsheetml.printerSettings"/>
  <Override PartName="/xl/printerSettings/printerSettings784.bin" ContentType="application/vnd.openxmlformats-officedocument.spreadsheetml.printerSettings"/>
  <Override PartName="/xl/printerSettings/printerSettings800.bin" ContentType="application/vnd.openxmlformats-officedocument.spreadsheetml.printerSettings"/>
  <Override PartName="/xl/printerSettings/printerSettings1126.bin" ContentType="application/vnd.openxmlformats-officedocument.spreadsheetml.printerSettings"/>
  <Override PartName="/xl/worksheets/sheet21.xml" ContentType="application/vnd.openxmlformats-officedocument.spreadsheetml.worksheet+xml"/>
  <Override PartName="/xl/printerSettings/printerSettings292.bin" ContentType="application/vnd.openxmlformats-officedocument.spreadsheetml.printerSettings"/>
  <Override PartName="/xl/printerSettings/printerSettings529.bin" ContentType="application/vnd.openxmlformats-officedocument.spreadsheetml.printerSettings"/>
  <Override PartName="/xl/printerSettings/printerSettings970.bin" ContentType="application/vnd.openxmlformats-officedocument.spreadsheetml.printerSettings"/>
  <Override PartName="/xl/externalLinks/externalLink35.xml" ContentType="application/vnd.openxmlformats-officedocument.spreadsheetml.externalLink+xml"/>
  <Override PartName="/xl/printerSettings/printerSettings368.bin" ContentType="application/vnd.openxmlformats-officedocument.spreadsheetml.printerSettings"/>
  <Override PartName="/xl/printerSettings/printerSettings699.bin" ContentType="application/vnd.openxmlformats-officedocument.spreadsheetml.printerSettings"/>
  <Override PartName="/xl/printerSettings/printerSettings715.bin" ContentType="application/vnd.openxmlformats-officedocument.spreadsheetml.printerSettings"/>
  <Override PartName="/xl/printerSettings/printerSettings901.bin" ContentType="application/vnd.openxmlformats-officedocument.spreadsheetml.printerSettings"/>
  <Override PartName="/xl/printerSettings/printerSettings1151.bin" ContentType="application/vnd.openxmlformats-officedocument.spreadsheetml.printerSettings"/>
  <Override PartName="/xl/printerSettings/printerSettings36.bin" ContentType="application/vnd.openxmlformats-officedocument.spreadsheetml.printerSettings"/>
  <Override PartName="/xl/printerSettings/printerSettings223.bin" ContentType="application/vnd.openxmlformats-officedocument.spreadsheetml.printerSettings"/>
  <Override PartName="/xl/printerSettings/printerSettings554.bin" ContentType="application/vnd.openxmlformats-officedocument.spreadsheetml.printerSettings"/>
  <Override PartName="/xl/printerSettings/printerSettings740.bin" ContentType="application/vnd.openxmlformats-officedocument.spreadsheetml.printerSettings"/>
  <Override PartName="/xl/printerSettings/printerSettings885.bin" ContentType="application/vnd.openxmlformats-officedocument.spreadsheetml.printerSettings"/>
  <Override PartName="/xl/printerSettings/printerSettings1227.bin" ContentType="application/vnd.openxmlformats-officedocument.spreadsheetml.printerSettings"/>
  <Override PartName="/xl/printerSettings/printerSettings393.bin" ContentType="application/vnd.openxmlformats-officedocument.spreadsheetml.printerSettings"/>
  <Override PartName="/xl/printerSettings/printerSettings816.bin" ContentType="application/vnd.openxmlformats-officedocument.spreadsheetml.printerSettings"/>
  <Override PartName="/xl/printerSettings/printerSettings1066.bin" ContentType="application/vnd.openxmlformats-officedocument.spreadsheetml.printerSettings"/>
  <Override PartName="/xl/printerSettings/printerSettings61.bin" ContentType="application/vnd.openxmlformats-officedocument.spreadsheetml.printerSettings"/>
  <Override PartName="/xl/printerSettings/printerSettings138.bin" ContentType="application/vnd.openxmlformats-officedocument.spreadsheetml.printerSettings"/>
  <Override PartName="/xl/printerSettings/printerSettings324.bin" ContentType="application/vnd.openxmlformats-officedocument.spreadsheetml.printerSettings"/>
  <Override PartName="/xl/printerSettings/printerSettings469.bin" ContentType="application/vnd.openxmlformats-officedocument.spreadsheetml.printerSettings"/>
  <Override PartName="/xl/printerSettings/printerSettings655.bin" ContentType="application/vnd.openxmlformats-officedocument.spreadsheetml.printerSettings"/>
  <Override PartName="/xl/printerSettings/printerSettings1091.bin" ContentType="application/vnd.openxmlformats-officedocument.spreadsheetml.printerSettings"/>
  <Override PartName="/xl/worksheets/sheet37.xml" ContentType="application/vnd.openxmlformats-officedocument.spreadsheetml.worksheet+xml"/>
  <Override PartName="/xl/printerSettings/printerSettings163.bin" ContentType="application/vnd.openxmlformats-officedocument.spreadsheetml.printerSettings"/>
  <Override PartName="/xl/printerSettings/printerSettings494.bin" ContentType="application/vnd.openxmlformats-officedocument.spreadsheetml.printerSettings"/>
  <Override PartName="/xl/printerSettings/printerSettings510.bin" ContentType="application/vnd.openxmlformats-officedocument.spreadsheetml.printerSettings"/>
  <Override PartName="/xl/printerSettings/printerSettings841.bin" ContentType="application/vnd.openxmlformats-officedocument.spreadsheetml.printerSettings"/>
  <Override PartName="/xl/printerSettings/printerSettings986.bin" ContentType="application/vnd.openxmlformats-officedocument.spreadsheetml.printerSettings"/>
  <Override PartName="/xl/printerSettings/printerSettings1167.bin" ContentType="application/vnd.openxmlformats-officedocument.spreadsheetml.printerSettings"/>
  <Override PartName="/xl/worksheets/sheet62.xml" ContentType="application/vnd.openxmlformats-officedocument.spreadsheetml.worksheet+xml"/>
  <Override PartName="/xl/printerSettings/printerSettings239.bin" ContentType="application/vnd.openxmlformats-officedocument.spreadsheetml.printerSettings"/>
  <Override PartName="/xl/printerSettings/printerSettings680.bin" ContentType="application/vnd.openxmlformats-officedocument.spreadsheetml.printerSettings"/>
  <Override PartName="/xl/printerSettings/printerSettings917.bin" ContentType="application/vnd.openxmlformats-officedocument.spreadsheetml.printerSettings"/>
  <Override PartName="/xl/printerSettings/printerSettings1022.bin" ContentType="application/vnd.openxmlformats-officedocument.spreadsheetml.printerSettings"/>
  <Override PartName="/xl/printerSettings/printerSettings425.bin" ContentType="application/vnd.openxmlformats-officedocument.spreadsheetml.printerSettings"/>
  <Override PartName="/xl/printerSettings/printerSettings611.bin" ContentType="application/vnd.openxmlformats-officedocument.spreadsheetml.printerSettings"/>
  <Override PartName="/xl/printerSettings/printerSettings756.bin" ContentType="application/vnd.openxmlformats-officedocument.spreadsheetml.printerSettings"/>
  <Override PartName="/xl/printerSettings/printerSettings1192.bin" ContentType="application/vnd.openxmlformats-officedocument.spreadsheetml.printerSettings"/>
  <Override PartName="/xl/printerSettings/printerSettings264.bin" ContentType="application/vnd.openxmlformats-officedocument.spreadsheetml.printerSettings"/>
  <Override PartName="/xl/printerSettings/printerSettings450.bin" ContentType="application/vnd.openxmlformats-officedocument.spreadsheetml.printerSettings"/>
  <Override PartName="/xl/printerSettings/printerSettings595.bin" ContentType="application/vnd.openxmlformats-officedocument.spreadsheetml.printerSettings"/>
  <Override PartName="/xl/printerSettings/printerSettings942.bin" ContentType="application/vnd.openxmlformats-officedocument.spreadsheetml.printerSettings"/>
  <Override PartName="/xl/printerSettings/printerSettings77.bin" ContentType="application/vnd.openxmlformats-officedocument.spreadsheetml.printerSettings"/>
  <Override PartName="/xl/printerSettings/printerSettings781.bin" ContentType="application/vnd.openxmlformats-officedocument.spreadsheetml.printerSettings"/>
  <Override PartName="/xl/printerSettings/printerSettings1123.bin" ContentType="application/vnd.openxmlformats-officedocument.spreadsheetml.printerSettings"/>
  <Override PartName="/xl/externalLinks/externalLink32.xml" ContentType="application/vnd.openxmlformats-officedocument.spreadsheetml.externalLink+xml"/>
  <Override PartName="/xl/printerSettings/printerSettings179.bin" ContentType="application/vnd.openxmlformats-officedocument.spreadsheetml.printerSettings"/>
  <Override PartName="/xl/printerSettings/printerSettings526.bin" ContentType="application/vnd.openxmlformats-officedocument.spreadsheetml.printerSettings"/>
  <Override PartName="/xl/printerSettings/printerSettings712.bin" ContentType="application/vnd.openxmlformats-officedocument.spreadsheetml.printerSettings"/>
  <Override PartName="/xl/printerSettings/printerSettings857.bin" ContentType="application/vnd.openxmlformats-officedocument.spreadsheetml.printerSettings"/>
  <Override PartName="/xl/worksheets/sheet78.xml" ContentType="application/vnd.openxmlformats-officedocument.spreadsheetml.worksheet+xml"/>
  <Override PartName="/xl/printerSettings/printerSettings220.bin" ContentType="application/vnd.openxmlformats-officedocument.spreadsheetml.printerSettings"/>
  <Override PartName="/xl/printerSettings/printerSettings365.bin" ContentType="application/vnd.openxmlformats-officedocument.spreadsheetml.printerSettings"/>
  <Override PartName="/xl/printerSettings/printerSettings551.bin" ContentType="application/vnd.openxmlformats-officedocument.spreadsheetml.printerSettings"/>
  <Override PartName="/xl/printerSettings/printerSettings696.bin" ContentType="application/vnd.openxmlformats-officedocument.spreadsheetml.printerSettings"/>
  <Override PartName="/xl/printerSettings/printerSettings882.bin" ContentType="application/vnd.openxmlformats-officedocument.spreadsheetml.printerSettings"/>
  <Override PartName="/xl/printerSettings/printerSettings1038.bin" ContentType="application/vnd.openxmlformats-officedocument.spreadsheetml.printerSettings"/>
  <Override PartName="/xl/printerSettings/printerSettings1224.bin" ContentType="application/vnd.openxmlformats-officedocument.spreadsheetml.printerSettings"/>
  <Override PartName="/xl/printerSettings/printerSettings33.bin" ContentType="application/vnd.openxmlformats-officedocument.spreadsheetml.printerSettings"/>
  <Override PartName="/xl/printerSettings/printerSettings390.bin" ContentType="application/vnd.openxmlformats-officedocument.spreadsheetml.printerSettings"/>
  <Override PartName="/xl/printerSettings/printerSettings627.bin" ContentType="application/vnd.openxmlformats-officedocument.spreadsheetml.printerSettings"/>
  <Override PartName="/xl/printerSettings/printerSettings1063.bin" ContentType="application/vnd.openxmlformats-officedocument.spreadsheetml.printerSettings"/>
  <Override PartName="/xl/printerSettings/printerSettings135.bin" ContentType="application/vnd.openxmlformats-officedocument.spreadsheetml.printerSettings"/>
  <Override PartName="/xl/printerSettings/printerSettings466.bin" ContentType="application/vnd.openxmlformats-officedocument.spreadsheetml.printerSettings"/>
  <Override PartName="/xl/printerSettings/printerSettings813.bin" ContentType="application/vnd.openxmlformats-officedocument.spreadsheetml.printerSettings"/>
  <Override PartName="/xl/printerSettings/printerSettings958.bin" ContentType="application/vnd.openxmlformats-officedocument.spreadsheetml.printerSettings"/>
  <Override PartName="/xl/printerSettings/printerSettings1139.bin" ContentType="application/vnd.openxmlformats-officedocument.spreadsheetml.printerSettings"/>
  <Override PartName="/xl/worksheets/sheet34.xml" ContentType="application/vnd.openxmlformats-officedocument.spreadsheetml.worksheet+xml"/>
  <Override PartName="/xl/printerSettings/printerSettings321.bin" ContentType="application/vnd.openxmlformats-officedocument.spreadsheetml.printerSettings"/>
  <Override PartName="/xl/printerSettings/printerSettings652.bin" ContentType="application/vnd.openxmlformats-officedocument.spreadsheetml.printerSettings"/>
  <Override PartName="/xl/printerSettings/printerSettings797.bin" ContentType="application/vnd.openxmlformats-officedocument.spreadsheetml.printerSettings"/>
  <Override PartName="/xl/printerSettings/printerSettings983.bin" ContentType="application/vnd.openxmlformats-officedocument.spreadsheetml.printerSettings"/>
  <Override PartName="/xl/printerSettings/printerSettings160.bin" ContentType="application/vnd.openxmlformats-officedocument.spreadsheetml.printerSettings"/>
  <Override PartName="/xl/printerSettings/printerSettings491.bin" ContentType="application/vnd.openxmlformats-officedocument.spreadsheetml.printerSettings"/>
  <Override PartName="/xl/printerSettings/printerSettings728.bin" ContentType="application/vnd.openxmlformats-officedocument.spreadsheetml.printerSettings"/>
  <Override PartName="/xl/printerSettings/printerSettings1164.bin" ContentType="application/vnd.openxmlformats-officedocument.spreadsheetml.printerSettings"/>
  <Override PartName="/xl/printerSettings/printerSettings236.bin" ContentType="application/vnd.openxmlformats-officedocument.spreadsheetml.printerSettings"/>
  <Override PartName="/xl/printerSettings/printerSettings422.bin" ContentType="application/vnd.openxmlformats-officedocument.spreadsheetml.printerSettings"/>
  <Override PartName="/xl/printerSettings/printerSettings567.bin" ContentType="application/vnd.openxmlformats-officedocument.spreadsheetml.printerSettings"/>
  <Override PartName="/xl/printerSettings/printerSettings898.bin" ContentType="application/vnd.openxmlformats-officedocument.spreadsheetml.printerSettings"/>
  <Override PartName="/xl/printerSettings/printerSettings914.bin" ContentType="application/vnd.openxmlformats-officedocument.spreadsheetml.printerSettings"/>
  <Override PartName="/xl/printerSettings/printerSettings49.bin" ContentType="application/vnd.openxmlformats-officedocument.spreadsheetml.printerSettings"/>
  <Override PartName="/xl/printerSettings/printerSettings261.bin" ContentType="application/vnd.openxmlformats-officedocument.spreadsheetml.printerSettings"/>
  <Override PartName="/xl/printerSettings/printerSettings753.bin" ContentType="application/vnd.openxmlformats-officedocument.spreadsheetml.printerSettings"/>
  <Override PartName="/xl/printerSettings/printerSettings1079.bin" ContentType="application/vnd.openxmlformats-officedocument.spreadsheetml.printerSettings"/>
  <Override PartName="/xl/printerSettings/printerSettings74.bin" ContentType="application/vnd.openxmlformats-officedocument.spreadsheetml.printerSettings"/>
  <Override PartName="/xl/printerSettings/printerSettings592.bin" ContentType="application/vnd.openxmlformats-officedocument.spreadsheetml.printerSettings"/>
  <Override PartName="/xl/printerSettings/printerSettings829.bin" ContentType="application/vnd.openxmlformats-officedocument.spreadsheetml.printerSettings"/>
  <Override PartName="/xl/printerSettings/printerSettings1120.bin" ContentType="application/vnd.openxmlformats-officedocument.spreadsheetml.printerSettings"/>
  <Override PartName="/xl/printerSettings/printerSettings337.bin" ContentType="application/vnd.openxmlformats-officedocument.spreadsheetml.printerSettings"/>
  <Override PartName="/xl/printerSettings/printerSettings523.bin" ContentType="application/vnd.openxmlformats-officedocument.spreadsheetml.printerSettings"/>
  <Override PartName="/xl/printerSettings/printerSettings668.bin" ContentType="application/vnd.openxmlformats-officedocument.spreadsheetml.printerSettings"/>
  <Override PartName="/xl/printerSettings/printerSettings854.bin" ContentType="application/vnd.openxmlformats-officedocument.spreadsheetml.printerSettings"/>
  <Override PartName="/xl/printerSettings/printerSettings999.bin" ContentType="application/vnd.openxmlformats-officedocument.spreadsheetml.printerSettings"/>
  <Override PartName="/xl/worksheets/sheet75.xml" ContentType="application/vnd.openxmlformats-officedocument.spreadsheetml.worksheet+xml"/>
  <Override PartName="/xl/printerSettings/printerSettings176.bin" ContentType="application/vnd.openxmlformats-officedocument.spreadsheetml.printerSettings"/>
  <Override PartName="/xl/printerSettings/printerSettings362.bin" ContentType="application/vnd.openxmlformats-officedocument.spreadsheetml.printerSettings"/>
  <Override PartName="/xl/printerSettings/printerSettings693.bin" ContentType="application/vnd.openxmlformats-officedocument.spreadsheetml.printerSettings"/>
  <Override PartName="/xl/printerSettings/printerSettings1035.bin" ContentType="application/vnd.openxmlformats-officedocument.spreadsheetml.printerSettings"/>
  <Override PartName="/xl/printerSettings/printerSettings30.bin" ContentType="application/vnd.openxmlformats-officedocument.spreadsheetml.printerSettings"/>
  <Override PartName="/xl/printerSettings/printerSettings107.bin" ContentType="application/vnd.openxmlformats-officedocument.spreadsheetml.printerSettings"/>
  <Override PartName="/xl/printerSettings/printerSettings438.bin" ContentType="application/vnd.openxmlformats-officedocument.spreadsheetml.printerSettings"/>
  <Override PartName="/xl/printerSettings/printerSettings769.bin" ContentType="application/vnd.openxmlformats-officedocument.spreadsheetml.printerSettings"/>
  <Override PartName="/xl/printerSettings/printerSettings1221.bin" ContentType="application/vnd.openxmlformats-officedocument.spreadsheetml.printerSettings"/>
  <Override PartName="/xl/ctrlProps/ctrlProp1.xml" ContentType="application/vnd.ms-excel.controlproperties+xml"/>
  <Override PartName="/xl/printerSettings/printerSettings277.bin" ContentType="application/vnd.openxmlformats-officedocument.spreadsheetml.printerSettings"/>
  <Override PartName="/xl/printerSettings/printerSettings624.bin" ContentType="application/vnd.openxmlformats-officedocument.spreadsheetml.printerSettings"/>
  <Override PartName="/xl/printerSettings/printerSettings810.bin" ContentType="application/vnd.openxmlformats-officedocument.spreadsheetml.printerSettings"/>
  <Override PartName="/xl/printerSettings/printerSettings955.bin" ContentType="application/vnd.openxmlformats-officedocument.spreadsheetml.printerSettings"/>
  <Override PartName="/xl/printerSettings/printerSettings1060.bin" ContentType="application/vnd.openxmlformats-officedocument.spreadsheetml.printerSettings"/>
  <Override PartName="/xl/externalLinks/externalLink9.xml" ContentType="application/vnd.openxmlformats-officedocument.spreadsheetml.externalLink+xml"/>
  <Override PartName="/xl/printerSettings/printerSettings132.bin" ContentType="application/vnd.openxmlformats-officedocument.spreadsheetml.printerSettings"/>
  <Override PartName="/xl/printerSettings/printerSettings463.bin" ContentType="application/vnd.openxmlformats-officedocument.spreadsheetml.printerSettings"/>
  <Override PartName="/xl/printerSettings/printerSettings794.bin" ContentType="application/vnd.openxmlformats-officedocument.spreadsheetml.printerSettings"/>
  <Override PartName="/xl/printerSettings/printerSettings1136.bin" ContentType="application/vnd.openxmlformats-officedocument.spreadsheetml.printerSettings"/>
  <Override PartName="/xl/worksheets/sheet7.xml" ContentType="application/vnd.openxmlformats-officedocument.spreadsheetml.worksheet+xml"/>
  <Override PartName="/xl/worksheets/sheet31.xml" ContentType="application/vnd.openxmlformats-officedocument.spreadsheetml.worksheet+xml"/>
  <Override PartName="/xl/printerSettings/printerSettings208.bin" ContentType="application/vnd.openxmlformats-officedocument.spreadsheetml.printerSettings"/>
  <Override PartName="/xl/printerSettings/printerSettings539.bin" ContentType="application/vnd.openxmlformats-officedocument.spreadsheetml.printerSettings"/>
  <Override PartName="/xl/printerSettings/printerSettings725.bin" ContentType="application/vnd.openxmlformats-officedocument.spreadsheetml.printerSettings"/>
  <Override PartName="/xl/printerSettings/printerSettings980.bin" ContentType="application/vnd.openxmlformats-officedocument.spreadsheetml.printerSettings"/>
  <Override PartName="/xl/printerSettings/printerSettings1161.bin" ContentType="application/vnd.openxmlformats-officedocument.spreadsheetml.printerSettings"/>
  <Override PartName="/xl/printerSettings/printerSettings233.bin" ContentType="application/vnd.openxmlformats-officedocument.spreadsheetml.printerSettings"/>
  <Override PartName="/xl/printerSettings/printerSettings378.bin" ContentType="application/vnd.openxmlformats-officedocument.spreadsheetml.printerSettings"/>
  <Override PartName="/xl/printerSettings/printerSettings564.bin" ContentType="application/vnd.openxmlformats-officedocument.spreadsheetml.printerSettings"/>
  <Override PartName="/xl/printerSettings/printerSettings911.bin" ContentType="application/vnd.openxmlformats-officedocument.spreadsheetml.printerSettings"/>
  <Override PartName="/xl/printerSettings/printerSettings46.bin" ContentType="application/vnd.openxmlformats-officedocument.spreadsheetml.printerSettings"/>
  <Override PartName="/xl/printerSettings/printerSettings309.bin" ContentType="application/vnd.openxmlformats-officedocument.spreadsheetml.printerSettings"/>
  <Override PartName="/xl/printerSettings/printerSettings750.bin" ContentType="application/vnd.openxmlformats-officedocument.spreadsheetml.printerSettings"/>
  <Override PartName="/xl/printerSettings/printerSettings895.bin" ContentType="application/vnd.openxmlformats-officedocument.spreadsheetml.printerSettings"/>
  <Override PartName="/xl/printerSettings/printerSettings1237.bin" ContentType="application/vnd.openxmlformats-officedocument.spreadsheetml.printerSettings"/>
  <Override PartName="/xl/printerSettings/printerSettings148.bin" ContentType="application/vnd.openxmlformats-officedocument.spreadsheetml.printerSettings"/>
  <Override PartName="/xl/printerSettings/printerSettings826.bin" ContentType="application/vnd.openxmlformats-officedocument.spreadsheetml.printerSettings"/>
  <Override PartName="/xl/printerSettings/printerSettings1076.bin" ContentType="application/vnd.openxmlformats-officedocument.spreadsheetml.printerSettings"/>
  <Override PartName="/xl/worksheets/sheet47.xml" ContentType="application/vnd.openxmlformats-officedocument.spreadsheetml.worksheet+xml"/>
  <Override PartName="/xl/printerSettings/printerSettings71.bin" ContentType="application/vnd.openxmlformats-officedocument.spreadsheetml.printerSettings"/>
  <Override PartName="/xl/printerSettings/printerSettings334.bin" ContentType="application/vnd.openxmlformats-officedocument.spreadsheetml.printerSettings"/>
  <Override PartName="/xl/printerSettings/printerSettings479.bin" ContentType="application/vnd.openxmlformats-officedocument.spreadsheetml.printerSettings"/>
  <Override PartName="/xl/printerSettings/printerSettings665.bin" ContentType="application/vnd.openxmlformats-officedocument.spreadsheetml.printerSettings"/>
  <Override PartName="/xl/printerSettings/printerSettings996.bin" ContentType="application/vnd.openxmlformats-officedocument.spreadsheetml.printerSettings"/>
  <Override PartName="/xl/printerSettings/printerSettings1007.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hidePivotFieldList="1"/>
  <bookViews>
    <workbookView xWindow="-15" yWindow="345" windowWidth="6000" windowHeight="6240" tabRatio="936" firstSheet="3" activeTab="3"/>
  </bookViews>
  <sheets>
    <sheet name="Start Printing" sheetId="10" r:id="rId1"/>
    <sheet name="Readme" sheetId="11" r:id="rId2"/>
    <sheet name="Data sheet" sheetId="13" r:id="rId3"/>
    <sheet name="Cover" sheetId="14" r:id="rId4"/>
    <sheet name="Instructions" sheetId="15" r:id="rId5"/>
    <sheet name="Schedules" sheetId="16" r:id="rId6"/>
    <sheet name="101" sheetId="17" r:id="rId7"/>
    <sheet name="102103" sheetId="18" r:id="rId8"/>
    <sheet name="104105" sheetId="19" r:id="rId9"/>
    <sheet name="106107" sheetId="20" r:id="rId10"/>
    <sheet name="108109" sheetId="21" r:id="rId11"/>
    <sheet name="110" sheetId="22" r:id="rId12"/>
    <sheet name="111113" sheetId="23" r:id="rId13"/>
    <sheet name="114115" sheetId="24" r:id="rId14"/>
    <sheet name="116119" sheetId="25" r:id="rId15"/>
    <sheet name="120121" sheetId="26" r:id="rId16"/>
    <sheet name="122123" sheetId="27" r:id="rId17"/>
    <sheet name="124125" sheetId="28" r:id="rId18"/>
    <sheet name="200201" sheetId="29" r:id="rId19"/>
    <sheet name="202205" sheetId="30" r:id="rId20"/>
    <sheet name="206" sheetId="31" r:id="rId21"/>
    <sheet name="207" sheetId="32" r:id="rId22"/>
    <sheet name="208" sheetId="33" r:id="rId23"/>
    <sheet name="209" sheetId="34" r:id="rId24"/>
    <sheet name="210" sheetId="35" r:id="rId25"/>
    <sheet name="211" sheetId="36" r:id="rId26"/>
    <sheet name="212" sheetId="37" r:id="rId27"/>
    <sheet name="213" sheetId="38" r:id="rId28"/>
    <sheet name="214" sheetId="39" r:id="rId29"/>
    <sheet name="215" sheetId="40" r:id="rId30"/>
    <sheet name="216" sheetId="41" r:id="rId31"/>
    <sheet name="217" sheetId="42" r:id="rId32"/>
    <sheet name="250251" sheetId="43" r:id="rId33"/>
    <sheet name="252" sheetId="44" r:id="rId34"/>
    <sheet name="253" sheetId="45" r:id="rId35"/>
    <sheet name="254" sheetId="46" r:id="rId36"/>
    <sheet name="255" sheetId="47" r:id="rId37"/>
    <sheet name="256257" sheetId="48" r:id="rId38"/>
    <sheet name="258260" sheetId="49" r:id="rId39"/>
    <sheet name="261" sheetId="50" r:id="rId40"/>
    <sheet name="262263" sheetId="51" r:id="rId41"/>
    <sheet name="264265" sheetId="52" r:id="rId42"/>
    <sheet name="266" sheetId="55" r:id="rId43"/>
    <sheet name="267" sheetId="56" r:id="rId44"/>
    <sheet name="300" sheetId="57" r:id="rId45"/>
    <sheet name="301" sheetId="58" r:id="rId46"/>
    <sheet name="302304" sheetId="59" r:id="rId47"/>
    <sheet name="305" sheetId="60" r:id="rId48"/>
    <sheet name="306" sheetId="61" r:id="rId49"/>
    <sheet name="307309" sheetId="62" r:id="rId50"/>
    <sheet name="310" sheetId="63" r:id="rId51"/>
    <sheet name="311312" sheetId="64" r:id="rId52"/>
    <sheet name="313" sheetId="65" r:id="rId53"/>
    <sheet name="314" sheetId="66" r:id="rId54"/>
    <sheet name="314_attachment" sheetId="67" r:id="rId55"/>
    <sheet name="315" sheetId="68" r:id="rId56"/>
    <sheet name="316" sheetId="69" r:id="rId57"/>
    <sheet name="317" sheetId="70" r:id="rId58"/>
    <sheet name="318320" sheetId="71" r:id="rId59"/>
    <sheet name="321" sheetId="72" r:id="rId60"/>
    <sheet name="350351" sheetId="73" r:id="rId61"/>
    <sheet name="352353" sheetId="74" r:id="rId62"/>
    <sheet name="354" sheetId="75" r:id="rId63"/>
    <sheet name="355356" sheetId="76" r:id="rId64"/>
    <sheet name="357358" sheetId="77" r:id="rId65"/>
    <sheet name="359360" sheetId="78" r:id="rId66"/>
    <sheet name="361362" sheetId="79" r:id="rId67"/>
    <sheet name="363" sheetId="80" r:id="rId68"/>
    <sheet name="364" sheetId="81" r:id="rId69"/>
    <sheet name="365" sheetId="82" r:id="rId70"/>
    <sheet name="366" sheetId="83" r:id="rId71"/>
    <sheet name="367" sheetId="84" r:id="rId72"/>
    <sheet name="400" sheetId="85" r:id="rId73"/>
    <sheet name="401" sheetId="86" r:id="rId74"/>
    <sheet name="402" sheetId="87" r:id="rId75"/>
    <sheet name="403404" sheetId="88" r:id="rId76"/>
    <sheet name="405" sheetId="89" r:id="rId77"/>
    <sheet name="406" sheetId="90" r:id="rId78"/>
    <sheet name="407408" sheetId="91" r:id="rId79"/>
    <sheet name="409" sheetId="92" r:id="rId80"/>
    <sheet name="410" sheetId="93" r:id="rId81"/>
    <sheet name="411412" sheetId="94" r:id="rId82"/>
    <sheet name="Book" sheetId="95" r:id="rId83"/>
    <sheet name="Verify" sheetId="96" r:id="rId84"/>
    <sheet name="Zindex" sheetId="97" r:id="rId85"/>
  </sheets>
  <externalReferences>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s>
  <definedNames>
    <definedName name="\C">#REF!</definedName>
    <definedName name="\D">'[1]204'!#REF!</definedName>
    <definedName name="\P">#REF!</definedName>
    <definedName name="\PC">#REF!</definedName>
    <definedName name="\Q">#REF!</definedName>
    <definedName name="\Y" localSheetId="76">'405'!$K$102</definedName>
    <definedName name="\Y">#REF!</definedName>
    <definedName name="_00_01">#REF!</definedName>
    <definedName name="_001_disconops_YTD">#REF!</definedName>
    <definedName name="_001COVER">Cover!$A$1</definedName>
    <definedName name="_002_disconops_YTD">#REF!</definedName>
    <definedName name="_002INSTR">Instructions!$A$1</definedName>
    <definedName name="_003SCHEDULES">Schedules!$A$1</definedName>
    <definedName name="_1_0pf1">[2]DIAMOND!#REF!</definedName>
    <definedName name="_101">'101'!$B$1</definedName>
    <definedName name="_102103" localSheetId="8">'[3]102103'!$B$1</definedName>
    <definedName name="_102103">'102103'!$B$1</definedName>
    <definedName name="_104105" localSheetId="8">'104105'!$A$1</definedName>
    <definedName name="_104105">#REF!</definedName>
    <definedName name="_106107">'106107'!$A$1</definedName>
    <definedName name="_106DATA">#REF!</definedName>
    <definedName name="_108109" localSheetId="8">'[4]108109'!$A$1</definedName>
    <definedName name="_108109" localSheetId="10">'108109'!$A$1</definedName>
    <definedName name="_108109">'[4]108109'!$A$1</definedName>
    <definedName name="_110113" localSheetId="8">'[3]111113'!#REF!</definedName>
    <definedName name="_110113" localSheetId="75">'[5]111113'!#REF!</definedName>
    <definedName name="_110113" localSheetId="76">'[5]111113'!#REF!</definedName>
    <definedName name="_110113" localSheetId="82">#REF!</definedName>
    <definedName name="_110113">'111113'!#REF!</definedName>
    <definedName name="_114115">'114115'!$A$1</definedName>
    <definedName name="_116119">'116119'!$A$1</definedName>
    <definedName name="_120121">'120121'!$B$1</definedName>
    <definedName name="_122123">'122123'!$B$2</definedName>
    <definedName name="_124125">'124125'!$B$1</definedName>
    <definedName name="_2_0BL">[6]Returns!#REF!</definedName>
    <definedName name="_200201">'200201'!$A$1</definedName>
    <definedName name="_202205">'202205'!$A$1</definedName>
    <definedName name="_206">'206'!$A$1</definedName>
    <definedName name="_207">'207'!$A$1</definedName>
    <definedName name="_208">'208'!$A$1</definedName>
    <definedName name="_209">'209'!$A$1</definedName>
    <definedName name="_210">'210'!$A$1</definedName>
    <definedName name="_211">'211'!$A$1</definedName>
    <definedName name="_212">'212'!$A$1</definedName>
    <definedName name="_213">'213'!$A$1</definedName>
    <definedName name="_214">'214'!$A$1</definedName>
    <definedName name="_215">'215'!$A$1</definedName>
    <definedName name="_216">'216'!$A$1</definedName>
    <definedName name="_217">'217'!$A$1</definedName>
    <definedName name="_250251">'250251'!$A$1</definedName>
    <definedName name="_252">'252'!$A$1</definedName>
    <definedName name="_254">'254'!$A$1</definedName>
    <definedName name="_256257">'256257'!$A$1</definedName>
    <definedName name="_258260">'258260'!$A$1</definedName>
    <definedName name="_261">'261'!$A$2</definedName>
    <definedName name="_262263">'262263'!$A$2</definedName>
    <definedName name="_266">'266'!$A$1</definedName>
    <definedName name="_267">'267'!$A$1</definedName>
    <definedName name="_300" localSheetId="8">#REF!</definedName>
    <definedName name="_300" localSheetId="10">#REF!</definedName>
    <definedName name="_300">#REF!</definedName>
    <definedName name="_301" localSheetId="8">#REF!</definedName>
    <definedName name="_301" localSheetId="10">#REF!</definedName>
    <definedName name="_301">#REF!</definedName>
    <definedName name="_302304" localSheetId="8">#REF!</definedName>
    <definedName name="_302304" localSheetId="10">#REF!</definedName>
    <definedName name="_302304">#REF!</definedName>
    <definedName name="_305" localSheetId="8">#REF!</definedName>
    <definedName name="_305" localSheetId="10">#REF!</definedName>
    <definedName name="_305">#REF!</definedName>
    <definedName name="_306" localSheetId="8">#REF!</definedName>
    <definedName name="_306" localSheetId="10">#REF!</definedName>
    <definedName name="_306">#REF!</definedName>
    <definedName name="_307309" localSheetId="8">#REF!</definedName>
    <definedName name="_307309" localSheetId="10">#REF!</definedName>
    <definedName name="_307309">#REF!</definedName>
    <definedName name="_310" localSheetId="8">#REF!</definedName>
    <definedName name="_310" localSheetId="10">#REF!</definedName>
    <definedName name="_310">#REF!</definedName>
    <definedName name="_311312" localSheetId="8">#REF!</definedName>
    <definedName name="_311312" localSheetId="10">#REF!</definedName>
    <definedName name="_311312">#REF!</definedName>
    <definedName name="_313" localSheetId="8">#REF!</definedName>
    <definedName name="_313" localSheetId="10">#REF!</definedName>
    <definedName name="_313">#REF!</definedName>
    <definedName name="_314" localSheetId="8">#REF!</definedName>
    <definedName name="_314" localSheetId="10">#REF!</definedName>
    <definedName name="_314">#REF!</definedName>
    <definedName name="_315" localSheetId="8">#REF!</definedName>
    <definedName name="_315" localSheetId="10">#REF!</definedName>
    <definedName name="_315">#REF!</definedName>
    <definedName name="_316" localSheetId="8">#REF!</definedName>
    <definedName name="_316" localSheetId="10">#REF!</definedName>
    <definedName name="_316">#REF!</definedName>
    <definedName name="_317" localSheetId="8">#REF!</definedName>
    <definedName name="_317" localSheetId="10">#REF!</definedName>
    <definedName name="_317">#REF!</definedName>
    <definedName name="_318320" localSheetId="8">#REF!</definedName>
    <definedName name="_318320" localSheetId="10">#REF!</definedName>
    <definedName name="_318320">#REF!</definedName>
    <definedName name="_321" localSheetId="8">#REF!</definedName>
    <definedName name="_321" localSheetId="10">#REF!</definedName>
    <definedName name="_321">#REF!</definedName>
    <definedName name="_329">#REF!</definedName>
    <definedName name="_352353" localSheetId="8">#REF!</definedName>
    <definedName name="_352353" localSheetId="10">#REF!</definedName>
    <definedName name="_352353">#REF!</definedName>
    <definedName name="_354" localSheetId="8">#REF!</definedName>
    <definedName name="_354" localSheetId="10">#REF!</definedName>
    <definedName name="_354">#REF!</definedName>
    <definedName name="_355356" localSheetId="8">#REF!</definedName>
    <definedName name="_355356" localSheetId="10">#REF!</definedName>
    <definedName name="_355356">#REF!</definedName>
    <definedName name="_357358" localSheetId="8">#REF!</definedName>
    <definedName name="_357358" localSheetId="10">#REF!</definedName>
    <definedName name="_357358">#REF!</definedName>
    <definedName name="_359360" localSheetId="8">#REF!</definedName>
    <definedName name="_359360" localSheetId="10">#REF!</definedName>
    <definedName name="_359360">#REF!</definedName>
    <definedName name="_361362" localSheetId="8">#REF!</definedName>
    <definedName name="_361362" localSheetId="10">#REF!</definedName>
    <definedName name="_361362">#REF!</definedName>
    <definedName name="_363" localSheetId="8">#REF!</definedName>
    <definedName name="_363" localSheetId="10">#REF!</definedName>
    <definedName name="_363">#REF!</definedName>
    <definedName name="_364" localSheetId="8">#REF!</definedName>
    <definedName name="_364" localSheetId="10">#REF!</definedName>
    <definedName name="_364">#REF!</definedName>
    <definedName name="_365" localSheetId="8">#REF!</definedName>
    <definedName name="_365" localSheetId="10">#REF!</definedName>
    <definedName name="_365">#REF!</definedName>
    <definedName name="_366" localSheetId="8">#REF!</definedName>
    <definedName name="_366" localSheetId="10">#REF!</definedName>
    <definedName name="_366">#REF!</definedName>
    <definedName name="_367" localSheetId="8">#REF!</definedName>
    <definedName name="_367" localSheetId="10">#REF!</definedName>
    <definedName name="_367">#REF!</definedName>
    <definedName name="_3M">#REF!</definedName>
    <definedName name="_4_0i">[2]DIAMOND!#REF!</definedName>
    <definedName name="_400" localSheetId="8">#REF!</definedName>
    <definedName name="_400" localSheetId="10">#REF!</definedName>
    <definedName name="_400">#REF!</definedName>
    <definedName name="_401" localSheetId="8">#REF!</definedName>
    <definedName name="_401" localSheetId="10">#REF!</definedName>
    <definedName name="_401">#REF!</definedName>
    <definedName name="_402" localSheetId="8">#REF!</definedName>
    <definedName name="_402" localSheetId="10">#REF!</definedName>
    <definedName name="_402">#REF!</definedName>
    <definedName name="_403404" localSheetId="8">#REF!</definedName>
    <definedName name="_403404" localSheetId="10">#REF!</definedName>
    <definedName name="_403404">#REF!</definedName>
    <definedName name="_405" localSheetId="8">#REF!</definedName>
    <definedName name="_405" localSheetId="10">#REF!</definedName>
    <definedName name="_405">#REF!</definedName>
    <definedName name="_406" localSheetId="8">#REF!</definedName>
    <definedName name="_406" localSheetId="10">#REF!</definedName>
    <definedName name="_406">#REF!</definedName>
    <definedName name="_407408" localSheetId="8">#REF!</definedName>
    <definedName name="_407408" localSheetId="10">#REF!</definedName>
    <definedName name="_407408">#REF!</definedName>
    <definedName name="_409" localSheetId="8">#REF!</definedName>
    <definedName name="_409" localSheetId="10">#REF!</definedName>
    <definedName name="_409">#REF!</definedName>
    <definedName name="_410" localSheetId="8">#REF!</definedName>
    <definedName name="_410" localSheetId="10">#REF!</definedName>
    <definedName name="_410">#REF!</definedName>
    <definedName name="_411412" localSheetId="8">#REF!</definedName>
    <definedName name="_411412" localSheetId="10">#REF!</definedName>
    <definedName name="_411412">#REF!</definedName>
    <definedName name="_5_223">'[1]222'!#REF!</definedName>
    <definedName name="_6SCHEDULE_2000">#REF!</definedName>
    <definedName name="_7SCHEDULE_2001">#REF!</definedName>
    <definedName name="_AWW03">#REF!</definedName>
    <definedName name="_AWW04">#REF!</definedName>
    <definedName name="_AWW05">#REF!</definedName>
    <definedName name="_AWW06">#REF!</definedName>
    <definedName name="_CPR5">#REF!</definedName>
    <definedName name="_CPR6">#REF!</definedName>
    <definedName name="_Key1" hidden="1">#REF!</definedName>
    <definedName name="_key12">#REF!</definedName>
    <definedName name="_key13">[7]Engines!$K$30</definedName>
    <definedName name="_key2">[7]Engines!$H$13</definedName>
    <definedName name="_key3">[7]Engines!$K$13</definedName>
    <definedName name="_key4">#REF!</definedName>
    <definedName name="_key5">#REF!</definedName>
    <definedName name="_key6">#REF!</definedName>
    <definedName name="_Order1" hidden="1">255</definedName>
    <definedName name="_Order2" hidden="1">255</definedName>
    <definedName name="_OUD1">[7]OUD!$B$12</definedName>
    <definedName name="_PM101">'101'!$C$66:$C$74</definedName>
    <definedName name="_PM102103">'102103'!$C$124:$C$132</definedName>
    <definedName name="_PM104105" localSheetId="8">'104105'!$B$70:$B$80</definedName>
    <definedName name="_PM104105">#REF!</definedName>
    <definedName name="_PM106107">'106107'!$B$121:$B$129</definedName>
    <definedName name="_PM108109" localSheetId="8">'[4]108109'!$B$118:$B$126</definedName>
    <definedName name="_PM108109" localSheetId="10">'108109'!$B$115:$B$123</definedName>
    <definedName name="_PM108109">'[4]108109'!$B$118:$B$126</definedName>
    <definedName name="_PM110113" localSheetId="8">'[3]111113'!#REF!</definedName>
    <definedName name="_PM110113" localSheetId="75">'[5]111113'!#REF!</definedName>
    <definedName name="_PM110113" localSheetId="76">'[5]111113'!#REF!</definedName>
    <definedName name="_PM110113" localSheetId="82">#REF!</definedName>
    <definedName name="_PM110113">'111113'!#REF!</definedName>
    <definedName name="_PM114115">'114115'!$B$128:$B$136</definedName>
    <definedName name="_PM116119">'116119'!$B$123:$B$137</definedName>
    <definedName name="_PM120121">'120121'!$C$130:$C$138</definedName>
    <definedName name="_PM122123">'122123'!$C$136:$C$144</definedName>
    <definedName name="_PM124125">'124125'!$C$139:$C$147</definedName>
    <definedName name="_PM200201">'200201'!$B$70:$B$78</definedName>
    <definedName name="_PM202205">'202205'!$B$137:$B$151</definedName>
    <definedName name="_PM206">'206'!$B$111:$B$121</definedName>
    <definedName name="_PM207">'207'!$B$72:$B$80</definedName>
    <definedName name="_PM208" localSheetId="8">'[3]208'!#REF!</definedName>
    <definedName name="_PM208" localSheetId="75">'[5]208'!#REF!</definedName>
    <definedName name="_PM208" localSheetId="76">'[5]208'!#REF!</definedName>
    <definedName name="_PM208" localSheetId="82">#REF!</definedName>
    <definedName name="_PM208">'208'!#REF!</definedName>
    <definedName name="_PM209">'209'!$B$58:$B$66</definedName>
    <definedName name="_PM210">'210'!$B$54:$B$62</definedName>
    <definedName name="_PM211">'211'!$B$71:$B$79</definedName>
    <definedName name="_PM212">'212'!$B$76:$B$84</definedName>
    <definedName name="_PM213">'213'!$B$69:$B$77</definedName>
    <definedName name="_PM214">'214'!$B$75:$B$83</definedName>
    <definedName name="_PM215">'215'!$B$70:$B$78</definedName>
    <definedName name="_PM216">'216'!$B$75:$B$80</definedName>
    <definedName name="_PM217" localSheetId="8">'[3]217'!#REF!</definedName>
    <definedName name="_PM217" localSheetId="75">'[5]217'!#REF!</definedName>
    <definedName name="_PM217" localSheetId="76">'[5]217'!#REF!</definedName>
    <definedName name="_PM217" localSheetId="82">#REF!</definedName>
    <definedName name="_PM217">'217'!#REF!</definedName>
    <definedName name="_PM250251">'250251'!$B$70:$B$80</definedName>
    <definedName name="_PM252">'252'!$B$70:$B$78</definedName>
    <definedName name="_PM253">'253'!$B$72:$B$80</definedName>
    <definedName name="_PM254">'254'!$B$67:$B$75</definedName>
    <definedName name="_PM255">'255'!$B$74:$B$82</definedName>
    <definedName name="_PM256257">'256257'!$B$135:$B$149</definedName>
    <definedName name="_PM258260">'258260'!$B$133:$B$145</definedName>
    <definedName name="_PM261">'261'!$B$62:$B$70</definedName>
    <definedName name="_PM262263">'262263'!$B$63:$B$73</definedName>
    <definedName name="_PM264265" localSheetId="8">'[3]264265'!#REF!</definedName>
    <definedName name="_PM264265" localSheetId="75">'[5]264265'!#REF!</definedName>
    <definedName name="_PM264265" localSheetId="76">'[5]264265'!#REF!</definedName>
    <definedName name="_PM264265" localSheetId="82">#REF!</definedName>
    <definedName name="_PM264265">'264265'!#REF!</definedName>
    <definedName name="_PM266">'266'!$B$45:$B$53</definedName>
    <definedName name="_PM267">'267'!$B$41:$B$49</definedName>
    <definedName name="_PM300" localSheetId="8">#REF!</definedName>
    <definedName name="_PM300" localSheetId="10">#REF!</definedName>
    <definedName name="_PM300">#REF!</definedName>
    <definedName name="_PM301" localSheetId="8">#REF!</definedName>
    <definedName name="_PM301" localSheetId="10">#REF!</definedName>
    <definedName name="_PM301" localSheetId="75">'[5]301'!#REF!</definedName>
    <definedName name="_PM301" localSheetId="76">'[5]301'!#REF!</definedName>
    <definedName name="_PM301" localSheetId="82">#REF!</definedName>
    <definedName name="_PM301">#REF!</definedName>
    <definedName name="_PM302304" localSheetId="8">#REF!</definedName>
    <definedName name="_PM302304" localSheetId="10">#REF!</definedName>
    <definedName name="_PM302304">#REF!</definedName>
    <definedName name="_PM305" localSheetId="8">#REF!</definedName>
    <definedName name="_PM305" localSheetId="10">#REF!</definedName>
    <definedName name="_PM305">#REF!</definedName>
    <definedName name="_PM306" localSheetId="8">#REF!</definedName>
    <definedName name="_PM306" localSheetId="10">#REF!</definedName>
    <definedName name="_PM306">#REF!</definedName>
    <definedName name="_PM307309" localSheetId="8">#REF!</definedName>
    <definedName name="_PM307309" localSheetId="10">#REF!</definedName>
    <definedName name="_PM307309">#REF!</definedName>
    <definedName name="_PM310" localSheetId="8">#REF!</definedName>
    <definedName name="_PM310" localSheetId="10">#REF!</definedName>
    <definedName name="_PM310">#REF!</definedName>
    <definedName name="_PM311312" localSheetId="8">#REF!</definedName>
    <definedName name="_PM311312" localSheetId="10">#REF!</definedName>
    <definedName name="_PM311312">#REF!</definedName>
    <definedName name="_PM313" localSheetId="8">#REF!</definedName>
    <definedName name="_PM313" localSheetId="10">#REF!</definedName>
    <definedName name="_PM313" localSheetId="75">'[5]313'!#REF!</definedName>
    <definedName name="_PM313" localSheetId="76">'[5]313'!#REF!</definedName>
    <definedName name="_PM313" localSheetId="82">#REF!</definedName>
    <definedName name="_PM313">#REF!</definedName>
    <definedName name="_PM314" localSheetId="8">#REF!</definedName>
    <definedName name="_PM314" localSheetId="10">#REF!</definedName>
    <definedName name="_PM314" localSheetId="75">'[5]314'!#REF!</definedName>
    <definedName name="_PM314" localSheetId="76">'[5]314'!#REF!</definedName>
    <definedName name="_PM314" localSheetId="82">#REF!</definedName>
    <definedName name="_PM314">#REF!</definedName>
    <definedName name="_PM315" localSheetId="8">#REF!</definedName>
    <definedName name="_PM315" localSheetId="10">#REF!</definedName>
    <definedName name="_PM315" localSheetId="75">'[5]315'!#REF!</definedName>
    <definedName name="_PM315" localSheetId="76">'[5]315'!#REF!</definedName>
    <definedName name="_PM315" localSheetId="82">#REF!</definedName>
    <definedName name="_PM315">#REF!</definedName>
    <definedName name="_PM316" localSheetId="8">#REF!</definedName>
    <definedName name="_PM316" localSheetId="10">#REF!</definedName>
    <definedName name="_PM316">#REF!</definedName>
    <definedName name="_PM317" localSheetId="8">#REF!</definedName>
    <definedName name="_PM317" localSheetId="10">#REF!</definedName>
    <definedName name="_PM317">#REF!</definedName>
    <definedName name="_PM318320" localSheetId="8">#REF!</definedName>
    <definedName name="_PM318320" localSheetId="10">#REF!</definedName>
    <definedName name="_PM318320">#REF!</definedName>
    <definedName name="_PM321" localSheetId="8">#REF!</definedName>
    <definedName name="_PM321" localSheetId="10">#REF!</definedName>
    <definedName name="_PM321">#REF!</definedName>
    <definedName name="_PM350351" localSheetId="8">#REF!</definedName>
    <definedName name="_PM350351" localSheetId="10">#REF!</definedName>
    <definedName name="_PM350351">#REF!</definedName>
    <definedName name="_PM352353" localSheetId="8">#REF!</definedName>
    <definedName name="_PM352353" localSheetId="10">#REF!</definedName>
    <definedName name="_PM352353" localSheetId="75">'[5]352353'!#REF!</definedName>
    <definedName name="_PM352353" localSheetId="76">'[5]352353'!#REF!</definedName>
    <definedName name="_PM352353" localSheetId="82">#REF!</definedName>
    <definedName name="_PM352353">#REF!</definedName>
    <definedName name="_PM354" localSheetId="8">#REF!</definedName>
    <definedName name="_PM354" localSheetId="10">#REF!</definedName>
    <definedName name="_PM354">#REF!</definedName>
    <definedName name="_PM355356" localSheetId="8">#REF!</definedName>
    <definedName name="_PM355356" localSheetId="10">#REF!</definedName>
    <definedName name="_PM355356">#REF!</definedName>
    <definedName name="_PM357358" localSheetId="8">#REF!</definedName>
    <definedName name="_PM357358" localSheetId="10">#REF!</definedName>
    <definedName name="_PM357358">#REF!</definedName>
    <definedName name="_PM359360" localSheetId="8">#REF!</definedName>
    <definedName name="_PM359360" localSheetId="10">#REF!</definedName>
    <definedName name="_PM359360">#REF!</definedName>
    <definedName name="_PM361362" localSheetId="8">#REF!</definedName>
    <definedName name="_PM361362" localSheetId="10">#REF!</definedName>
    <definedName name="_PM361362">#REF!</definedName>
    <definedName name="_PM363" localSheetId="8">#REF!</definedName>
    <definedName name="_PM363" localSheetId="10">#REF!</definedName>
    <definedName name="_PM363">#REF!</definedName>
    <definedName name="_PM364" localSheetId="8">#REF!</definedName>
    <definedName name="_PM364" localSheetId="10">#REF!</definedName>
    <definedName name="_PM364">#REF!</definedName>
    <definedName name="_PM365" localSheetId="8">#REF!</definedName>
    <definedName name="_PM365" localSheetId="10">#REF!</definedName>
    <definedName name="_PM365">#REF!</definedName>
    <definedName name="_PM366" localSheetId="8">#REF!</definedName>
    <definedName name="_PM366" localSheetId="10">#REF!</definedName>
    <definedName name="_PM366">#REF!</definedName>
    <definedName name="_PM367" localSheetId="8">#REF!</definedName>
    <definedName name="_PM367" localSheetId="10">#REF!</definedName>
    <definedName name="_PM367">#REF!</definedName>
    <definedName name="_PM400" localSheetId="8">#REF!</definedName>
    <definedName name="_PM400" localSheetId="10">#REF!</definedName>
    <definedName name="_PM400" localSheetId="75">'[5]400'!#REF!</definedName>
    <definedName name="_PM400" localSheetId="76">'[5]400'!#REF!</definedName>
    <definedName name="_PM400" localSheetId="82">#REF!</definedName>
    <definedName name="_PM400">#REF!</definedName>
    <definedName name="_PM401" localSheetId="8">#REF!</definedName>
    <definedName name="_PM401" localSheetId="10">#REF!</definedName>
    <definedName name="_PM401">#REF!</definedName>
    <definedName name="_PM402" localSheetId="8">#REF!</definedName>
    <definedName name="_PM402" localSheetId="10">#REF!</definedName>
    <definedName name="_PM402">#REF!</definedName>
    <definedName name="_PM403404" localSheetId="8">#REF!</definedName>
    <definedName name="_PM403404" localSheetId="10">#REF!</definedName>
    <definedName name="_PM403404">#REF!</definedName>
    <definedName name="_PM405" localSheetId="8">#REF!</definedName>
    <definedName name="_PM405" localSheetId="10">#REF!</definedName>
    <definedName name="_PM405">#REF!</definedName>
    <definedName name="_PM406" localSheetId="8">#REF!</definedName>
    <definedName name="_PM406" localSheetId="10">#REF!</definedName>
    <definedName name="_PM406">#REF!</definedName>
    <definedName name="_PM407408" localSheetId="8">#REF!</definedName>
    <definedName name="_PM407408" localSheetId="10">#REF!</definedName>
    <definedName name="_PM407408">#REF!</definedName>
    <definedName name="_PM409" localSheetId="8">#REF!</definedName>
    <definedName name="_PM409" localSheetId="10">#REF!</definedName>
    <definedName name="_PM409">#REF!</definedName>
    <definedName name="_PM410" localSheetId="8">#REF!</definedName>
    <definedName name="_PM410" localSheetId="10">#REF!</definedName>
    <definedName name="_PM410">#REF!</definedName>
    <definedName name="_PM411412" localSheetId="8">#REF!</definedName>
    <definedName name="_PM411412" localSheetId="10">#REF!</definedName>
    <definedName name="_PM411412">#REF!</definedName>
    <definedName name="_Regression_Out" hidden="1">#REF!</definedName>
    <definedName name="_Regression_X" hidden="1">#REF!</definedName>
    <definedName name="_Regression_Y" hidden="1">#REF!</definedName>
    <definedName name="_Sort" hidden="1">#REF!</definedName>
    <definedName name="_Table1_In1" hidden="1">#REF!</definedName>
    <definedName name="_Table1_Out" hidden="1">#REF!</definedName>
    <definedName name="_Table2_Out" hidden="1">#REF!</definedName>
    <definedName name="A">'[8]Tom''s Sheet'!$A$1:$A$75</definedName>
    <definedName name="AAET">#REF!</definedName>
    <definedName name="ABERDEEN">#REF!</definedName>
    <definedName name="ACCRUED_COMPENSATION_DETAIL">#REF!</definedName>
    <definedName name="ACCRUED_LIABILITIES">#REF!</definedName>
    <definedName name="AddNewLineAccruedLiab">#REF!</definedName>
    <definedName name="AddNewLineAllowDA">#REF!</definedName>
    <definedName name="AddNewLineAssetRsv">#REF!</definedName>
    <definedName name="AddNewLineCompAccrual">#REF!</definedName>
    <definedName name="AddNewLineContriProp">#REF!</definedName>
    <definedName name="AddNewLineDefRev">#REF!</definedName>
    <definedName name="AddNewLineDepreciation">#REF!</definedName>
    <definedName name="AddNewLineFARlfwd2">'[9]FA Rfwd'!#REF!</definedName>
    <definedName name="AddNewLineGainLoss">#REF!</definedName>
    <definedName name="AddNewLineIntangibles1">#REF!</definedName>
    <definedName name="AddNewLineIntangibles2">#REF!</definedName>
    <definedName name="AddNewLineInventoryRsv">#REF!</definedName>
    <definedName name="AddNewLineM1Perms">#REF!</definedName>
    <definedName name="AddNewLineM1Temps">#REF!</definedName>
    <definedName name="AddNewLineME">#REF!</definedName>
    <definedName name="AddNewLineOfficerLifeIns">#REF!</definedName>
    <definedName name="AddNewLinePartnerships">#REF!</definedName>
    <definedName name="AddNewLinePenalties">#REF!</definedName>
    <definedName name="AddNewLinePrepaids">#REF!</definedName>
    <definedName name="AddNewLineStateTaxes">#REF!</definedName>
    <definedName name="AddNewLineStockOption">#REF!</definedName>
    <definedName name="AddNewLineSubEarnings">#REF!</definedName>
    <definedName name="AddNewLineUnrealizedGain">#REF!</definedName>
    <definedName name="ADELPHIAS">#REF!</definedName>
    <definedName name="ADELPHIAW">#REF!</definedName>
    <definedName name="All">[0]!All</definedName>
    <definedName name="ALLENHURST">#REF!</definedName>
    <definedName name="ALT">#REF!</definedName>
    <definedName name="americas2">[7]Americas2!$A$1</definedName>
    <definedName name="Apollo_TaxRate">#REF!</definedName>
    <definedName name="Application">[10]MDSummary!$D$3</definedName>
    <definedName name="AREA">#REF!</definedName>
    <definedName name="AS_400">#REF!</definedName>
    <definedName name="AWCC_PG1">#REF!</definedName>
    <definedName name="AWCC_PG2">#REF!</definedName>
    <definedName name="awkfiscal">#REF!</definedName>
    <definedName name="AWR_PG1">#REF!</definedName>
    <definedName name="AWR_PG2">#REF!</definedName>
    <definedName name="AWS_PG1">#REF!</definedName>
    <definedName name="AWS_PG2">#REF!</definedName>
    <definedName name="AWW_PG1">#REF!</definedName>
    <definedName name="AWW_PG2">#REF!</definedName>
    <definedName name="AWWOp">#REF!</definedName>
    <definedName name="AWWS_Corp">"est"</definedName>
    <definedName name="AWWS_PG1">#REF!</definedName>
    <definedName name="AWWS_PG2">#REF!</definedName>
    <definedName name="AZ_PG1">'[11]02 - AWK'!#REF!</definedName>
    <definedName name="AZ_PG2">'[11]02 - AWK'!#REF!</definedName>
    <definedName name="AZAM00">#REF!</definedName>
    <definedName name="AZAM01">#REF!</definedName>
    <definedName name="azamfiscal">#REF!</definedName>
    <definedName name="B">#REF!</definedName>
    <definedName name="BALANCES">#REF!</definedName>
    <definedName name="BFV_PG1">#REF!</definedName>
    <definedName name="BFV_PG2">#REF!</definedName>
    <definedName name="biggie">[7]Engines!$B$16</definedName>
    <definedName name="biggie12">#REF!</definedName>
    <definedName name="biggie13">[7]Engines!$J$33</definedName>
    <definedName name="biggie2">[7]Engines!$G$16</definedName>
    <definedName name="biggie3">[7]Engines!$J$16</definedName>
    <definedName name="biggie4">#REF!</definedName>
    <definedName name="biggie5">#REF!</definedName>
    <definedName name="biggie6">#REF!</definedName>
    <definedName name="BOOK" localSheetId="8">#REF!</definedName>
    <definedName name="BOOK" localSheetId="10">#REF!</definedName>
    <definedName name="BOOK" localSheetId="82">Book!$A$1</definedName>
    <definedName name="BOOK">#REF!</definedName>
    <definedName name="bottomleft">[7]FunnelData!$BQ$2</definedName>
    <definedName name="bottomleft2">[7]FunnelData!$BQ$3</definedName>
    <definedName name="BRMENDHAM">#REF!</definedName>
    <definedName name="BROOKSIDE">#REF!</definedName>
    <definedName name="bscwintable">[12]ScorecardData!$FT$1:$FX$10</definedName>
    <definedName name="Budget">[13]Input!$B$20</definedName>
    <definedName name="buildthetable">[7]TableofDeals!$B$12</definedName>
    <definedName name="buildthetable2">#REF!</definedName>
    <definedName name="CA_PG1">#REF!</definedName>
    <definedName name="CA_PG2">#REF!</definedName>
    <definedName name="CAAM00">#REF!</definedName>
    <definedName name="CAAM01">#REF!</definedName>
    <definedName name="caamfiscal">#REF!</definedName>
    <definedName name="CAI">#REF!</definedName>
    <definedName name="CapEx_Effectiveness">#REF!</definedName>
    <definedName name="capitalradio">[7]FunnelData!$X$1</definedName>
    <definedName name="Cat_Ref">[14]CONTROL!$C$4</definedName>
    <definedName name="cata">[15]Input!$B$11</definedName>
    <definedName name="catb">[13]Input!$B$12</definedName>
    <definedName name="catl">[13]Input!$B$53</definedName>
    <definedName name="catlb">[13]Input!$B$54</definedName>
    <definedName name="cb_erf">#REF!</definedName>
    <definedName name="cbcredit">#REF!</definedName>
    <definedName name="CCI">#REF!</definedName>
    <definedName name="cell_down_and_left">#REF!</definedName>
    <definedName name="CellToLeft">#REF!</definedName>
    <definedName name="CHARITABLE_CONTRIBUTION_OF_PROPERTY">#REF!</definedName>
    <definedName name="Chester">#REF!</definedName>
    <definedName name="CICdate">[16]Summ!$A$1</definedName>
    <definedName name="CICprice">[16]Summ!$A$2</definedName>
    <definedName name="CLEAR_100">'[9]100'!$C$8,'[9]100'!$C$10,'[9]100'!$C$12,'[9]100'!$C$18:$C$20,'[9]100'!$C$26:$D$28,'[9]100'!$C$31:$C$35,'[9]100'!$H$7:$I$43</definedName>
    <definedName name="CLEAR_200">'[9]200'!$C$8:$C$11,'[9]200'!$H$7:$I$20</definedName>
    <definedName name="CLEAR_5471_1">'[9]5471A'!$B$10,'[9]5471A'!$B$12:$B$14,'[9]5471A'!$B$16:$B$18,'[9]5471A'!$C$29:$C$30,'[9]5471A'!$B$33:$C$41,'[9]5471A'!$C$60:$G$67,'[9]5471A'!$C$69:$G$76,'[9]5471A'!$C$78:$G$79,'[9]5471A'!$J$9:$K$56</definedName>
    <definedName name="CLEAR_5471_2">'[9]5471B'!$B$10,'[9]5471B'!$B$12:$B$14,'[9]5471B'!$B$16:$B$18,'[9]5471B'!$C$29:$C$30,'[9]5471B'!$C$33:$C$41,'[9]5471B'!$C$60:$G$67,'[9]5471B'!$C$69:$G$76,'[9]5471B'!$C$78:$G$79,'[9]5471B'!$J$1:$L$65536</definedName>
    <definedName name="CLEAR_5471_3">'[9]5471C'!$B$10,'[9]5471C'!$B$12:$B$14,'[9]5471C'!$B$16:$B$18,'[9]5471C'!$C$29:$C$30,'[9]5471C'!$C$33:$C$41,'[9]5471C'!$B$33:$B$41,'[9]5471C'!$C$60:$G$67,'[9]5471C'!$C$69:$G$76,'[9]5471C'!$C$78:$G$79,'[9]5471C'!$J$1:$L$65536</definedName>
    <definedName name="CLEAR_ACCRUED_LIABILITY_ANSWERS">#REF!</definedName>
    <definedName name="CLEAR_ADDL_QUESTIONS">[9]Addl!$A$13:$C$22,[9]Addl!$H$13:$I$22</definedName>
    <definedName name="CLEAR_CLUB_DUES">'[9]Club Dues'!$A$13:$D$24,'[9]Club Dues'!$G$13:$G$23,'[9]Club Dues'!$G$25</definedName>
    <definedName name="CLEAR_CONTR_PROPERTY">#REF!</definedName>
    <definedName name="CLEAR_DEPRECIATION">#REF!,#REF!,#REF!</definedName>
    <definedName name="CLEAR_ES">'[9]ES Pmts'!$B$9:$C$16,'[9]ES Pmts'!$A$15:$A$16</definedName>
    <definedName name="CLEAR_GAIN">#REF!,#REF!</definedName>
    <definedName name="CLEAR_GIFTS">[9]Gifts!$A$11:$D$23,[9]Gifts!$G$11:$G$22,[9]Gifts!$G$24</definedName>
    <definedName name="CLEAR_LEASES">[9]Leases!$A$11:$F$25,[9]Leases!$I$11:$I$23,[9]Leases!$I$26</definedName>
    <definedName name="CLEAR_M1">#REF!,#REF!,#REF!,#REF!,#REF!,#REF!</definedName>
    <definedName name="CLEAR_MAIN_DATA">'[9]Gen''l'!$C$5:$C$8,'[9]Gen''l'!$C$65,'[9]Gen''l'!$C$67:$C$71</definedName>
    <definedName name="CLEAR_MEALS">#REF!,#REF!,#REF!</definedName>
    <definedName name="CLEAR_OFFICER_LIFE">#REF!,#REF!,#REF!</definedName>
    <definedName name="CLEAR_PARTNERSHIP">#REF!</definedName>
    <definedName name="CLEAR_PENALTIES">#REF!,#REF!,#REF!</definedName>
    <definedName name="CLEAR_POLITICAL">'[9]Pol Contri'!$A$10:$D$22,'[9]Pol Contri'!$G$10:$G$19,'[9]Pol Contri'!$G$23</definedName>
    <definedName name="CLEAR_RE">'[9]RE Rec'!$B$12:$B$13,'[9]RE Rec'!$A$16:$B$25</definedName>
    <definedName name="CLEAR_SPOUSAL_TRAVEL">'[9]Spouse Travel'!$A$10:$D$22,'[9]Spouse Travel'!$G$10:$G$21,'[9]Spouse Travel'!$G$23</definedName>
    <definedName name="CLEAR_STOCK_OPTION">#REF!</definedName>
    <definedName name="CLEAR_SUB_EARNINGS">#REF!,#REF!,#REF!</definedName>
    <definedName name="CLEAR_UNREALIZED_GAINS">#REF!,#REF!,#REF!</definedName>
    <definedName name="CLEAR_VEHICLES">[9]Vehicles!$I$10:$K$28,[9]Vehicles!$D$31:$F$33,[9]Vehicles!$D$37:$F$39,[9]Vehicles!$D$43:$F$45,[9]Vehicles!$D$49:$F$51,[9]Vehicles!$D$55:$F$57</definedName>
    <definedName name="CLI">#REF!</definedName>
    <definedName name="CLIENT_NAME">'[17]AWW Consolidated'!$D$3</definedName>
    <definedName name="CLUB_DUES_DETAIL">'[9]Club Dues'!$A$1</definedName>
    <definedName name="ColControl">#REF!</definedName>
    <definedName name="COMBO_PG1">#REF!</definedName>
    <definedName name="COMBO_PG2">#REF!</definedName>
    <definedName name="commentradio">[7]FunnelData!$Y$1</definedName>
    <definedName name="Companies">[18]Dropdowns!$C$1:$C$43</definedName>
    <definedName name="Company_Name">'[19]Life Cycle Costs'!$F$1</definedName>
    <definedName name="CompanyName">'[1]Title Page'!$A$22</definedName>
    <definedName name="CONS_PG1">#REF!</definedName>
    <definedName name="CONS_PG2">#REF!</definedName>
    <definedName name="contr">#REF!</definedName>
    <definedName name="COPY">[20]W_2_W_3!#REF!</definedName>
    <definedName name="Core_DebtCap">#REF!</definedName>
    <definedName name="Core_EquityCap">#REF!</definedName>
    <definedName name="core_ROE">#REF!</definedName>
    <definedName name="count1forfunnel">[7]FunnelData!$E$4</definedName>
    <definedName name="count1forscorecard">[12]ScorecardData!$E$3</definedName>
    <definedName name="count2forfunnel">[7]FunnelData!$G$4</definedName>
    <definedName name="count2forscorecard">[12]ScorecardData!$E$4</definedName>
    <definedName name="count3forfunnel">[7]FunnelData!$I$4</definedName>
    <definedName name="count4forfunnel">[7]FunnelData!$K$4</definedName>
    <definedName name="count5forfunnel">[7]FunnelData!$M$4</definedName>
    <definedName name="counter">[7]Engines!$B$15</definedName>
    <definedName name="counter12">[7]Engines!$G$32</definedName>
    <definedName name="counter13">[7]Engines!$J$32</definedName>
    <definedName name="counter2">[7]Engines!$G$15</definedName>
    <definedName name="counter3">[7]Engines!$J$15</definedName>
    <definedName name="counter4">[7]Engines!$M$15</definedName>
    <definedName name="counter5">[7]Engines!$P$15</definedName>
    <definedName name="counter6">[7]Engines!$S$15</definedName>
    <definedName name="COVERPM">Cover!$B$53:$B$61</definedName>
    <definedName name="Crap">#REF!</definedName>
    <definedName name="crud">#REF!</definedName>
    <definedName name="CT_PG1">#REF!</definedName>
    <definedName name="CT_PG2">#REF!</definedName>
    <definedName name="CTAM00">#REF!</definedName>
    <definedName name="CTAM01">#REF!</definedName>
    <definedName name="ctamfiscal">#REF!</definedName>
    <definedName name="currentmonth">[7]FunnelData!$CB$6</definedName>
    <definedName name="currentquarter">[7]FunnelData!$BY$6</definedName>
    <definedName name="cwincount">[7]TableofDeals!$BI$10</definedName>
    <definedName name="d">#REF!</definedName>
    <definedName name="data">#REF!</definedName>
    <definedName name="_xlnm.Database">#REF!</definedName>
    <definedName name="Database_MI">#REF!</definedName>
    <definedName name="Date">[10]MDSummary!$D$10</definedName>
    <definedName name="discountrate">[7]Engines!$B$11</definedName>
    <definedName name="DiscRate">[21]General!$B$2</definedName>
    <definedName name="DOB">'[22]NEI (Abernathy)'!#REF!</definedName>
    <definedName name="DOC">#REF!</definedName>
    <definedName name="DP1813TB1">[23]TPACT!$B$5:$B$141</definedName>
    <definedName name="DP1813TB2">[22]TPACT!$B$287:$B$423</definedName>
    <definedName name="DP1814TB1">[23]TPACT!$B$146:$B$282</definedName>
    <definedName name="DT">#REF!</definedName>
    <definedName name="ELIM_PG1">#REF!</definedName>
    <definedName name="ELIM_PG2">#REF!</definedName>
    <definedName name="Entity">[14]CONTROL!$B$2</definedName>
    <definedName name="Entity2">[15]Input!$B$7</definedName>
    <definedName name="EXPENSE">#REF!</definedName>
    <definedName name="ExpLoad">[24]Assumptions!$E$4</definedName>
    <definedName name="extractradio">[7]FunnelData!$AI$1</definedName>
    <definedName name="FAS">#REF!</definedName>
    <definedName name="file">[25]CONTROL!$B$2</definedName>
    <definedName name="financings">#REF!</definedName>
    <definedName name="FINCO2000">#REF!</definedName>
    <definedName name="FINCO2001">#REF!</definedName>
    <definedName name="fincofiscal">#REF!</definedName>
    <definedName name="fiscalprint">#REF!</definedName>
    <definedName name="Forecast">[14]CONTROL!$B$4</definedName>
    <definedName name="frequency">'[26]Regn by Line'!$A$7</definedName>
    <definedName name="FRONT">#REF!</definedName>
    <definedName name="FTAX_GAIN_LOSS_WITH_BK_COLUMN_FINAL">#REF!</definedName>
    <definedName name="funnelgraphradio">[7]FunnelData!$V$1</definedName>
    <definedName name="FY">[13]Input!$B$21</definedName>
    <definedName name="FYperiod">[13]Input!$B$17</definedName>
    <definedName name="g">#REF!</definedName>
    <definedName name="GAM">[27]TPACT!$B$5:$B$141</definedName>
    <definedName name="GAM94F">[27]TPACT!$B$146:$B$282</definedName>
    <definedName name="GENINSTPM">Instructions!$C$63:$C$71</definedName>
    <definedName name="GL">#REF!</definedName>
    <definedName name="grabbedregions">[7]FunnelData!$S$2:$T$5</definedName>
    <definedName name="h">#REF!</definedName>
    <definedName name="HADDON_HEIGHTS">#REF!</definedName>
    <definedName name="HAMP_PG1">#REF!</definedName>
    <definedName name="HAMP_PG2">#REF!</definedName>
    <definedName name="HAMP00">#REF!</definedName>
    <definedName name="HAMP01">#REF!</definedName>
    <definedName name="hamptfiscal">#REF!</definedName>
    <definedName name="HERSHEY">#REF!</definedName>
    <definedName name="HI_PG1">#REF!</definedName>
    <definedName name="HI_PG2">#REF!</definedName>
    <definedName name="HIAM00">#REF!</definedName>
    <definedName name="HIAM01">#REF!</definedName>
    <definedName name="hiamfiscal">#REF!</definedName>
    <definedName name="high_growth1">[7]FunnelData!$CJ$6</definedName>
    <definedName name="HIGHLANDS">#REF!</definedName>
    <definedName name="home">[7]Database!$EU$1</definedName>
    <definedName name="hottop">[7]HotDealData!$A$1</definedName>
    <definedName name="HOWELL">#REF!</definedName>
    <definedName name="howell1">#REF!</definedName>
    <definedName name="hurdlerate">[7]Engines!$B$12</definedName>
    <definedName name="IA_PG1">#REF!</definedName>
    <definedName name="IA_PG2">#REF!</definedName>
    <definedName name="IAAM00">#REF!</definedName>
    <definedName name="IAAM01">#REF!</definedName>
    <definedName name="iaamfiscal">#REF!</definedName>
    <definedName name="IL_PG1">#REF!</definedName>
    <definedName name="IL_PG2">#REF!</definedName>
    <definedName name="ILAM00">#REF!</definedName>
    <definedName name="ILAM01">#REF!</definedName>
    <definedName name="ilamfiscal">#REF!</definedName>
    <definedName name="ILL">#REF!</definedName>
    <definedName name="ILLCORP">#REF!</definedName>
    <definedName name="ILLINOIS">#REF!</definedName>
    <definedName name="Impact">#REF!</definedName>
    <definedName name="IN_PG1">#REF!</definedName>
    <definedName name="IN_PG2">#REF!</definedName>
    <definedName name="INAM00">#REF!</definedName>
    <definedName name="INAM01">#REF!</definedName>
    <definedName name="inamfiscal">#REF!</definedName>
    <definedName name="IND">#REF!</definedName>
    <definedName name="INDCORP">#REF!</definedName>
    <definedName name="INDIANA">#REF!</definedName>
    <definedName name="INT">#REF!</definedName>
    <definedName name="INTANGIBLE_ASSETS__BOOK_TAX_BASIS_DIFFERENCE">#REF!</definedName>
    <definedName name="interimjuancell">[7]FunnelData!$GC$1</definedName>
    <definedName name="IOA">#REF!</definedName>
    <definedName name="IOACORP">#REF!</definedName>
    <definedName name="ipSexCode">[23]IO!$C$25</definedName>
    <definedName name="IS_FIN">#REF!</definedName>
    <definedName name="IS_PC">#REF!</definedName>
    <definedName name="ITC">#REF!</definedName>
    <definedName name="j">#REF!</definedName>
    <definedName name="JCWC00">#REF!</definedName>
    <definedName name="JCWC01">#REF!</definedName>
    <definedName name="jcwcfiscal">#REF!</definedName>
    <definedName name="JE">#REF!</definedName>
    <definedName name="jj">#REF!</definedName>
    <definedName name="joe">#REF!</definedName>
    <definedName name="JOP">#REF!</definedName>
    <definedName name="JOURNAL">#REF!</definedName>
    <definedName name="journal_entry">#REF!</definedName>
    <definedName name="jp">#REF!</definedName>
    <definedName name="juanreport">#REF!</definedName>
    <definedName name="key">[7]Engines!$C$13</definedName>
    <definedName name="KOK">#REF!</definedName>
    <definedName name="KY_PG1">#REF!</definedName>
    <definedName name="KY_PG2">#REF!</definedName>
    <definedName name="KYAM00">#REF!</definedName>
    <definedName name="KYAM01">#REF!</definedName>
    <definedName name="kyamfiscal">#REF!</definedName>
    <definedName name="l">#REF!</definedName>
    <definedName name="LAB">'[28]201'!#REF!</definedName>
    <definedName name="LAKE_PG1">#REF!</definedName>
    <definedName name="LAKE_PG2">#REF!</definedName>
    <definedName name="leadsourceradio">[7]FunnelData!$BC$1</definedName>
    <definedName name="leadsourcereport">[7]LeadSources!$A$1</definedName>
    <definedName name="LI_PG1">#REF!</definedName>
    <definedName name="LI_PG2">#REF!</definedName>
    <definedName name="line10">#REF!</definedName>
    <definedName name="line11">#REF!</definedName>
    <definedName name="line12">#REF!</definedName>
    <definedName name="line2">[7]TableofDeals!$B$13:$EM$13</definedName>
    <definedName name="line23">#REF!</definedName>
    <definedName name="line24">#REF!</definedName>
    <definedName name="line25">[7]OutlierData!$U$2:$Y$2</definedName>
    <definedName name="line26">[7]OutlierData!$U$3:$Y$3</definedName>
    <definedName name="line3">[7]HotDealData!$B$2:$M$2</definedName>
    <definedName name="line4">[7]HotDealData!$B$3:$M$3</definedName>
    <definedName name="line5">[7]HotDealData!$Z$2:$AK$2</definedName>
    <definedName name="line6">[7]HotDealData!$Z$3:$AK$3</definedName>
    <definedName name="line7">[7]HotDealData!$AT$2:$AZ$2</definedName>
    <definedName name="line8">[7]HotDealData!$AT$3:$AZ$3</definedName>
    <definedName name="line9">#REF!</definedName>
    <definedName name="LinkList">#REF!</definedName>
    <definedName name="LIWC00">#REF!</definedName>
    <definedName name="LIWC01">#REF!</definedName>
    <definedName name="liwcfiscal">#REF!</definedName>
    <definedName name="lkdeferral">'[16]DO NOT PRINT - Deferrals'!$C$13:$P$83</definedName>
    <definedName name="Locations">#REF!</definedName>
    <definedName name="LOGAN">#REF!</definedName>
    <definedName name="LS">[27]TPACT!$B$287:$B$423</definedName>
    <definedName name="LSDiscountRate">[23]IO!$C$6</definedName>
    <definedName name="MA_ENGIN">#REF!</definedName>
    <definedName name="MA_OH">#REF!</definedName>
    <definedName name="MA_OM">#REF!</definedName>
    <definedName name="MA_OTHER">#REF!</definedName>
    <definedName name="MA_PG1">#REF!</definedName>
    <definedName name="MA_PG2">#REF!</definedName>
    <definedName name="MA_RESID">#REF!</definedName>
    <definedName name="MA_UNDER">#REF!</definedName>
    <definedName name="MAAM00">#REF!</definedName>
    <definedName name="MAAM01">#REF!</definedName>
    <definedName name="maamfiscal">#REF!</definedName>
    <definedName name="macroNewIssue">[0]!macroNewIssue</definedName>
    <definedName name="macroOpen">[0]!macroOpen</definedName>
    <definedName name="MAXLINES">#REF!</definedName>
    <definedName name="MCRC_PG1">#REF!</definedName>
    <definedName name="MCRC_PG2">#REF!</definedName>
    <definedName name="MD_PG1">#REF!</definedName>
    <definedName name="MD_PG2">#REF!</definedName>
    <definedName name="MDAM00">#REF!</definedName>
    <definedName name="MDAM01">#REF!</definedName>
    <definedName name="mdamfiscal">#REF!</definedName>
    <definedName name="MEALS___ENTERTAINMENT">#REF!</definedName>
    <definedName name="MENDHAM">#REF!</definedName>
    <definedName name="MI_PG1">#REF!</definedName>
    <definedName name="MI_PG2">#REF!</definedName>
    <definedName name="MIAM00">#REF!</definedName>
    <definedName name="MIAM01">#REF!</definedName>
    <definedName name="miamfiscal">#REF!</definedName>
    <definedName name="militaryyesno">[7]FunnelData!$EK$1</definedName>
    <definedName name="MO_PG1">#REF!</definedName>
    <definedName name="MO_PG2">#REF!</definedName>
    <definedName name="MOA">#REF!</definedName>
    <definedName name="MOACORP">#REF!</definedName>
    <definedName name="MOAM00">#REF!</definedName>
    <definedName name="MOAM01">#REF!</definedName>
    <definedName name="moamfiscal">#REF!</definedName>
    <definedName name="Month">#REF!</definedName>
    <definedName name="MUN">#REF!</definedName>
    <definedName name="name">#REF!</definedName>
    <definedName name="ND_ENGIN">#REF!</definedName>
    <definedName name="ND_OH">#REF!</definedName>
    <definedName name="ND_OM">#REF!</definedName>
    <definedName name="ND_OTHER">#REF!</definedName>
    <definedName name="ND_RESID">#REF!</definedName>
    <definedName name="ND_UNDER">#REF!</definedName>
    <definedName name="NE_ENGIN">#REF!</definedName>
    <definedName name="NE_OH">#REF!</definedName>
    <definedName name="NE_OM">#REF!</definedName>
    <definedName name="NE_OTHER">#REF!</definedName>
    <definedName name="NE_RESID">#REF!</definedName>
    <definedName name="NE_UNDER">#REF!</definedName>
    <definedName name="NEW">#REF!</definedName>
    <definedName name="newincount">[7]TableofDeals!$BC$10</definedName>
    <definedName name="newleads">[7]FunnelData!$CK$9</definedName>
    <definedName name="NJ_PG1">#REF!</definedName>
    <definedName name="NJ_PG2">#REF!</definedName>
    <definedName name="NJAM00">#REF!</definedName>
    <definedName name="NJAM01">#REF!</definedName>
    <definedName name="njamfiscal">#REF!</definedName>
    <definedName name="NM_PG1">#REF!</definedName>
    <definedName name="NM_PG2">#REF!</definedName>
    <definedName name="NMAM00">#REF!</definedName>
    <definedName name="NMAM01">#REF!</definedName>
    <definedName name="nmamfiscal">#REF!</definedName>
    <definedName name="NO_NEI">#REF!</definedName>
    <definedName name="nom"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NORTHEAST">#REF!</definedName>
    <definedName name="northeasthots">[7]FunnelData!$AT$8</definedName>
    <definedName name="NOSH">[29]ValSummary!$B$25</definedName>
    <definedName name="NW_ENGIN">#REF!</definedName>
    <definedName name="NW_OH">#REF!</definedName>
    <definedName name="NW_OM">#REF!</definedName>
    <definedName name="NW_OTHER">#REF!</definedName>
    <definedName name="NW_RESID">#REF!</definedName>
    <definedName name="NW_UNDER">#REF!</definedName>
    <definedName name="NY_PG1">#REF!</definedName>
    <definedName name="NY_PG2">#REF!</definedName>
    <definedName name="NYAM00">#REF!</definedName>
    <definedName name="NYAM01">#REF!</definedName>
    <definedName name="nyamfiscal">#REF!</definedName>
    <definedName name="OCCAMT">'[30]Tax allocation 3-21-06'!#REF!</definedName>
    <definedName name="OCEAN">#REF!</definedName>
    <definedName name="OFFICERS_LIFE_INSURANCE">#REF!</definedName>
    <definedName name="OH_ADJ">#REF!</definedName>
    <definedName name="OH_COMM">#REF!</definedName>
    <definedName name="OH_EL">#REF!</definedName>
    <definedName name="OH_EXEC">#REF!</definedName>
    <definedName name="OH_FIN">#REF!</definedName>
    <definedName name="OH_HR">#REF!</definedName>
    <definedName name="OH_LEGAL">#REF!</definedName>
    <definedName name="OH_MKT">#REF!</definedName>
    <definedName name="OH_OPS">#REF!</definedName>
    <definedName name="OH_OTH">#REF!</definedName>
    <definedName name="OH_PG1">#REF!</definedName>
    <definedName name="OH_PG2">#REF!</definedName>
    <definedName name="OH_PR">#REF!</definedName>
    <definedName name="OHA">#REF!</definedName>
    <definedName name="OHAM00">#REF!</definedName>
    <definedName name="OHAM01">#REF!</definedName>
    <definedName name="ohamfiscal">#REF!</definedName>
    <definedName name="ok">#REF!</definedName>
    <definedName name="old_print">#REF!</definedName>
    <definedName name="OMI">#REF!</definedName>
    <definedName name="ORCOM">#REF!</definedName>
    <definedName name="Ortley_Beach">#REF!</definedName>
    <definedName name="outliertop">[7]OutlierData!$A$1</definedName>
    <definedName name="OverEarn_Amount">#REF!</definedName>
    <definedName name="OverEarn_Switch">#REF!</definedName>
    <definedName name="OverEarnCap_Switch">#REF!</definedName>
    <definedName name="p">#REF!</definedName>
    <definedName name="PA">#REF!</definedName>
    <definedName name="PA_PG1">#REF!</definedName>
    <definedName name="PA_PG2">#REF!</definedName>
    <definedName name="PAAM00">#REF!</definedName>
    <definedName name="PAAM01">#REF!</definedName>
    <definedName name="paamfiscal">#REF!</definedName>
    <definedName name="PAGE1">#REF!</definedName>
    <definedName name="PAGE2">#REF!</definedName>
    <definedName name="pain">#REF!</definedName>
    <definedName name="PCALOC">#REF!</definedName>
    <definedName name="PEK">#REF!</definedName>
    <definedName name="PENALTIES_AND_FINES">#REF!</definedName>
    <definedName name="PEO">#REF!</definedName>
    <definedName name="Period">[13]Input!$B$45</definedName>
    <definedName name="PERIOD_END">'[17]AWW Consolidated'!$D$4</definedName>
    <definedName name="periodl">[13]Input!$B$55</definedName>
    <definedName name="pivotreport">[7]Pivot!$A$1</definedName>
    <definedName name="pj">#REF!</definedName>
    <definedName name="PLBSHEET">#REF!</definedName>
    <definedName name="PMVERIFY" localSheetId="8">#REF!</definedName>
    <definedName name="PMVERIFY" localSheetId="10">#REF!</definedName>
    <definedName name="PMVERIFY">#REF!</definedName>
    <definedName name="PMZINDEX" localSheetId="8">#REF!</definedName>
    <definedName name="PMZINDEX" localSheetId="10">#REF!</definedName>
    <definedName name="PMZINDEX">#REF!</definedName>
    <definedName name="poil">#REF!</definedName>
    <definedName name="POLITICAL_CONTRIBUTIONS">'[9]Pol Contri'!$A$1</definedName>
    <definedName name="poll">#REF!</definedName>
    <definedName name="pop">#REF!</definedName>
    <definedName name="ppp">#REF!</definedName>
    <definedName name="PREPAID_ASSET_DETAIL">#REF!</definedName>
    <definedName name="PREPARED_BY">'[17]AWW Consolidated'!$J$3</definedName>
    <definedName name="PREPARED_DATE">'[17]AWW Consolidated'!$J$4</definedName>
    <definedName name="PrevForecast">[13]Input!$B$19</definedName>
    <definedName name="_xlnm.Print_Area" localSheetId="6">'101'!$B$1:$F$58</definedName>
    <definedName name="_xlnm.Print_Area" localSheetId="7">'102103'!$A$1:$J$114</definedName>
    <definedName name="_xlnm.Print_Area" localSheetId="8">'104105'!$A$1:$O$63</definedName>
    <definedName name="_xlnm.Print_Area" localSheetId="9">'106107'!$A$1:$F$115</definedName>
    <definedName name="_xlnm.Print_Area" localSheetId="10">'108109'!$A$1:$G$113</definedName>
    <definedName name="_xlnm.Print_Area" localSheetId="11">'110'!$A$1:$C$54</definedName>
    <definedName name="_xlnm.Print_Area" localSheetId="12">'111113'!$A$1:$L$156</definedName>
    <definedName name="_xlnm.Print_Area" localSheetId="13">'114115'!$A$1:$F$121</definedName>
    <definedName name="_xlnm.Print_Area" localSheetId="14">'116119'!$A$1:$H$58,'116119'!$J$1:$P$58,'116119'!$A$60:$H$120,'116119'!$J$60:$P$120</definedName>
    <definedName name="_xlnm.Print_Area" localSheetId="15">'120121'!$A$1:$I$125</definedName>
    <definedName name="_xlnm.Print_Area" localSheetId="16">'122123'!$A$1:$F$131</definedName>
    <definedName name="_xlnm.Print_Area" localSheetId="17">'124125'!$A$1:$I$132</definedName>
    <definedName name="_xlnm.Print_Area" localSheetId="18">'200201'!$A$1:$E$63,'200201'!$G$1:$L$63</definedName>
    <definedName name="_xlnm.Print_Area" localSheetId="19">'202205'!$A$1:$E$64,'202205'!$G$1:$L$64,'202205'!$A$66:$E$129,'202205'!$G$66:$L$129</definedName>
    <definedName name="_xlnm.Print_Area" localSheetId="20">'206'!$A$1:$E$273</definedName>
    <definedName name="_xlnm.Print_Area" localSheetId="21">'207'!$A$1:$E$64</definedName>
    <definedName name="_xlnm.Print_Area" localSheetId="22">'208'!$A$1:$G$66,'208'!$A$69:$G$130</definedName>
    <definedName name="_xlnm.Print_Area" localSheetId="23">'209'!$A$1:$F$50</definedName>
    <definedName name="_xlnm.Print_Area" localSheetId="24">'210'!$A$1:$I$47</definedName>
    <definedName name="_xlnm.Print_Area" localSheetId="25">'211'!$A$1:$G$64</definedName>
    <definedName name="_xlnm.Print_Area" localSheetId="26">'212'!$A$1:$D$68</definedName>
    <definedName name="_xlnm.Print_Area" localSheetId="27">'213'!$A$1:$G$61</definedName>
    <definedName name="_xlnm.Print_Area" localSheetId="28">'214'!$A$1:$H$68</definedName>
    <definedName name="_xlnm.Print_Area" localSheetId="29">'215'!$A$1:$I$63</definedName>
    <definedName name="_xlnm.Print_Area" localSheetId="30">'216'!$A$1:$H$66</definedName>
    <definedName name="_xlnm.Print_Area" localSheetId="31">'217'!$A$1:$F$61</definedName>
    <definedName name="_xlnm.Print_Area" localSheetId="32">'250251'!$A$1:$M$64</definedName>
    <definedName name="_xlnm.Print_Area" localSheetId="33">'252'!$A$1:$F$63</definedName>
    <definedName name="_xlnm.Print_Area" localSheetId="34">'253'!$A$1:$F$65</definedName>
    <definedName name="_xlnm.Print_Area" localSheetId="35">'254'!$A$1:$E$60</definedName>
    <definedName name="_xlnm.Print_Area" localSheetId="36">'255'!$A$1:$H$69</definedName>
    <definedName name="_xlnm.Print_Area" localSheetId="37">'256257'!$A$1:$E$65,'256257'!$G$1:$M$65,'256257'!$A$67:$E$128,'256257'!$G$67:$M$128</definedName>
    <definedName name="_xlnm.Print_Area" localSheetId="38">'258260'!$A$1:$G$67,'258260'!$I$1:$O$67,'258260'!$A$69:$G$125</definedName>
    <definedName name="_xlnm.Print_Area" localSheetId="39">'261'!$A$1:$G$57</definedName>
    <definedName name="_xlnm.Print_Area" localSheetId="40">'262263'!$A$1:$H$56,'262263'!$J$1:$O$56</definedName>
    <definedName name="_xlnm.Print_Area" localSheetId="41">'264265'!$A$1:$E$60,'264265'!$G$1:$N$60</definedName>
    <definedName name="_xlnm.Print_Area" localSheetId="42">'266'!$A$1:$G$39</definedName>
    <definedName name="_xlnm.Print_Area" localSheetId="43">'267'!$A$1:$G$35</definedName>
    <definedName name="_xlnm.Print_Area" localSheetId="44">'300'!$A$1:$I$51</definedName>
    <definedName name="_xlnm.Print_Area" localSheetId="45">'301'!$A$1:$H$73</definedName>
    <definedName name="_xlnm.Print_Area" localSheetId="46">'302304'!$A$1:$R$127</definedName>
    <definedName name="_xlnm.Print_Area" localSheetId="47">'305'!$A$1:$J$46</definedName>
    <definedName name="_xlnm.Print_Area" localSheetId="48">'306'!$A$1:$F$65</definedName>
    <definedName name="_xlnm.Print_Area" localSheetId="49">'307309'!$A$1:$E$178</definedName>
    <definedName name="_xlnm.Print_Area" localSheetId="50">'310'!$A$1:$F$63</definedName>
    <definedName name="_xlnm.Print_Area" localSheetId="51">'311312'!$A$1:$N$77</definedName>
    <definedName name="_xlnm.Print_Area" localSheetId="52">'313'!$A$1:$E$63</definedName>
    <definedName name="_xlnm.Print_Area" localSheetId="53">'314'!$A$1:$F$69</definedName>
    <definedName name="_xlnm.Print_Area" localSheetId="54">'314_attachment'!$A:$I</definedName>
    <definedName name="_xlnm.Print_Area" localSheetId="55">'315'!$A$1:$G$61</definedName>
    <definedName name="_xlnm.Print_Area" localSheetId="56">'316'!$A$1:$E$60</definedName>
    <definedName name="_xlnm.Print_Area" localSheetId="57">'317'!$A$1:$F$49</definedName>
    <definedName name="_xlnm.Print_Area" localSheetId="58">'318320'!$A$1:$E$186</definedName>
    <definedName name="_xlnm.Print_Area" localSheetId="59">'321'!$A$1:$D$62</definedName>
    <definedName name="_xlnm.Print_Area" localSheetId="60">'350351'!$A$1:$N$64</definedName>
    <definedName name="_xlnm.Print_Area" localSheetId="61">'352353'!$A$1:$L$65</definedName>
    <definedName name="_xlnm.Print_Area" localSheetId="62">'354'!$A$1:$F$54</definedName>
    <definedName name="_xlnm.Print_Area" localSheetId="63">'355356'!$A$1:$F$142</definedName>
    <definedName name="_xlnm.Print_Area" localSheetId="64">'357358'!$A$1:$D$130</definedName>
    <definedName name="_xlnm.Print_Area" localSheetId="65">'359360'!$A$1:$I$57</definedName>
    <definedName name="_xlnm.Print_Area" localSheetId="66">'361362'!$A$1:$L$61</definedName>
    <definedName name="_xlnm.Print_Area" localSheetId="67">'363'!$A$1:$D$61</definedName>
    <definedName name="_xlnm.Print_Area" localSheetId="68">'364'!$A$1:$G$64</definedName>
    <definedName name="_xlnm.Print_Area" localSheetId="69">'365'!$A$1:$F$58</definedName>
    <definedName name="_xlnm.Print_Area" localSheetId="70">'366'!$A$1:$F$60</definedName>
    <definedName name="_xlnm.Print_Area" localSheetId="71">'367'!$A$1:$E$65</definedName>
    <definedName name="_xlnm.Print_Area" localSheetId="72">'400'!$A$1:$P$48</definedName>
    <definedName name="_xlnm.Print_Area" localSheetId="73">'401'!$A$1:$N$54</definedName>
    <definedName name="_xlnm.Print_Area" localSheetId="74">'402'!$A$1:$N$231</definedName>
    <definedName name="_xlnm.Print_Area" localSheetId="75">'403404'!$A$1:$AR$67</definedName>
    <definedName name="_xlnm.Print_Area" localSheetId="76">'405'!$A$1:$I$1155</definedName>
    <definedName name="_xlnm.Print_Area" localSheetId="77">'406'!$A$1:$J$49</definedName>
    <definedName name="_xlnm.Print_Area" localSheetId="78">'407408'!$A$1:$L$251</definedName>
    <definedName name="_xlnm.Print_Area" localSheetId="81">'411412'!$A$1:$L$111</definedName>
    <definedName name="_xlnm.Print_Area" localSheetId="82">Book!$A$1:$C$438</definedName>
    <definedName name="_xlnm.Print_Area" localSheetId="3">Cover!$A$1:$J$43</definedName>
    <definedName name="_xlnm.Print_Area" localSheetId="2">'Data sheet'!$A$1:$H$70</definedName>
    <definedName name="_xlnm.Print_Area" localSheetId="4">Instructions!$A$1:$E$57</definedName>
    <definedName name="_xlnm.Print_Area" localSheetId="5">Schedules!$A$1:$I$119</definedName>
    <definedName name="_xlnm.Print_Area" localSheetId="83">Verify!$A$1:$C$64</definedName>
    <definedName name="_xlnm.Print_Area" localSheetId="84">Zindex!$A$1:$D$106</definedName>
    <definedName name="_xlnm.Print_Area">#REF!</definedName>
    <definedName name="PRINT_AREA_MI">#REF!</definedName>
    <definedName name="_xlnm.Print_Titles" localSheetId="20">'206'!$1:$12</definedName>
    <definedName name="_xlnm.Print_Titles">#N/A</definedName>
    <definedName name="PRINT_TITLES_MI">#REF!</definedName>
    <definedName name="PRINT2000">#REF!</definedName>
    <definedName name="PRINT2001">#REF!</definedName>
    <definedName name="PRINTF12">[20]F_12!#REF!</definedName>
    <definedName name="PRINTF13">[20]F_13!#REF!</definedName>
    <definedName name="PRINTF1415">[20]F_14_F_15!#REF!</definedName>
    <definedName name="PRINTF37">#REF!</definedName>
    <definedName name="PRINTG0405">[20]W_4_W_5!#REF!</definedName>
    <definedName name="PRINTG18">[20]W_11!#REF!</definedName>
    <definedName name="PRINTW6">[20]W_6!#REF!</definedName>
    <definedName name="pull">#REF!</definedName>
    <definedName name="QC">#REF!</definedName>
    <definedName name="Quarters">[31]Dropdowns!$A$1:$A$8</definedName>
    <definedName name="Query1">#REF!</definedName>
    <definedName name="radiosort">[7]Engines!$B$20</definedName>
    <definedName name="RANGE_ACCRUALS_CY">#REF!</definedName>
    <definedName name="RANGE_ACCRUALS_HIDE">#REF!</definedName>
    <definedName name="RANGE_ACCRUALS_PY">#REF!</definedName>
    <definedName name="RANGE_ACCRUED_COMP_CY">#REF!</definedName>
    <definedName name="RANGE_ACCRUED_COMP_PY">#REF!</definedName>
    <definedName name="RANGE_ALLOW_CY">#REF!</definedName>
    <definedName name="RANGE_ALLOW_PY">#REF!</definedName>
    <definedName name="RANGE_DEFERRED_CY">#REF!</definedName>
    <definedName name="RANGE_DEFERRED_PY">#REF!</definedName>
    <definedName name="RANGE_FA_ACE_CLEAR">'[9]FA Rfwd (ACE)'!$C$12:$E$17,'[9]FA Rfwd (ACE)'!$C$20:$E$22,'[9]FA Rfwd (ACE)'!$I$12:$K$17,'[9]FA Rfwd (ACE)'!$I$20:$K$22,'[9]FA Rfwd (ACE)'!$I$29,'[9]FA Rfwd (ACE)'!$L$29</definedName>
    <definedName name="RANGE_FA_AMT_CLEAR">'[9]FA Rfwd (AMT)'!$C$12:$E$17,'[9]FA Rfwd (AMT)'!$C$20:$E$22,'[9]FA Rfwd (AMT)'!$C$38:$E$46,'[9]FA Rfwd (AMT)'!$I$12:$K$17,'[9]FA Rfwd (AMT)'!$I$41:$I$42,'[9]FA Rfwd (AMT)'!$L$41:$L$42</definedName>
    <definedName name="RANGE_FA_REGULAR_CLEAR">'[9]FA Rfwd'!$C$12:$E$18,'[9]FA Rfwd'!$C$21:$E$23,'[9]FA Rfwd'!$C$31:$E$37,'[9]FA Rfwd'!$C$40:$E$42,'[9]FA Rfwd'!$C$52:$E$62,'[9]FA Rfwd'!$I$12:$K$18,'[9]FA Rfwd'!$I$31:$K$37,'[9]FA Rfwd'!$I$55:$I$56,'[9]FA Rfwd'!$L$55:$L$56</definedName>
    <definedName name="RANGE_INTANGIBLE_AD_BEG">#REF!</definedName>
    <definedName name="RANGE_INTANGIBLE_AD_END">#REF!</definedName>
    <definedName name="RANGE_INTANGIBLE_CLEAR">#REF!,#REF!,#REF!</definedName>
    <definedName name="RANGE_INTANGIBLE_COST_BEG">#REF!</definedName>
    <definedName name="RANGE_INTANGIBLE_COST_END">#REF!</definedName>
    <definedName name="RANGE_INV_RSV_CY">#REF!</definedName>
    <definedName name="RANGE_INV_RSV_PY">#REF!</definedName>
    <definedName name="RANGE_PREPAID_CY">#REF!</definedName>
    <definedName name="RANGE_PREPAID_PY">#REF!</definedName>
    <definedName name="RANGE_RSV_CY">#REF!</definedName>
    <definedName name="RANGE_RSV_PY">#REF!</definedName>
    <definedName name="RECON">#REF!</definedName>
    <definedName name="RECONCILIATION">#REF!</definedName>
    <definedName name="record_count">[7]Engines!$B$13</definedName>
    <definedName name="record_count12">[7]Engines!$G$30</definedName>
    <definedName name="record_count13">[7]Engines!$J$30</definedName>
    <definedName name="record_count2">[7]Engines!$G$13</definedName>
    <definedName name="record_count3">[7]Engines!$J$13</definedName>
    <definedName name="record_count4">[7]Engines!$M$13</definedName>
    <definedName name="record_count5">[7]Engines!$P$13</definedName>
    <definedName name="record_count6">[7]Engines!$S$13</definedName>
    <definedName name="referencedate">[7]FunnelData!$CB$8</definedName>
    <definedName name="referencedate2">[7]FunnelData!$CC$8</definedName>
    <definedName name="referencedate3">[7]FunnelData!$CC$6</definedName>
    <definedName name="REGION_1">#REF!</definedName>
    <definedName name="REGION_2">#REF!</definedName>
    <definedName name="regionagainforbsc">[12]ScorecardData!$GF$2:$GF$6</definedName>
    <definedName name="regionagainforbsc_ref">[12]ScorecardData!$GE$2</definedName>
    <definedName name="regionindicator">[7]FunnelData!$S$1</definedName>
    <definedName name="regionindicator2">[7]FunnelData!$AA$1</definedName>
    <definedName name="RIC">#REF!</definedName>
    <definedName name="RICHMOND">#REF!</definedName>
    <definedName name="s">#REF!</definedName>
    <definedName name="SAL_PG1">#REF!</definedName>
    <definedName name="SAL_PG2">#REF!</definedName>
    <definedName name="SALI00">#REF!</definedName>
    <definedName name="SALI01">#REF!</definedName>
    <definedName name="salisfiscal">#REF!</definedName>
    <definedName name="Sample_Area">#REF!</definedName>
    <definedName name="scorecard_pd1ref">[12]ScorecardData!$BW$3</definedName>
    <definedName name="scorecardpd1">[12]ScorecardData!$BW$1:$BW$2</definedName>
    <definedName name="SE_ENGIN">#REF!</definedName>
    <definedName name="SE_OH">#REF!</definedName>
    <definedName name="SE_OM">#REF!</definedName>
    <definedName name="SE_OTHER">#REF!</definedName>
    <definedName name="SE_RESID">#REF!</definedName>
    <definedName name="SE_UNDER">#REF!</definedName>
    <definedName name="secretjuancell">[7]FunnelData!$EN$1</definedName>
    <definedName name="SEpage2">[7]BSC2!$A$1</definedName>
    <definedName name="Service">#REF!</definedName>
    <definedName name="sewincount">[7]TableofDeals!$BE$10</definedName>
    <definedName name="SEY">#REF!</definedName>
    <definedName name="showme">#REF!</definedName>
    <definedName name="SizingColumn">[32]BS!#REF!</definedName>
    <definedName name="SLCW00">#REF!</definedName>
    <definedName name="SLCW01">#REF!</definedName>
    <definedName name="slcwfiscal">#REF!</definedName>
    <definedName name="sortthedealbackup">[7]ScorecardBackup!$B$33</definedName>
    <definedName name="sortthefunnel">[7]FunnelReport!$B$33</definedName>
    <definedName name="SOUTHEAST">#REF!</definedName>
    <definedName name="SPECIALS">#REF!</definedName>
    <definedName name="spinner1">[7]Engines!$B$22</definedName>
    <definedName name="SRP">#REF!</definedName>
    <definedName name="STATE_TAX_DEDUCTION">#REF!</definedName>
    <definedName name="STJ">#REF!</definedName>
    <definedName name="STMT">#REF!</definedName>
    <definedName name="STMTBU">#REF!</definedName>
    <definedName name="STOCK">#REF!</definedName>
    <definedName name="STOCK_OPTION_INFORMATION">#REF!</definedName>
    <definedName name="Stuff">#REF!</definedName>
    <definedName name="subcat">[33]subcatlist!$A$1:$A$46</definedName>
    <definedName name="SUMMARY_SHEET">#REF!</definedName>
    <definedName name="SUNBURY">#REF!</definedName>
    <definedName name="suspectdatareport">[7]SuspectData!$A$1</definedName>
    <definedName name="SW_ENGIN">#REF!</definedName>
    <definedName name="SW_OH">#REF!</definedName>
    <definedName name="SW_OM">#REF!</definedName>
    <definedName name="SW_OTHER">#REF!</definedName>
    <definedName name="SW_RESID">#REF!</definedName>
    <definedName name="SW_UNDER">#REF!</definedName>
    <definedName name="sysExpenseLoad">[23]IO!$C$13</definedName>
    <definedName name="sysPlanCode">[34]IO!$K$2</definedName>
    <definedName name="sysValDate">[35]IO!$C$3</definedName>
    <definedName name="t">#REF!</definedName>
    <definedName name="TABLE">#REF!</definedName>
    <definedName name="TABLEPM">Schedules!$B$129:$B$137</definedName>
    <definedName name="TEST">#REF!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hedumbthing">[7]FunnelData!$Q$2</definedName>
    <definedName name="Thorig">#REF!</definedName>
    <definedName name="TN_PG1">#REF!</definedName>
    <definedName name="TN_PG2">#REF!</definedName>
    <definedName name="TNAM00">#REF!</definedName>
    <definedName name="TNAM01">#REF!</definedName>
    <definedName name="tnamfiscal">#REF!</definedName>
    <definedName name="ToggleMax">[16]Summ!$D$1</definedName>
    <definedName name="tom">#REF!</definedName>
    <definedName name="top">[7]TableofDeals!$A$1</definedName>
    <definedName name="topofamericasscorecard">[36]AMScorecardReport!$A$1</definedName>
    <definedName name="topoffunnelreport">[7]FunnelReport!$A$1</definedName>
    <definedName name="topofOUDreport">[7]OUD!$A$1</definedName>
    <definedName name="topofscorecardbackup">[7]ScorecardBackup!$A$1</definedName>
    <definedName name="topofscorecardreport">[7]ScorecardReport!$A$1</definedName>
    <definedName name="topofwinallreport">[7]WinAll!$A$1</definedName>
    <definedName name="TOTAL" localSheetId="8">#REF!</definedName>
    <definedName name="TOTAL" localSheetId="10">#REF!</definedName>
    <definedName name="TOTAL">#REF!</definedName>
    <definedName name="totaldeveloperhours">[7]FunnelData!$CK$1</definedName>
    <definedName name="totalwinsindatabase">[7]TableofDeals!$BJ$10</definedName>
    <definedName name="TotColControl">#REF!</definedName>
    <definedName name="TOTO">#REF!</definedName>
    <definedName name="TP_Footer_Path" hidden="1">"S:\00270\04ret\othsys\team\"</definedName>
    <definedName name="TP_Footer_User" hidden="1">"Jeffrey Forman"</definedName>
    <definedName name="TP_Footer_Version" hidden="1">"v3.00"</definedName>
    <definedName name="Type">#REF!</definedName>
    <definedName name="UNICAP__SECTION_263A__COMPUTATION">#REF!</definedName>
    <definedName name="VA_EAST_PG1">#REF!</definedName>
    <definedName name="VA_EAST_PG2">#REF!</definedName>
    <definedName name="VA_PG1">#REF!</definedName>
    <definedName name="VA_PG2">#REF!</definedName>
    <definedName name="VAAM00">#REF!</definedName>
    <definedName name="VAAM01">#REF!</definedName>
    <definedName name="vaamfiscal">#REF!</definedName>
    <definedName name="ValDate">[21]General!$B$1</definedName>
    <definedName name="valpay">#REF!</definedName>
    <definedName name="VARIABLE">#REF!</definedName>
    <definedName name="VARIOUS_ASSET_RESERVES">#REF!</definedName>
    <definedName name="VERIFY" localSheetId="8">#REF!</definedName>
    <definedName name="VERIFY" localSheetId="10">#REF!</definedName>
    <definedName name="VERIFY">#REF!</definedName>
    <definedName name="WAB">#REF!</definedName>
    <definedName name="waterme">[7]FunnelData!$BQ$7</definedName>
    <definedName name="web">'[37]201'!#REF!</definedName>
    <definedName name="WEST_JERSEY">#REF!</definedName>
    <definedName name="WESTERN">#REF!</definedName>
    <definedName name="what" hidden="1">{"TOT_QTR_TO_PREV",#N/A,FALSE,"Site Sum"}</definedName>
    <definedName name="what1" hidden="1">{"TOT_QTR_TO_PREV",#N/A,FALSE,"Site Sum"}</definedName>
    <definedName name="what2" hidden="1">{"TOT_QTR_TO_PREV",#N/A,FALSE,"Site Sum"}</definedName>
    <definedName name="WhatIf03">#REF!</definedName>
    <definedName name="WhatIf04">#REF!</definedName>
    <definedName name="WhatIf05">#REF!</definedName>
    <definedName name="WhatIf06">#REF!</definedName>
    <definedName name="WhatIfOp">#REF!</definedName>
    <definedName name="winalltopleft">[7]WinAll!$B$10</definedName>
    <definedName name="worksheet1">[7]FunnelData!$A$1</definedName>
    <definedName name="worksheet2">[7]SCBackupData!$A$1</definedName>
    <definedName name="WRANGLEBORO">#REF!</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Graph._.SBU._.by._.Year._.1997_2000." hidden="1">{"Graph SBU by Year 1997_2000",#N/A,FALSE,"Strategic Business Lines"}</definedName>
    <definedName name="wrn.Graph._.SBU._.Contribution._.1997_2000." hidden="1">{"Graph_SBU_Contirbution 1991_2000",#N/A,FALSE,"Strategic Business Lines"}</definedName>
    <definedName name="wrn.Statements." hidden="1">{"Co1statements",#N/A,FALSE,"Cmpy1";"Co2statement",#N/A,FALSE,"Cmpy2";"co1pm",#N/A,FALSE,"Co1PM";"co2PM",#N/A,FALSE,"Co2PM";"value",#N/A,FALSE,"value";"opco",#N/A,FALSE,"NewSparkle";"adjusts",#N/A,FALSE,"Adjustments"}</definedName>
    <definedName name="wrn.Table._.SBU._.1996_2002." hidden="1">{"SBU Numbers 1996_2002",#N/A,FALSE,"Strategic Business Lines"}</definedName>
    <definedName name="WV_PG1">#REF!</definedName>
    <definedName name="WV_PG2">#REF!</definedName>
    <definedName name="WVAM00">#REF!</definedName>
    <definedName name="WVAM01">#REF!</definedName>
    <definedName name="wvamfiscal">#REF!</definedName>
    <definedName name="wwincount">[7]TableofDeals!$BG$10</definedName>
    <definedName name="YTD">[13]Input!$B$14</definedName>
    <definedName name="Z_044CF00C_469F_44B3_B2C4_9B4049CE70CB_.wvu.Cols" localSheetId="29" hidden="1">'215'!$D:$D,'215'!$G:$H</definedName>
    <definedName name="Z_044CF00C_469F_44B3_B2C4_9B4049CE70CB_.wvu.Cols" localSheetId="5" hidden="1">Schedules!$E:$F</definedName>
    <definedName name="Z_044CF00C_469F_44B3_B2C4_9B4049CE70CB_.wvu.PrintArea" localSheetId="8" hidden="1">'104105'!$A$1:$O$63</definedName>
    <definedName name="Z_044CF00C_469F_44B3_B2C4_9B4049CE70CB_.wvu.PrintArea" localSheetId="10" hidden="1">'108109'!$A$1:$G$112</definedName>
    <definedName name="Z_044CF00C_469F_44B3_B2C4_9B4049CE70CB_.wvu.PrintArea" localSheetId="12" hidden="1">'111113'!$A$1:$L$156</definedName>
    <definedName name="Z_044CF00C_469F_44B3_B2C4_9B4049CE70CB_.wvu.PrintArea" localSheetId="13" hidden="1">'114115'!$A$1:$F$122</definedName>
    <definedName name="Z_044CF00C_469F_44B3_B2C4_9B4049CE70CB_.wvu.PrintArea" localSheetId="14" hidden="1">'116119'!$A$1:$P$119</definedName>
    <definedName name="Z_044CF00C_469F_44B3_B2C4_9B4049CE70CB_.wvu.PrintArea" localSheetId="15" hidden="1">'120121'!$A$1:$H$125</definedName>
    <definedName name="Z_044CF00C_469F_44B3_B2C4_9B4049CE70CB_.wvu.PrintArea" localSheetId="16" hidden="1">'122123'!$A$1:$F$131</definedName>
    <definedName name="Z_044CF00C_469F_44B3_B2C4_9B4049CE70CB_.wvu.PrintArea" localSheetId="17" hidden="1">'124125'!$A$1:$I$132</definedName>
    <definedName name="Z_044CF00C_469F_44B3_B2C4_9B4049CE70CB_.wvu.PrintArea" localSheetId="18" hidden="1">'200201'!$A$1:$L$63</definedName>
    <definedName name="Z_044CF00C_469F_44B3_B2C4_9B4049CE70CB_.wvu.PrintArea" localSheetId="19" hidden="1">'202205'!$A$1:$L$129</definedName>
    <definedName name="Z_044CF00C_469F_44B3_B2C4_9B4049CE70CB_.wvu.PrintArea" localSheetId="20" hidden="1">'206'!$A$1:$E$103</definedName>
    <definedName name="Z_044CF00C_469F_44B3_B2C4_9B4049CE70CB_.wvu.PrintArea" localSheetId="22" hidden="1">'208'!$A$1:$G$66</definedName>
    <definedName name="Z_044CF00C_469F_44B3_B2C4_9B4049CE70CB_.wvu.PrintArea" localSheetId="29" hidden="1">'215'!$A$1:$F$62</definedName>
    <definedName name="Z_044CF00C_469F_44B3_B2C4_9B4049CE70CB_.wvu.PrintArea" localSheetId="30" hidden="1">'216'!$A$1:$G$65</definedName>
    <definedName name="Z_044CF00C_469F_44B3_B2C4_9B4049CE70CB_.wvu.PrintArea" localSheetId="31" hidden="1">'217'!$A$1:$F$61</definedName>
    <definedName name="Z_044CF00C_469F_44B3_B2C4_9B4049CE70CB_.wvu.PrintArea" localSheetId="32" hidden="1">'250251'!$A$1:$E$63</definedName>
    <definedName name="Z_044CF00C_469F_44B3_B2C4_9B4049CE70CB_.wvu.PrintArea" localSheetId="33" hidden="1">'252'!$A$1:$F$63</definedName>
    <definedName name="Z_044CF00C_469F_44B3_B2C4_9B4049CE70CB_.wvu.PrintArea" localSheetId="35" hidden="1">'254'!$A$1:$E$60</definedName>
    <definedName name="Z_044CF00C_469F_44B3_B2C4_9B4049CE70CB_.wvu.PrintArea" localSheetId="36" hidden="1">'255'!$A$1:$G$69</definedName>
    <definedName name="Z_044CF00C_469F_44B3_B2C4_9B4049CE70CB_.wvu.PrintArea" localSheetId="37" hidden="1">'256257'!$A$1:$M$127</definedName>
    <definedName name="Z_044CF00C_469F_44B3_B2C4_9B4049CE70CB_.wvu.PrintArea" localSheetId="38" hidden="1">'258260'!$A$1:$O$124</definedName>
    <definedName name="Z_044CF00C_469F_44B3_B2C4_9B4049CE70CB_.wvu.PrintArea" localSheetId="39" hidden="1">'261'!$A$1:$H$56</definedName>
    <definedName name="Z_044CF00C_469F_44B3_B2C4_9B4049CE70CB_.wvu.PrintArea" localSheetId="40" hidden="1">'262263'!$A$1:$O$56</definedName>
    <definedName name="Z_044CF00C_469F_44B3_B2C4_9B4049CE70CB_.wvu.PrintArea" localSheetId="41" hidden="1">'264265'!$A$1:$N$60</definedName>
    <definedName name="Z_044CF00C_469F_44B3_B2C4_9B4049CE70CB_.wvu.PrintArea" localSheetId="42" hidden="1">'266'!$A$1:$G$39</definedName>
    <definedName name="Z_044CF00C_469F_44B3_B2C4_9B4049CE70CB_.wvu.PrintArea" localSheetId="44" hidden="1">'300'!$A$1:$J$51</definedName>
    <definedName name="Z_044CF00C_469F_44B3_B2C4_9B4049CE70CB_.wvu.PrintArea" localSheetId="45" hidden="1">'301'!$A$1:$G$73</definedName>
    <definedName name="Z_044CF00C_469F_44B3_B2C4_9B4049CE70CB_.wvu.PrintArea" localSheetId="49" hidden="1">'307309'!$A$1:$E$179</definedName>
    <definedName name="Z_044CF00C_469F_44B3_B2C4_9B4049CE70CB_.wvu.PrintArea" localSheetId="51" hidden="1">'311312'!$A$1:$N$69</definedName>
    <definedName name="Z_044CF00C_469F_44B3_B2C4_9B4049CE70CB_.wvu.PrintArea" localSheetId="52" hidden="1">'313'!$A$1:$E$63</definedName>
    <definedName name="Z_044CF00C_469F_44B3_B2C4_9B4049CE70CB_.wvu.PrintArea" localSheetId="53" hidden="1">'314'!$A$1:$E$69</definedName>
    <definedName name="Z_044CF00C_469F_44B3_B2C4_9B4049CE70CB_.wvu.PrintArea" localSheetId="55" hidden="1">'315'!$A$1:$G$61</definedName>
    <definedName name="Z_044CF00C_469F_44B3_B2C4_9B4049CE70CB_.wvu.PrintArea" localSheetId="60" hidden="1">'350351'!$A$1:$N$64</definedName>
    <definedName name="Z_044CF00C_469F_44B3_B2C4_9B4049CE70CB_.wvu.PrintArea" localSheetId="61" hidden="1">'352353'!$A$1:$L$66</definedName>
    <definedName name="Z_044CF00C_469F_44B3_B2C4_9B4049CE70CB_.wvu.PrintArea" localSheetId="62" hidden="1">'354'!$A$1:$F$54</definedName>
    <definedName name="Z_044CF00C_469F_44B3_B2C4_9B4049CE70CB_.wvu.PrintArea" localSheetId="63" hidden="1">'355356'!$A$1:$E$130</definedName>
    <definedName name="Z_044CF00C_469F_44B3_B2C4_9B4049CE70CB_.wvu.PrintArea" localSheetId="64" hidden="1">'357358'!$A$1:$D$130</definedName>
    <definedName name="Z_044CF00C_469F_44B3_B2C4_9B4049CE70CB_.wvu.PrintArea" localSheetId="65" hidden="1">'359360'!$A$1:$I$57</definedName>
    <definedName name="Z_044CF00C_469F_44B3_B2C4_9B4049CE70CB_.wvu.PrintArea" localSheetId="66" hidden="1">'361362'!$A$1:$L$61</definedName>
    <definedName name="Z_044CF00C_469F_44B3_B2C4_9B4049CE70CB_.wvu.PrintArea" localSheetId="71" hidden="1">'367'!$A$1:$D$65</definedName>
    <definedName name="Z_044CF00C_469F_44B3_B2C4_9B4049CE70CB_.wvu.PrintArea" localSheetId="72" hidden="1">'400'!$A$1:$P$48</definedName>
    <definedName name="Z_044CF00C_469F_44B3_B2C4_9B4049CE70CB_.wvu.PrintArea" localSheetId="73" hidden="1">'401'!$A$1:$N$54</definedName>
    <definedName name="Z_044CF00C_469F_44B3_B2C4_9B4049CE70CB_.wvu.PrintArea" localSheetId="74" hidden="1">'402'!$A$1:$N$65</definedName>
    <definedName name="Z_044CF00C_469F_44B3_B2C4_9B4049CE70CB_.wvu.PrintArea" localSheetId="77" hidden="1">'406'!$A$1:$J$49</definedName>
    <definedName name="Z_044CF00C_469F_44B3_B2C4_9B4049CE70CB_.wvu.PrintArea" localSheetId="78" hidden="1">'407408'!$A$1:$L$250</definedName>
    <definedName name="Z_044CF00C_469F_44B3_B2C4_9B4049CE70CB_.wvu.PrintArea" localSheetId="3" hidden="1">Cover!$A$1:$J$42</definedName>
    <definedName name="Z_044CF00C_469F_44B3_B2C4_9B4049CE70CB_.wvu.PrintArea" localSheetId="2" hidden="1">'Data sheet'!$A$1:$H$70</definedName>
    <definedName name="Z_044CF00C_469F_44B3_B2C4_9B4049CE70CB_.wvu.PrintArea" localSheetId="5" hidden="1">Schedules!$A$1:$I$120</definedName>
    <definedName name="Z_044CF00C_469F_44B3_B2C4_9B4049CE70CB_.wvu.PrintArea" localSheetId="83" hidden="1">Verify!$A$1:$C$65</definedName>
    <definedName name="Z_044CF00C_469F_44B3_B2C4_9B4049CE70CB_.wvu.PrintArea" localSheetId="84" hidden="1">Zindex!$A$1:$D$106</definedName>
    <definedName name="Z_1BA452AD_1A45_4D9C_9666_ADFFA6F2F567_.wvu.Cols" localSheetId="29" hidden="1">'215'!$D:$D,'215'!$G:$H</definedName>
    <definedName name="Z_1BA452AD_1A45_4D9C_9666_ADFFA6F2F567_.wvu.Cols" localSheetId="5" hidden="1">Schedules!$E:$F</definedName>
    <definedName name="Z_1BA452AD_1A45_4D9C_9666_ADFFA6F2F567_.wvu.PrintArea" localSheetId="6" hidden="1">'101'!$B$1:$F$58</definedName>
    <definedName name="Z_1BA452AD_1A45_4D9C_9666_ADFFA6F2F567_.wvu.PrintArea" localSheetId="7" hidden="1">'102103'!$A$1:$J$114</definedName>
    <definedName name="Z_1BA452AD_1A45_4D9C_9666_ADFFA6F2F567_.wvu.PrintArea" localSheetId="8" hidden="1">'104105'!$A$1:$O$63</definedName>
    <definedName name="Z_1BA452AD_1A45_4D9C_9666_ADFFA6F2F567_.wvu.PrintArea" localSheetId="9" hidden="1">'106107'!$A$1:$F$115</definedName>
    <definedName name="Z_1BA452AD_1A45_4D9C_9666_ADFFA6F2F567_.wvu.PrintArea" localSheetId="10" hidden="1">'108109'!$A$1:$G$113</definedName>
    <definedName name="Z_1BA452AD_1A45_4D9C_9666_ADFFA6F2F567_.wvu.PrintArea" localSheetId="11" hidden="1">'110'!$A$1:$C$54</definedName>
    <definedName name="Z_1BA452AD_1A45_4D9C_9666_ADFFA6F2F567_.wvu.PrintArea" localSheetId="12" hidden="1">'111113'!$A$1:$L$156</definedName>
    <definedName name="Z_1BA452AD_1A45_4D9C_9666_ADFFA6F2F567_.wvu.PrintArea" localSheetId="13" hidden="1">'114115'!$A$1:$F$121</definedName>
    <definedName name="Z_1BA452AD_1A45_4D9C_9666_ADFFA6F2F567_.wvu.PrintArea" localSheetId="14" hidden="1">'116119'!$A$1:$H$58,'116119'!$J$1:$P$58,'116119'!$A$60:$H$120,'116119'!$J$60:$P$120</definedName>
    <definedName name="Z_1BA452AD_1A45_4D9C_9666_ADFFA6F2F567_.wvu.PrintArea" localSheetId="15" hidden="1">'120121'!$A$1:$I$125</definedName>
    <definedName name="Z_1BA452AD_1A45_4D9C_9666_ADFFA6F2F567_.wvu.PrintArea" localSheetId="16" hidden="1">'122123'!$A$1:$F$131</definedName>
    <definedName name="Z_1BA452AD_1A45_4D9C_9666_ADFFA6F2F567_.wvu.PrintArea" localSheetId="17" hidden="1">'124125'!$A$1:$I$132</definedName>
    <definedName name="Z_1BA452AD_1A45_4D9C_9666_ADFFA6F2F567_.wvu.PrintArea" localSheetId="18" hidden="1">'200201'!$A$1:$E$63,'200201'!$G$1:$L$63</definedName>
    <definedName name="Z_1BA452AD_1A45_4D9C_9666_ADFFA6F2F567_.wvu.PrintArea" localSheetId="19" hidden="1">'202205'!$A$1:$E$64,'202205'!$G$1:$L$64,'202205'!$A$66:$E$129,'202205'!$G$66:$L$129</definedName>
    <definedName name="Z_1BA452AD_1A45_4D9C_9666_ADFFA6F2F567_.wvu.PrintArea" localSheetId="20" hidden="1">'206'!$A$1:$E$273</definedName>
    <definedName name="Z_1BA452AD_1A45_4D9C_9666_ADFFA6F2F567_.wvu.PrintArea" localSheetId="21" hidden="1">'207'!$A$1:$E$64</definedName>
    <definedName name="Z_1BA452AD_1A45_4D9C_9666_ADFFA6F2F567_.wvu.PrintArea" localSheetId="22" hidden="1">'208'!$A$1:$G$66,'208'!$A$69:$G$130</definedName>
    <definedName name="Z_1BA452AD_1A45_4D9C_9666_ADFFA6F2F567_.wvu.PrintArea" localSheetId="23" hidden="1">'209'!$A$1:$F$50</definedName>
    <definedName name="Z_1BA452AD_1A45_4D9C_9666_ADFFA6F2F567_.wvu.PrintArea" localSheetId="24" hidden="1">'210'!$A$1:$I$47</definedName>
    <definedName name="Z_1BA452AD_1A45_4D9C_9666_ADFFA6F2F567_.wvu.PrintArea" localSheetId="25" hidden="1">'211'!$A$1:$G$64</definedName>
    <definedName name="Z_1BA452AD_1A45_4D9C_9666_ADFFA6F2F567_.wvu.PrintArea" localSheetId="26" hidden="1">'212'!$A$1:$D$68</definedName>
    <definedName name="Z_1BA452AD_1A45_4D9C_9666_ADFFA6F2F567_.wvu.PrintArea" localSheetId="27" hidden="1">'213'!$A$1:$G$61</definedName>
    <definedName name="Z_1BA452AD_1A45_4D9C_9666_ADFFA6F2F567_.wvu.PrintArea" localSheetId="28" hidden="1">'214'!$A$1:$H$68</definedName>
    <definedName name="Z_1BA452AD_1A45_4D9C_9666_ADFFA6F2F567_.wvu.PrintArea" localSheetId="29" hidden="1">'215'!$A$1:$I$63</definedName>
    <definedName name="Z_1BA452AD_1A45_4D9C_9666_ADFFA6F2F567_.wvu.PrintArea" localSheetId="30" hidden="1">'216'!$A$1:$H$66</definedName>
    <definedName name="Z_1BA452AD_1A45_4D9C_9666_ADFFA6F2F567_.wvu.PrintArea" localSheetId="31" hidden="1">'217'!$A$1:$F$61</definedName>
    <definedName name="Z_1BA452AD_1A45_4D9C_9666_ADFFA6F2F567_.wvu.PrintArea" localSheetId="32" hidden="1">'250251'!$A$1:$M$64</definedName>
    <definedName name="Z_1BA452AD_1A45_4D9C_9666_ADFFA6F2F567_.wvu.PrintArea" localSheetId="33" hidden="1">'252'!$A$1:$F$63</definedName>
    <definedName name="Z_1BA452AD_1A45_4D9C_9666_ADFFA6F2F567_.wvu.PrintArea" localSheetId="34" hidden="1">'253'!$A$1:$F$65</definedName>
    <definedName name="Z_1BA452AD_1A45_4D9C_9666_ADFFA6F2F567_.wvu.PrintArea" localSheetId="35" hidden="1">'254'!$A$1:$E$60</definedName>
    <definedName name="Z_1BA452AD_1A45_4D9C_9666_ADFFA6F2F567_.wvu.PrintArea" localSheetId="36" hidden="1">'255'!$A$1:$H$69</definedName>
    <definedName name="Z_1BA452AD_1A45_4D9C_9666_ADFFA6F2F567_.wvu.PrintArea" localSheetId="37" hidden="1">'256257'!$A$1:$E$65,'256257'!$G$1:$M$65,'256257'!$A$67:$E$128,'256257'!$G$67:$M$128</definedName>
    <definedName name="Z_1BA452AD_1A45_4D9C_9666_ADFFA6F2F567_.wvu.PrintArea" localSheetId="38" hidden="1">'258260'!$A$1:$G$67,'258260'!$I$1:$O$67,'258260'!$A$69:$G$125</definedName>
    <definedName name="Z_1BA452AD_1A45_4D9C_9666_ADFFA6F2F567_.wvu.PrintArea" localSheetId="39" hidden="1">'261'!$A$1:$G$57</definedName>
    <definedName name="Z_1BA452AD_1A45_4D9C_9666_ADFFA6F2F567_.wvu.PrintArea" localSheetId="40" hidden="1">'262263'!$A$1:$H$56,'262263'!$J$1:$O$56</definedName>
    <definedName name="Z_1BA452AD_1A45_4D9C_9666_ADFFA6F2F567_.wvu.PrintArea" localSheetId="41" hidden="1">'264265'!$A$1:$E$60,'264265'!$G$1:$N$60</definedName>
    <definedName name="Z_1BA452AD_1A45_4D9C_9666_ADFFA6F2F567_.wvu.PrintArea" localSheetId="42" hidden="1">'266'!$A$1:$G$39</definedName>
    <definedName name="Z_1BA452AD_1A45_4D9C_9666_ADFFA6F2F567_.wvu.PrintArea" localSheetId="43" hidden="1">'267'!$A$1:$G$35</definedName>
    <definedName name="Z_1BA452AD_1A45_4D9C_9666_ADFFA6F2F567_.wvu.PrintArea" localSheetId="44" hidden="1">'300'!$A$1:$I$51</definedName>
    <definedName name="Z_1BA452AD_1A45_4D9C_9666_ADFFA6F2F567_.wvu.PrintArea" localSheetId="45" hidden="1">'301'!$A$1:$H$73</definedName>
    <definedName name="Z_1BA452AD_1A45_4D9C_9666_ADFFA6F2F567_.wvu.PrintArea" localSheetId="46" hidden="1">'302304'!$A$1:$R$127</definedName>
    <definedName name="Z_1BA452AD_1A45_4D9C_9666_ADFFA6F2F567_.wvu.PrintArea" localSheetId="47" hidden="1">'305'!$A$1:$J$46</definedName>
    <definedName name="Z_1BA452AD_1A45_4D9C_9666_ADFFA6F2F567_.wvu.PrintArea" localSheetId="48" hidden="1">'306'!$A$1:$F$65</definedName>
    <definedName name="Z_1BA452AD_1A45_4D9C_9666_ADFFA6F2F567_.wvu.PrintArea" localSheetId="49" hidden="1">'307309'!$A$1:$E$178</definedName>
    <definedName name="Z_1BA452AD_1A45_4D9C_9666_ADFFA6F2F567_.wvu.PrintArea" localSheetId="50" hidden="1">'310'!$A$1:$F$63</definedName>
    <definedName name="Z_1BA452AD_1A45_4D9C_9666_ADFFA6F2F567_.wvu.PrintArea" localSheetId="51" hidden="1">'311312'!$A$1:$N$77</definedName>
    <definedName name="Z_1BA452AD_1A45_4D9C_9666_ADFFA6F2F567_.wvu.PrintArea" localSheetId="52" hidden="1">'313'!$A$1:$E$63</definedName>
    <definedName name="Z_1BA452AD_1A45_4D9C_9666_ADFFA6F2F567_.wvu.PrintArea" localSheetId="53" hidden="1">'314'!$A$1:$F$69</definedName>
    <definedName name="Z_1BA452AD_1A45_4D9C_9666_ADFFA6F2F567_.wvu.PrintArea" localSheetId="54" hidden="1">'314_attachment'!$A$1:$J$96</definedName>
    <definedName name="Z_1BA452AD_1A45_4D9C_9666_ADFFA6F2F567_.wvu.PrintArea" localSheetId="55" hidden="1">'315'!$A$1:$G$61</definedName>
    <definedName name="Z_1BA452AD_1A45_4D9C_9666_ADFFA6F2F567_.wvu.PrintArea" localSheetId="56" hidden="1">'316'!$A$1:$E$60</definedName>
    <definedName name="Z_1BA452AD_1A45_4D9C_9666_ADFFA6F2F567_.wvu.PrintArea" localSheetId="57" hidden="1">'317'!$A$1:$F$49</definedName>
    <definedName name="Z_1BA452AD_1A45_4D9C_9666_ADFFA6F2F567_.wvu.PrintArea" localSheetId="58" hidden="1">'318320'!$A$1:$E$187</definedName>
    <definedName name="Z_1BA452AD_1A45_4D9C_9666_ADFFA6F2F567_.wvu.PrintArea" localSheetId="59" hidden="1">'321'!$A$1:$D$62</definedName>
    <definedName name="Z_1BA452AD_1A45_4D9C_9666_ADFFA6F2F567_.wvu.PrintArea" localSheetId="60" hidden="1">'350351'!$A$1:$N$64</definedName>
    <definedName name="Z_1BA452AD_1A45_4D9C_9666_ADFFA6F2F567_.wvu.PrintArea" localSheetId="61" hidden="1">'352353'!$A$1:$L$66</definedName>
    <definedName name="Z_1BA452AD_1A45_4D9C_9666_ADFFA6F2F567_.wvu.PrintArea" localSheetId="62" hidden="1">'354'!$A$1:$F$54</definedName>
    <definedName name="Z_1BA452AD_1A45_4D9C_9666_ADFFA6F2F567_.wvu.PrintArea" localSheetId="63" hidden="1">'355356'!$A$1:$F$142</definedName>
    <definedName name="Z_1BA452AD_1A45_4D9C_9666_ADFFA6F2F567_.wvu.PrintArea" localSheetId="64" hidden="1">'357358'!$A$1:$D$130</definedName>
    <definedName name="Z_1BA452AD_1A45_4D9C_9666_ADFFA6F2F567_.wvu.PrintArea" localSheetId="65" hidden="1">'359360'!$A$1:$I$57</definedName>
    <definedName name="Z_1BA452AD_1A45_4D9C_9666_ADFFA6F2F567_.wvu.PrintArea" localSheetId="66" hidden="1">'361362'!$A$1:$L$61</definedName>
    <definedName name="Z_1BA452AD_1A45_4D9C_9666_ADFFA6F2F567_.wvu.PrintArea" localSheetId="67" hidden="1">'363'!$A$1:$D$61</definedName>
    <definedName name="Z_1BA452AD_1A45_4D9C_9666_ADFFA6F2F567_.wvu.PrintArea" localSheetId="68" hidden="1">'364'!$A$1:$G$64</definedName>
    <definedName name="Z_1BA452AD_1A45_4D9C_9666_ADFFA6F2F567_.wvu.PrintArea" localSheetId="69" hidden="1">'365'!$A$1:$F$58</definedName>
    <definedName name="Z_1BA452AD_1A45_4D9C_9666_ADFFA6F2F567_.wvu.PrintArea" localSheetId="70" hidden="1">'366'!$A$1:$F$60</definedName>
    <definedName name="Z_1BA452AD_1A45_4D9C_9666_ADFFA6F2F567_.wvu.PrintArea" localSheetId="71" hidden="1">'367'!$A$1:$E$65</definedName>
    <definedName name="Z_1BA452AD_1A45_4D9C_9666_ADFFA6F2F567_.wvu.PrintArea" localSheetId="72" hidden="1">'400'!$A$1:$P$48</definedName>
    <definedName name="Z_1BA452AD_1A45_4D9C_9666_ADFFA6F2F567_.wvu.PrintArea" localSheetId="73" hidden="1">'401'!$A$1:$N$54</definedName>
    <definedName name="Z_1BA452AD_1A45_4D9C_9666_ADFFA6F2F567_.wvu.PrintArea" localSheetId="74" hidden="1">'402'!$A$1:$N$184</definedName>
    <definedName name="Z_1BA452AD_1A45_4D9C_9666_ADFFA6F2F567_.wvu.PrintArea" localSheetId="75" hidden="1">'403404'!$A$1:$AR$67</definedName>
    <definedName name="Z_1BA452AD_1A45_4D9C_9666_ADFFA6F2F567_.wvu.PrintArea" localSheetId="76" hidden="1">'405'!$A$1:$I$1155</definedName>
    <definedName name="Z_1BA452AD_1A45_4D9C_9666_ADFFA6F2F567_.wvu.PrintArea" localSheetId="77" hidden="1">'406'!$A$1:$J$49</definedName>
    <definedName name="Z_1BA452AD_1A45_4D9C_9666_ADFFA6F2F567_.wvu.PrintArea" localSheetId="78" hidden="1">'407408'!$A$1:$L$251</definedName>
    <definedName name="Z_1BA452AD_1A45_4D9C_9666_ADFFA6F2F567_.wvu.PrintArea" localSheetId="81" hidden="1">'411412'!$A$1:$L$111</definedName>
    <definedName name="Z_1BA452AD_1A45_4D9C_9666_ADFFA6F2F567_.wvu.PrintArea" localSheetId="82" hidden="1">Book!$A$1:$C$438</definedName>
    <definedName name="Z_1BA452AD_1A45_4D9C_9666_ADFFA6F2F567_.wvu.PrintArea" localSheetId="3" hidden="1">Cover!$A$1:$J$43</definedName>
    <definedName name="Z_1BA452AD_1A45_4D9C_9666_ADFFA6F2F567_.wvu.PrintArea" localSheetId="2" hidden="1">'Data sheet'!$A$1:$H$70</definedName>
    <definedName name="Z_1BA452AD_1A45_4D9C_9666_ADFFA6F2F567_.wvu.PrintArea" localSheetId="4" hidden="1">Instructions!$A$1:$E$57</definedName>
    <definedName name="Z_1BA452AD_1A45_4D9C_9666_ADFFA6F2F567_.wvu.PrintArea" localSheetId="5" hidden="1">Schedules!$A$1:$I$119</definedName>
    <definedName name="Z_1BA452AD_1A45_4D9C_9666_ADFFA6F2F567_.wvu.PrintArea" localSheetId="83" hidden="1">Verify!$A$1:$C$65</definedName>
    <definedName name="Z_1BA452AD_1A45_4D9C_9666_ADFFA6F2F567_.wvu.PrintArea" localSheetId="84" hidden="1">Zindex!$A$1:$D$106</definedName>
    <definedName name="Z_1BA452AD_1A45_4D9C_9666_ADFFA6F2F567_.wvu.PrintTitles" localSheetId="20" hidden="1">'206'!$1:$12</definedName>
    <definedName name="Z_1C046605_15CE_44F1_BFCD_2CA8588E7ACF_.wvu.Cols" localSheetId="29" hidden="1">'215'!$D:$D,'215'!$G:$H</definedName>
    <definedName name="Z_1C046605_15CE_44F1_BFCD_2CA8588E7ACF_.wvu.Cols" localSheetId="5" hidden="1">Schedules!$E:$F</definedName>
    <definedName name="Z_1C046605_15CE_44F1_BFCD_2CA8588E7ACF_.wvu.PrintArea" localSheetId="6" hidden="1">'101'!$A$1:$G$58</definedName>
    <definedName name="Z_1C046605_15CE_44F1_BFCD_2CA8588E7ACF_.wvu.PrintArea" localSheetId="7" hidden="1">'102103'!$A$1:$J$114</definedName>
    <definedName name="Z_1C046605_15CE_44F1_BFCD_2CA8588E7ACF_.wvu.PrintArea" localSheetId="8" hidden="1">'104105'!$A$1:$O$63</definedName>
    <definedName name="Z_1C046605_15CE_44F1_BFCD_2CA8588E7ACF_.wvu.PrintArea" localSheetId="9" hidden="1">'106107'!$A$1:$F$116</definedName>
    <definedName name="Z_1C046605_15CE_44F1_BFCD_2CA8588E7ACF_.wvu.PrintArea" localSheetId="10" hidden="1">'108109'!$A$1:$G$113</definedName>
    <definedName name="Z_1C046605_15CE_44F1_BFCD_2CA8588E7ACF_.wvu.PrintArea" localSheetId="11" hidden="1">'110'!$A$1:$C$54</definedName>
    <definedName name="Z_1C046605_15CE_44F1_BFCD_2CA8588E7ACF_.wvu.PrintArea" localSheetId="12" hidden="1">'111113'!$A$1:$L$156</definedName>
    <definedName name="Z_1C046605_15CE_44F1_BFCD_2CA8588E7ACF_.wvu.PrintArea" localSheetId="13" hidden="1">'114115'!$A$1:$F$121</definedName>
    <definedName name="Z_1C046605_15CE_44F1_BFCD_2CA8588E7ACF_.wvu.PrintArea" localSheetId="14" hidden="1">'116119'!$A$1:$H$58,'116119'!$J$1:$P$58,'116119'!$A$60:$H$120,'116119'!$J$60:$P$120</definedName>
    <definedName name="Z_1C046605_15CE_44F1_BFCD_2CA8588E7ACF_.wvu.PrintArea" localSheetId="15" hidden="1">'120121'!$A$1:$I$125</definedName>
    <definedName name="Z_1C046605_15CE_44F1_BFCD_2CA8588E7ACF_.wvu.PrintArea" localSheetId="16" hidden="1">'122123'!$A$1:$F$131</definedName>
    <definedName name="Z_1C046605_15CE_44F1_BFCD_2CA8588E7ACF_.wvu.PrintArea" localSheetId="17" hidden="1">'124125'!$A$1:$I$132</definedName>
    <definedName name="Z_1C046605_15CE_44F1_BFCD_2CA8588E7ACF_.wvu.PrintArea" localSheetId="18" hidden="1">'200201'!$A$1:$E$63,'200201'!$G$1:$L$63</definedName>
    <definedName name="Z_1C046605_15CE_44F1_BFCD_2CA8588E7ACF_.wvu.PrintArea" localSheetId="19" hidden="1">'202205'!$A$1:$E$64,'202205'!$G$1:$L$64,'202205'!$A$66:$E$129,'202205'!$G$66:$L$129</definedName>
    <definedName name="Z_1C046605_15CE_44F1_BFCD_2CA8588E7ACF_.wvu.PrintArea" localSheetId="20" hidden="1">'206'!$A$1:$E$210</definedName>
    <definedName name="Z_1C046605_15CE_44F1_BFCD_2CA8588E7ACF_.wvu.PrintArea" localSheetId="21" hidden="1">'207'!$A$1:$E$64</definedName>
    <definedName name="Z_1C046605_15CE_44F1_BFCD_2CA8588E7ACF_.wvu.PrintArea" localSheetId="22" hidden="1">'208'!$A$1:$G$66,'208'!$A$69:$G$130</definedName>
    <definedName name="Z_1C046605_15CE_44F1_BFCD_2CA8588E7ACF_.wvu.PrintArea" localSheetId="23" hidden="1">'209'!$A$1:$F$50</definedName>
    <definedName name="Z_1C046605_15CE_44F1_BFCD_2CA8588E7ACF_.wvu.PrintArea" localSheetId="24" hidden="1">'210'!$A$1:$I$47</definedName>
    <definedName name="Z_1C046605_15CE_44F1_BFCD_2CA8588E7ACF_.wvu.PrintArea" localSheetId="25" hidden="1">'211'!$A$1:$G$64</definedName>
    <definedName name="Z_1C046605_15CE_44F1_BFCD_2CA8588E7ACF_.wvu.PrintArea" localSheetId="26" hidden="1">'212'!$A$1:$D$68</definedName>
    <definedName name="Z_1C046605_15CE_44F1_BFCD_2CA8588E7ACF_.wvu.PrintArea" localSheetId="27" hidden="1">'213'!$A$1:$G$61</definedName>
    <definedName name="Z_1C046605_15CE_44F1_BFCD_2CA8588E7ACF_.wvu.PrintArea" localSheetId="28" hidden="1">'214'!$A$1:$H$68</definedName>
    <definedName name="Z_1C046605_15CE_44F1_BFCD_2CA8588E7ACF_.wvu.PrintArea" localSheetId="29" hidden="1">'215'!$A$1:$I$63</definedName>
    <definedName name="Z_1C046605_15CE_44F1_BFCD_2CA8588E7ACF_.wvu.PrintArea" localSheetId="30" hidden="1">'216'!$A$1:$H$66</definedName>
    <definedName name="Z_1C046605_15CE_44F1_BFCD_2CA8588E7ACF_.wvu.PrintArea" localSheetId="31" hidden="1">'217'!$A$1:$F$61</definedName>
    <definedName name="Z_1C046605_15CE_44F1_BFCD_2CA8588E7ACF_.wvu.PrintArea" localSheetId="32" hidden="1">'250251'!$A$1:$M$64</definedName>
    <definedName name="Z_1C046605_15CE_44F1_BFCD_2CA8588E7ACF_.wvu.PrintArea" localSheetId="33" hidden="1">'252'!$A$1:$F$63</definedName>
    <definedName name="Z_1C046605_15CE_44F1_BFCD_2CA8588E7ACF_.wvu.PrintArea" localSheetId="34" hidden="1">'253'!$A$1:$F$65</definedName>
    <definedName name="Z_1C046605_15CE_44F1_BFCD_2CA8588E7ACF_.wvu.PrintArea" localSheetId="35" hidden="1">'254'!$A$1:$E$60</definedName>
    <definedName name="Z_1C046605_15CE_44F1_BFCD_2CA8588E7ACF_.wvu.PrintArea" localSheetId="36" hidden="1">'255'!$A$1:$H$69</definedName>
    <definedName name="Z_1C046605_15CE_44F1_BFCD_2CA8588E7ACF_.wvu.PrintArea" localSheetId="37" hidden="1">'256257'!$A$1:$E$65,'256257'!$G$1:$M$65,'256257'!$A$67:$E$128,'256257'!$G$67:$M$128</definedName>
    <definedName name="Z_1C046605_15CE_44F1_BFCD_2CA8588E7ACF_.wvu.PrintArea" localSheetId="38" hidden="1">'258260'!$A$1:$G$67,'258260'!$I$1:$O$67,'258260'!$A$69:$G$125</definedName>
    <definedName name="Z_1C046605_15CE_44F1_BFCD_2CA8588E7ACF_.wvu.PrintArea" localSheetId="39" hidden="1">'261'!$A$1:$G$57</definedName>
    <definedName name="Z_1C046605_15CE_44F1_BFCD_2CA8588E7ACF_.wvu.PrintArea" localSheetId="40" hidden="1">'262263'!$A$1:$H$56,'262263'!$J$1:$O$56</definedName>
    <definedName name="Z_1C046605_15CE_44F1_BFCD_2CA8588E7ACF_.wvu.PrintArea" localSheetId="41" hidden="1">'264265'!$A$1:$E$60,'264265'!$G$1:$N$60</definedName>
    <definedName name="Z_1C046605_15CE_44F1_BFCD_2CA8588E7ACF_.wvu.PrintArea" localSheetId="42" hidden="1">'266'!$A$1:$G$39</definedName>
    <definedName name="Z_1C046605_15CE_44F1_BFCD_2CA8588E7ACF_.wvu.PrintArea" localSheetId="43" hidden="1">'267'!$A$1:$G$35</definedName>
    <definedName name="Z_1C046605_15CE_44F1_BFCD_2CA8588E7ACF_.wvu.PrintArea" localSheetId="44" hidden="1">'300'!$A$1:$J$51</definedName>
    <definedName name="Z_1C046605_15CE_44F1_BFCD_2CA8588E7ACF_.wvu.PrintArea" localSheetId="45" hidden="1">'301'!$A$1:$H$73</definedName>
    <definedName name="Z_1C046605_15CE_44F1_BFCD_2CA8588E7ACF_.wvu.PrintArea" localSheetId="46" hidden="1">'302304'!$A$1:$R$127</definedName>
    <definedName name="Z_1C046605_15CE_44F1_BFCD_2CA8588E7ACF_.wvu.PrintArea" localSheetId="47" hidden="1">'305'!$A$1:$J$46</definedName>
    <definedName name="Z_1C046605_15CE_44F1_BFCD_2CA8588E7ACF_.wvu.PrintArea" localSheetId="48" hidden="1">'306'!$A$1:$F$65</definedName>
    <definedName name="Z_1C046605_15CE_44F1_BFCD_2CA8588E7ACF_.wvu.PrintArea" localSheetId="49" hidden="1">'307309'!$A$1:$E$178</definedName>
    <definedName name="Z_1C046605_15CE_44F1_BFCD_2CA8588E7ACF_.wvu.PrintArea" localSheetId="50" hidden="1">'310'!$A$1:$F$63</definedName>
    <definedName name="Z_1C046605_15CE_44F1_BFCD_2CA8588E7ACF_.wvu.PrintArea" localSheetId="51" hidden="1">'311312'!$A$1:$N$76</definedName>
    <definedName name="Z_1C046605_15CE_44F1_BFCD_2CA8588E7ACF_.wvu.PrintArea" localSheetId="52" hidden="1">'313'!$A$1:$E$63</definedName>
    <definedName name="Z_1C046605_15CE_44F1_BFCD_2CA8588E7ACF_.wvu.PrintArea" localSheetId="53" hidden="1">'314'!$A$1:$F$69</definedName>
    <definedName name="Z_1C046605_15CE_44F1_BFCD_2CA8588E7ACF_.wvu.PrintArea" localSheetId="54" hidden="1">'314_attachment'!$A$1:$J$96</definedName>
    <definedName name="Z_1C046605_15CE_44F1_BFCD_2CA8588E7ACF_.wvu.PrintArea" localSheetId="55" hidden="1">'315'!$A$1:$G$61</definedName>
    <definedName name="Z_1C046605_15CE_44F1_BFCD_2CA8588E7ACF_.wvu.PrintArea" localSheetId="56" hidden="1">'316'!$A$1:$E$60</definedName>
    <definedName name="Z_1C046605_15CE_44F1_BFCD_2CA8588E7ACF_.wvu.PrintArea" localSheetId="57" hidden="1">'317'!$A$1:$F$49</definedName>
    <definedName name="Z_1C046605_15CE_44F1_BFCD_2CA8588E7ACF_.wvu.PrintArea" localSheetId="58" hidden="1">'318320'!$A$1:$E$187</definedName>
    <definedName name="Z_1C046605_15CE_44F1_BFCD_2CA8588E7ACF_.wvu.PrintArea" localSheetId="59" hidden="1">'321'!$A$1:$D$62</definedName>
    <definedName name="Z_1C046605_15CE_44F1_BFCD_2CA8588E7ACF_.wvu.PrintArea" localSheetId="60" hidden="1">'350351'!$A$1:$N$64</definedName>
    <definedName name="Z_1C046605_15CE_44F1_BFCD_2CA8588E7ACF_.wvu.PrintArea" localSheetId="61" hidden="1">'352353'!$A$1:$L$66</definedName>
    <definedName name="Z_1C046605_15CE_44F1_BFCD_2CA8588E7ACF_.wvu.PrintArea" localSheetId="62" hidden="1">'354'!$A$1:$F$54</definedName>
    <definedName name="Z_1C046605_15CE_44F1_BFCD_2CA8588E7ACF_.wvu.PrintArea" localSheetId="63" hidden="1">'355356'!$A$1:$F$130</definedName>
    <definedName name="Z_1C046605_15CE_44F1_BFCD_2CA8588E7ACF_.wvu.PrintArea" localSheetId="64" hidden="1">'357358'!$A$1:$D$130</definedName>
    <definedName name="Z_1C046605_15CE_44F1_BFCD_2CA8588E7ACF_.wvu.PrintArea" localSheetId="65" hidden="1">'359360'!$A$1:$I$57</definedName>
    <definedName name="Z_1C046605_15CE_44F1_BFCD_2CA8588E7ACF_.wvu.PrintArea" localSheetId="66" hidden="1">'361362'!$A$1:$L$61</definedName>
    <definedName name="Z_1C046605_15CE_44F1_BFCD_2CA8588E7ACF_.wvu.PrintArea" localSheetId="67" hidden="1">'363'!$A$1:$D$61</definedName>
    <definedName name="Z_1C046605_15CE_44F1_BFCD_2CA8588E7ACF_.wvu.PrintArea" localSheetId="68" hidden="1">'364'!$A$1:$G$64</definedName>
    <definedName name="Z_1C046605_15CE_44F1_BFCD_2CA8588E7ACF_.wvu.PrintArea" localSheetId="69" hidden="1">'365'!$A$1:$F$58</definedName>
    <definedName name="Z_1C046605_15CE_44F1_BFCD_2CA8588E7ACF_.wvu.PrintArea" localSheetId="70" hidden="1">'366'!$A$1:$F$60</definedName>
    <definedName name="Z_1C046605_15CE_44F1_BFCD_2CA8588E7ACF_.wvu.PrintArea" localSheetId="71" hidden="1">'367'!$A$1:$E$65</definedName>
    <definedName name="Z_1C046605_15CE_44F1_BFCD_2CA8588E7ACF_.wvu.PrintArea" localSheetId="72" hidden="1">'400'!$A$1:$P$48</definedName>
    <definedName name="Z_1C046605_15CE_44F1_BFCD_2CA8588E7ACF_.wvu.PrintArea" localSheetId="73" hidden="1">'401'!$A$1:$N$54</definedName>
    <definedName name="Z_1C046605_15CE_44F1_BFCD_2CA8588E7ACF_.wvu.PrintArea" localSheetId="74" hidden="1">'402'!$A$1:$N$64,'402'!$A$66:$N$129,'402'!$A$131:$N$194,'402'!$A$196:$N$260</definedName>
    <definedName name="Z_1C046605_15CE_44F1_BFCD_2CA8588E7ACF_.wvu.PrintArea" localSheetId="75" hidden="1">'403404'!$A$1:$G$67,'403404'!$I$1:$R$67,'403404'!$T$1:$AB$67,'403404'!$AD$1:$AL$67</definedName>
    <definedName name="Z_1C046605_15CE_44F1_BFCD_2CA8588E7ACF_.wvu.PrintArea" localSheetId="76" hidden="1">'405'!$A$1:$I$1155</definedName>
    <definedName name="Z_1C046605_15CE_44F1_BFCD_2CA8588E7ACF_.wvu.PrintArea" localSheetId="77" hidden="1">'406'!$A$1:$J$49</definedName>
    <definedName name="Z_1C046605_15CE_44F1_BFCD_2CA8588E7ACF_.wvu.PrintArea" localSheetId="78" hidden="1">'407408'!$A$1:$L$250</definedName>
    <definedName name="Z_1C046605_15CE_44F1_BFCD_2CA8588E7ACF_.wvu.PrintArea" localSheetId="3" hidden="1">Cover!$A$1:$J$43</definedName>
    <definedName name="Z_1C046605_15CE_44F1_BFCD_2CA8588E7ACF_.wvu.PrintArea" localSheetId="2" hidden="1">'Data sheet'!$A$1:$H$70</definedName>
    <definedName name="Z_1C046605_15CE_44F1_BFCD_2CA8588E7ACF_.wvu.PrintArea" localSheetId="4" hidden="1">Instructions!$A$1:$E$57</definedName>
    <definedName name="Z_1C046605_15CE_44F1_BFCD_2CA8588E7ACF_.wvu.PrintArea" localSheetId="5" hidden="1">Schedules!$A$1:$I$120</definedName>
    <definedName name="Z_1C046605_15CE_44F1_BFCD_2CA8588E7ACF_.wvu.PrintArea" localSheetId="83" hidden="1">Verify!$A$1:$C$65</definedName>
    <definedName name="Z_1C046605_15CE_44F1_BFCD_2CA8588E7ACF_.wvu.PrintArea" localSheetId="84" hidden="1">Zindex!$A$1:$D$106</definedName>
    <definedName name="Z_1C046605_15CE_44F1_BFCD_2CA8588E7ACF_.wvu.PrintTitles" localSheetId="20" hidden="1">'206'!$1:$12</definedName>
    <definedName name="Z_3911D713_188C_46A1_A299_F21DD3B7A146_.wvu.Cols" localSheetId="29" hidden="1">'215'!$D:$D,'215'!$G:$H</definedName>
    <definedName name="Z_3911D713_188C_46A1_A299_F21DD3B7A146_.wvu.Cols" localSheetId="5" hidden="1">Schedules!$E:$F</definedName>
    <definedName name="Z_3911D713_188C_46A1_A299_F21DD3B7A146_.wvu.PrintArea" localSheetId="6" hidden="1">'101'!$A$1:$G$58</definedName>
    <definedName name="Z_3911D713_188C_46A1_A299_F21DD3B7A146_.wvu.PrintArea" localSheetId="7" hidden="1">'102103'!$A$1:$J$114</definedName>
    <definedName name="Z_3911D713_188C_46A1_A299_F21DD3B7A146_.wvu.PrintArea" localSheetId="8" hidden="1">'104105'!$A$1:$O$63</definedName>
    <definedName name="Z_3911D713_188C_46A1_A299_F21DD3B7A146_.wvu.PrintArea" localSheetId="9" hidden="1">'106107'!$A$1:$F$116</definedName>
    <definedName name="Z_3911D713_188C_46A1_A299_F21DD3B7A146_.wvu.PrintArea" localSheetId="10" hidden="1">'108109'!$A$1:$G$113</definedName>
    <definedName name="Z_3911D713_188C_46A1_A299_F21DD3B7A146_.wvu.PrintArea" localSheetId="11" hidden="1">'110'!$A$1:$C$54</definedName>
    <definedName name="Z_3911D713_188C_46A1_A299_F21DD3B7A146_.wvu.PrintArea" localSheetId="12" hidden="1">'111113'!$A$1:$L$156</definedName>
    <definedName name="Z_3911D713_188C_46A1_A299_F21DD3B7A146_.wvu.PrintArea" localSheetId="13" hidden="1">'114115'!$A$1:$F$121</definedName>
    <definedName name="Z_3911D713_188C_46A1_A299_F21DD3B7A146_.wvu.PrintArea" localSheetId="14" hidden="1">'116119'!$A$1:$H$58,'116119'!$J$1:$P$58,'116119'!$A$60:$H$120,'116119'!$J$60:$P$120</definedName>
    <definedName name="Z_3911D713_188C_46A1_A299_F21DD3B7A146_.wvu.PrintArea" localSheetId="15" hidden="1">'120121'!$A$1:$I$125</definedName>
    <definedName name="Z_3911D713_188C_46A1_A299_F21DD3B7A146_.wvu.PrintArea" localSheetId="16" hidden="1">'122123'!$A$1:$F$131</definedName>
    <definedName name="Z_3911D713_188C_46A1_A299_F21DD3B7A146_.wvu.PrintArea" localSheetId="17" hidden="1">'124125'!$A$1:$I$132</definedName>
    <definedName name="Z_3911D713_188C_46A1_A299_F21DD3B7A146_.wvu.PrintArea" localSheetId="18" hidden="1">'200201'!$A$1:$E$63,'200201'!$G$1:$L$63</definedName>
    <definedName name="Z_3911D713_188C_46A1_A299_F21DD3B7A146_.wvu.PrintArea" localSheetId="19" hidden="1">'202205'!$A$1:$E$64,'202205'!$G$1:$L$64,'202205'!$A$66:$E$129,'202205'!$G$66:$L$129</definedName>
    <definedName name="Z_3911D713_188C_46A1_A299_F21DD3B7A146_.wvu.PrintArea" localSheetId="20" hidden="1">'206'!$A$1:$E$210</definedName>
    <definedName name="Z_3911D713_188C_46A1_A299_F21DD3B7A146_.wvu.PrintArea" localSheetId="21" hidden="1">'207'!$A$1:$E$64</definedName>
    <definedName name="Z_3911D713_188C_46A1_A299_F21DD3B7A146_.wvu.PrintArea" localSheetId="22" hidden="1">'208'!$A$1:$G$66,'208'!$A$69:$G$130</definedName>
    <definedName name="Z_3911D713_188C_46A1_A299_F21DD3B7A146_.wvu.PrintArea" localSheetId="23" hidden="1">'209'!$A$1:$F$50</definedName>
    <definedName name="Z_3911D713_188C_46A1_A299_F21DD3B7A146_.wvu.PrintArea" localSheetId="24" hidden="1">'210'!$A$1:$I$47</definedName>
    <definedName name="Z_3911D713_188C_46A1_A299_F21DD3B7A146_.wvu.PrintArea" localSheetId="25" hidden="1">'211'!$A$1:$G$64</definedName>
    <definedName name="Z_3911D713_188C_46A1_A299_F21DD3B7A146_.wvu.PrintArea" localSheetId="26" hidden="1">'212'!$A$1:$D$68</definedName>
    <definedName name="Z_3911D713_188C_46A1_A299_F21DD3B7A146_.wvu.PrintArea" localSheetId="27" hidden="1">'213'!$A$1:$G$61</definedName>
    <definedName name="Z_3911D713_188C_46A1_A299_F21DD3B7A146_.wvu.PrintArea" localSheetId="28" hidden="1">'214'!$A$1:$H$68</definedName>
    <definedName name="Z_3911D713_188C_46A1_A299_F21DD3B7A146_.wvu.PrintArea" localSheetId="29" hidden="1">'215'!$A$1:$I$63</definedName>
    <definedName name="Z_3911D713_188C_46A1_A299_F21DD3B7A146_.wvu.PrintArea" localSheetId="30" hidden="1">'216'!$A$1:$H$66</definedName>
    <definedName name="Z_3911D713_188C_46A1_A299_F21DD3B7A146_.wvu.PrintArea" localSheetId="31" hidden="1">'217'!$A$1:$F$61</definedName>
    <definedName name="Z_3911D713_188C_46A1_A299_F21DD3B7A146_.wvu.PrintArea" localSheetId="32" hidden="1">'250251'!$A$1:$M$64</definedName>
    <definedName name="Z_3911D713_188C_46A1_A299_F21DD3B7A146_.wvu.PrintArea" localSheetId="33" hidden="1">'252'!$A$1:$F$63</definedName>
    <definedName name="Z_3911D713_188C_46A1_A299_F21DD3B7A146_.wvu.PrintArea" localSheetId="34" hidden="1">'253'!$A$1:$F$65</definedName>
    <definedName name="Z_3911D713_188C_46A1_A299_F21DD3B7A146_.wvu.PrintArea" localSheetId="35" hidden="1">'254'!$A$1:$E$60</definedName>
    <definedName name="Z_3911D713_188C_46A1_A299_F21DD3B7A146_.wvu.PrintArea" localSheetId="36" hidden="1">'255'!$A$1:$H$69</definedName>
    <definedName name="Z_3911D713_188C_46A1_A299_F21DD3B7A146_.wvu.PrintArea" localSheetId="37" hidden="1">'256257'!$A$1:$E$65,'256257'!$G$1:$M$65,'256257'!$A$67:$E$128,'256257'!$G$67:$M$128</definedName>
    <definedName name="Z_3911D713_188C_46A1_A299_F21DD3B7A146_.wvu.PrintArea" localSheetId="38" hidden="1">'258260'!$A$1:$G$67,'258260'!$I$1:$O$67,'258260'!$A$69:$G$125</definedName>
    <definedName name="Z_3911D713_188C_46A1_A299_F21DD3B7A146_.wvu.PrintArea" localSheetId="39" hidden="1">'261'!$A$1:$G$57</definedName>
    <definedName name="Z_3911D713_188C_46A1_A299_F21DD3B7A146_.wvu.PrintArea" localSheetId="40" hidden="1">'262263'!$A$1:$H$56,'262263'!$J$1:$O$56</definedName>
    <definedName name="Z_3911D713_188C_46A1_A299_F21DD3B7A146_.wvu.PrintArea" localSheetId="41" hidden="1">'264265'!$A$1:$E$60,'264265'!$G$1:$N$60</definedName>
    <definedName name="Z_3911D713_188C_46A1_A299_F21DD3B7A146_.wvu.PrintArea" localSheetId="42" hidden="1">'266'!$A$1:$G$39</definedName>
    <definedName name="Z_3911D713_188C_46A1_A299_F21DD3B7A146_.wvu.PrintArea" localSheetId="43" hidden="1">'267'!$A$1:$G$35</definedName>
    <definedName name="Z_3911D713_188C_46A1_A299_F21DD3B7A146_.wvu.PrintArea" localSheetId="44" hidden="1">'300'!$A$1:$J$51</definedName>
    <definedName name="Z_3911D713_188C_46A1_A299_F21DD3B7A146_.wvu.PrintArea" localSheetId="45" hidden="1">'301'!$A$1:$H$73</definedName>
    <definedName name="Z_3911D713_188C_46A1_A299_F21DD3B7A146_.wvu.PrintArea" localSheetId="46" hidden="1">'302304'!$A$1:$R$127</definedName>
    <definedName name="Z_3911D713_188C_46A1_A299_F21DD3B7A146_.wvu.PrintArea" localSheetId="47" hidden="1">'305'!$A$1:$J$46</definedName>
    <definedName name="Z_3911D713_188C_46A1_A299_F21DD3B7A146_.wvu.PrintArea" localSheetId="48" hidden="1">'306'!$A$1:$F$65</definedName>
    <definedName name="Z_3911D713_188C_46A1_A299_F21DD3B7A146_.wvu.PrintArea" localSheetId="49" hidden="1">'307309'!$A$1:$E$178</definedName>
    <definedName name="Z_3911D713_188C_46A1_A299_F21DD3B7A146_.wvu.PrintArea" localSheetId="50" hidden="1">'310'!$A$1:$F$63</definedName>
    <definedName name="Z_3911D713_188C_46A1_A299_F21DD3B7A146_.wvu.PrintArea" localSheetId="51" hidden="1">'311312'!$A$1:$N$76</definedName>
    <definedName name="Z_3911D713_188C_46A1_A299_F21DD3B7A146_.wvu.PrintArea" localSheetId="52" hidden="1">'313'!$A$1:$E$63</definedName>
    <definedName name="Z_3911D713_188C_46A1_A299_F21DD3B7A146_.wvu.PrintArea" localSheetId="53" hidden="1">'314'!$A$1:$F$69</definedName>
    <definedName name="Z_3911D713_188C_46A1_A299_F21DD3B7A146_.wvu.PrintArea" localSheetId="54" hidden="1">'314_attachment'!$A$1:$J$96</definedName>
    <definedName name="Z_3911D713_188C_46A1_A299_F21DD3B7A146_.wvu.PrintArea" localSheetId="55" hidden="1">'315'!$A$1:$G$61</definedName>
    <definedName name="Z_3911D713_188C_46A1_A299_F21DD3B7A146_.wvu.PrintArea" localSheetId="56" hidden="1">'316'!$A$1:$E$60</definedName>
    <definedName name="Z_3911D713_188C_46A1_A299_F21DD3B7A146_.wvu.PrintArea" localSheetId="57" hidden="1">'317'!$A$1:$F$49</definedName>
    <definedName name="Z_3911D713_188C_46A1_A299_F21DD3B7A146_.wvu.PrintArea" localSheetId="58" hidden="1">'318320'!$A$1:$E$187</definedName>
    <definedName name="Z_3911D713_188C_46A1_A299_F21DD3B7A146_.wvu.PrintArea" localSheetId="59" hidden="1">'321'!$A$1:$D$62</definedName>
    <definedName name="Z_3911D713_188C_46A1_A299_F21DD3B7A146_.wvu.PrintArea" localSheetId="60" hidden="1">'350351'!$A$1:$N$64</definedName>
    <definedName name="Z_3911D713_188C_46A1_A299_F21DD3B7A146_.wvu.PrintArea" localSheetId="61" hidden="1">'352353'!$A$1:$L$66</definedName>
    <definedName name="Z_3911D713_188C_46A1_A299_F21DD3B7A146_.wvu.PrintArea" localSheetId="62" hidden="1">'354'!$A$1:$F$54</definedName>
    <definedName name="Z_3911D713_188C_46A1_A299_F21DD3B7A146_.wvu.PrintArea" localSheetId="63" hidden="1">'355356'!$A$1:$F$142</definedName>
    <definedName name="Z_3911D713_188C_46A1_A299_F21DD3B7A146_.wvu.PrintArea" localSheetId="64" hidden="1">'357358'!$A$1:$D$130</definedName>
    <definedName name="Z_3911D713_188C_46A1_A299_F21DD3B7A146_.wvu.PrintArea" localSheetId="65" hidden="1">'359360'!$A$1:$I$57</definedName>
    <definedName name="Z_3911D713_188C_46A1_A299_F21DD3B7A146_.wvu.PrintArea" localSheetId="66" hidden="1">'361362'!$A$1:$L$61</definedName>
    <definedName name="Z_3911D713_188C_46A1_A299_F21DD3B7A146_.wvu.PrintArea" localSheetId="67" hidden="1">'363'!$A$1:$D$61</definedName>
    <definedName name="Z_3911D713_188C_46A1_A299_F21DD3B7A146_.wvu.PrintArea" localSheetId="68" hidden="1">'364'!$A$1:$G$64</definedName>
    <definedName name="Z_3911D713_188C_46A1_A299_F21DD3B7A146_.wvu.PrintArea" localSheetId="69" hidden="1">'365'!$A$1:$F$58</definedName>
    <definedName name="Z_3911D713_188C_46A1_A299_F21DD3B7A146_.wvu.PrintArea" localSheetId="70" hidden="1">'366'!$A$1:$F$60</definedName>
    <definedName name="Z_3911D713_188C_46A1_A299_F21DD3B7A146_.wvu.PrintArea" localSheetId="71" hidden="1">'367'!$A$1:$E$65</definedName>
    <definedName name="Z_3911D713_188C_46A1_A299_F21DD3B7A146_.wvu.PrintArea" localSheetId="72" hidden="1">'400'!$A$1:$P$48</definedName>
    <definedName name="Z_3911D713_188C_46A1_A299_F21DD3B7A146_.wvu.PrintArea" localSheetId="73" hidden="1">'401'!$A$1:$N$54</definedName>
    <definedName name="Z_3911D713_188C_46A1_A299_F21DD3B7A146_.wvu.PrintArea" localSheetId="74" hidden="1">'402'!$A$1:$N$64,'402'!$A$66:$N$129,'402'!$A$131:$N$194,'402'!$A$196:$N$260</definedName>
    <definedName name="Z_3911D713_188C_46A1_A299_F21DD3B7A146_.wvu.PrintArea" localSheetId="75" hidden="1">'403404'!$A$1:$G$67,'403404'!$I$1:$R$67,'403404'!$T$1:$AB$67,'403404'!$AD$1:$AL$67</definedName>
    <definedName name="Z_3911D713_188C_46A1_A299_F21DD3B7A146_.wvu.PrintArea" localSheetId="76" hidden="1">'405'!$A$1:$I$1155</definedName>
    <definedName name="Z_3911D713_188C_46A1_A299_F21DD3B7A146_.wvu.PrintArea" localSheetId="77" hidden="1">'406'!$A$1:$J$49</definedName>
    <definedName name="Z_3911D713_188C_46A1_A299_F21DD3B7A146_.wvu.PrintArea" localSheetId="78" hidden="1">'407408'!$A$1:$L$250</definedName>
    <definedName name="Z_3911D713_188C_46A1_A299_F21DD3B7A146_.wvu.PrintArea" localSheetId="3" hidden="1">Cover!$A$1:$J$43</definedName>
    <definedName name="Z_3911D713_188C_46A1_A299_F21DD3B7A146_.wvu.PrintArea" localSheetId="2" hidden="1">'Data sheet'!$A$1:$H$70</definedName>
    <definedName name="Z_3911D713_188C_46A1_A299_F21DD3B7A146_.wvu.PrintArea" localSheetId="4" hidden="1">Instructions!$A$1:$E$57</definedName>
    <definedName name="Z_3911D713_188C_46A1_A299_F21DD3B7A146_.wvu.PrintArea" localSheetId="5" hidden="1">Schedules!$A$1:$I$120</definedName>
    <definedName name="Z_3911D713_188C_46A1_A299_F21DD3B7A146_.wvu.PrintArea" localSheetId="83" hidden="1">Verify!$A$1:$C$65</definedName>
    <definedName name="Z_3911D713_188C_46A1_A299_F21DD3B7A146_.wvu.PrintArea" localSheetId="84" hidden="1">Zindex!$A$1:$D$106</definedName>
    <definedName name="Z_3911D713_188C_46A1_A299_F21DD3B7A146_.wvu.PrintTitles" localSheetId="20" hidden="1">'206'!$1:$12</definedName>
    <definedName name="Z_3B1006FF_A2CA_49E7_9B25_DAC8815279AF_.wvu.Cols" localSheetId="29" hidden="1">'215'!$D:$D,'215'!$G:$H</definedName>
    <definedName name="Z_3B1006FF_A2CA_49E7_9B25_DAC8815279AF_.wvu.Cols" localSheetId="5" hidden="1">Schedules!$E:$F</definedName>
    <definedName name="Z_3B1006FF_A2CA_49E7_9B25_DAC8815279AF_.wvu.PrintArea" localSheetId="6" hidden="1">'101'!$B$1:$F$58</definedName>
    <definedName name="Z_3B1006FF_A2CA_49E7_9B25_DAC8815279AF_.wvu.PrintArea" localSheetId="7" hidden="1">'102103'!$A$1:$J$114</definedName>
    <definedName name="Z_3B1006FF_A2CA_49E7_9B25_DAC8815279AF_.wvu.PrintArea" localSheetId="8" hidden="1">'104105'!$A$1:$O$63</definedName>
    <definedName name="Z_3B1006FF_A2CA_49E7_9B25_DAC8815279AF_.wvu.PrintArea" localSheetId="9" hidden="1">'106107'!$A$1:$F$115</definedName>
    <definedName name="Z_3B1006FF_A2CA_49E7_9B25_DAC8815279AF_.wvu.PrintArea" localSheetId="10" hidden="1">'108109'!$A$1:$G$113</definedName>
    <definedName name="Z_3B1006FF_A2CA_49E7_9B25_DAC8815279AF_.wvu.PrintArea" localSheetId="11" hidden="1">'110'!$A$1:$C$54</definedName>
    <definedName name="Z_3B1006FF_A2CA_49E7_9B25_DAC8815279AF_.wvu.PrintArea" localSheetId="12" hidden="1">'111113'!$A$1:$L$156</definedName>
    <definedName name="Z_3B1006FF_A2CA_49E7_9B25_DAC8815279AF_.wvu.PrintArea" localSheetId="13" hidden="1">'114115'!$A$1:$F$121</definedName>
    <definedName name="Z_3B1006FF_A2CA_49E7_9B25_DAC8815279AF_.wvu.PrintArea" localSheetId="14" hidden="1">'116119'!$A$1:$H$58,'116119'!$J$1:$P$58,'116119'!$A$60:$H$120,'116119'!$J$60:$P$120</definedName>
    <definedName name="Z_3B1006FF_A2CA_49E7_9B25_DAC8815279AF_.wvu.PrintArea" localSheetId="15" hidden="1">'120121'!$A$1:$I$125</definedName>
    <definedName name="Z_3B1006FF_A2CA_49E7_9B25_DAC8815279AF_.wvu.PrintArea" localSheetId="16" hidden="1">'122123'!$A$1:$F$131</definedName>
    <definedName name="Z_3B1006FF_A2CA_49E7_9B25_DAC8815279AF_.wvu.PrintArea" localSheetId="17" hidden="1">'124125'!$A$1:$I$132</definedName>
    <definedName name="Z_3B1006FF_A2CA_49E7_9B25_DAC8815279AF_.wvu.PrintArea" localSheetId="18" hidden="1">'200201'!$A$1:$E$63,'200201'!$G$1:$L$63</definedName>
    <definedName name="Z_3B1006FF_A2CA_49E7_9B25_DAC8815279AF_.wvu.PrintArea" localSheetId="19" hidden="1">'202205'!$A$1:$E$64,'202205'!$G$1:$L$64,'202205'!$A$66:$E$129,'202205'!$G$66:$L$129</definedName>
    <definedName name="Z_3B1006FF_A2CA_49E7_9B25_DAC8815279AF_.wvu.PrintArea" localSheetId="20" hidden="1">'206'!$A$1:$E$273</definedName>
    <definedName name="Z_3B1006FF_A2CA_49E7_9B25_DAC8815279AF_.wvu.PrintArea" localSheetId="21" hidden="1">'207'!$A$1:$E$64</definedName>
    <definedName name="Z_3B1006FF_A2CA_49E7_9B25_DAC8815279AF_.wvu.PrintArea" localSheetId="22" hidden="1">'208'!$A$1:$G$66,'208'!$A$69:$G$130</definedName>
    <definedName name="Z_3B1006FF_A2CA_49E7_9B25_DAC8815279AF_.wvu.PrintArea" localSheetId="23" hidden="1">'209'!$A$1:$F$50</definedName>
    <definedName name="Z_3B1006FF_A2CA_49E7_9B25_DAC8815279AF_.wvu.PrintArea" localSheetId="24" hidden="1">'210'!$A$1:$I$47</definedName>
    <definedName name="Z_3B1006FF_A2CA_49E7_9B25_DAC8815279AF_.wvu.PrintArea" localSheetId="25" hidden="1">'211'!$A$1:$G$64</definedName>
    <definedName name="Z_3B1006FF_A2CA_49E7_9B25_DAC8815279AF_.wvu.PrintArea" localSheetId="26" hidden="1">'212'!$A$1:$D$68</definedName>
    <definedName name="Z_3B1006FF_A2CA_49E7_9B25_DAC8815279AF_.wvu.PrintArea" localSheetId="27" hidden="1">'213'!$A$1:$G$61</definedName>
    <definedName name="Z_3B1006FF_A2CA_49E7_9B25_DAC8815279AF_.wvu.PrintArea" localSheetId="28" hidden="1">'214'!$A$1:$H$68</definedName>
    <definedName name="Z_3B1006FF_A2CA_49E7_9B25_DAC8815279AF_.wvu.PrintArea" localSheetId="29" hidden="1">'215'!$A$1:$I$63</definedName>
    <definedName name="Z_3B1006FF_A2CA_49E7_9B25_DAC8815279AF_.wvu.PrintArea" localSheetId="30" hidden="1">'216'!$A$1:$H$66</definedName>
    <definedName name="Z_3B1006FF_A2CA_49E7_9B25_DAC8815279AF_.wvu.PrintArea" localSheetId="31" hidden="1">'217'!$A$1:$F$61</definedName>
    <definedName name="Z_3B1006FF_A2CA_49E7_9B25_DAC8815279AF_.wvu.PrintArea" localSheetId="32" hidden="1">'250251'!$A$1:$M$64</definedName>
    <definedName name="Z_3B1006FF_A2CA_49E7_9B25_DAC8815279AF_.wvu.PrintArea" localSheetId="33" hidden="1">'252'!$A$1:$F$63</definedName>
    <definedName name="Z_3B1006FF_A2CA_49E7_9B25_DAC8815279AF_.wvu.PrintArea" localSheetId="34" hidden="1">'253'!$A$1:$F$65</definedName>
    <definedName name="Z_3B1006FF_A2CA_49E7_9B25_DAC8815279AF_.wvu.PrintArea" localSheetId="35" hidden="1">'254'!$A$1:$E$60</definedName>
    <definedName name="Z_3B1006FF_A2CA_49E7_9B25_DAC8815279AF_.wvu.PrintArea" localSheetId="36" hidden="1">'255'!$A$1:$H$69</definedName>
    <definedName name="Z_3B1006FF_A2CA_49E7_9B25_DAC8815279AF_.wvu.PrintArea" localSheetId="37" hidden="1">'256257'!$A$1:$E$65,'256257'!$G$1:$M$65,'256257'!$A$67:$E$128,'256257'!$G$67:$M$128</definedName>
    <definedName name="Z_3B1006FF_A2CA_49E7_9B25_DAC8815279AF_.wvu.PrintArea" localSheetId="38" hidden="1">'258260'!$A$1:$G$67,'258260'!$I$1:$O$67,'258260'!$A$69:$G$125</definedName>
    <definedName name="Z_3B1006FF_A2CA_49E7_9B25_DAC8815279AF_.wvu.PrintArea" localSheetId="39" hidden="1">'261'!$A$1:$G$57</definedName>
    <definedName name="Z_3B1006FF_A2CA_49E7_9B25_DAC8815279AF_.wvu.PrintArea" localSheetId="40" hidden="1">'262263'!$A$1:$H$56,'262263'!$J$1:$O$56</definedName>
    <definedName name="Z_3B1006FF_A2CA_49E7_9B25_DAC8815279AF_.wvu.PrintArea" localSheetId="41" hidden="1">'264265'!$A$1:$E$60,'264265'!$G$1:$N$60</definedName>
    <definedName name="Z_3B1006FF_A2CA_49E7_9B25_DAC8815279AF_.wvu.PrintArea" localSheetId="42" hidden="1">'266'!$A$1:$G$39</definedName>
    <definedName name="Z_3B1006FF_A2CA_49E7_9B25_DAC8815279AF_.wvu.PrintArea" localSheetId="43" hidden="1">'267'!$A$1:$G$35</definedName>
    <definedName name="Z_3B1006FF_A2CA_49E7_9B25_DAC8815279AF_.wvu.PrintArea" localSheetId="44" hidden="1">'300'!$A$1:$I$51</definedName>
    <definedName name="Z_3B1006FF_A2CA_49E7_9B25_DAC8815279AF_.wvu.PrintArea" localSheetId="45" hidden="1">'301'!$A$1:$H$73</definedName>
    <definedName name="Z_3B1006FF_A2CA_49E7_9B25_DAC8815279AF_.wvu.PrintArea" localSheetId="46" hidden="1">'302304'!$A$1:$R$127</definedName>
    <definedName name="Z_3B1006FF_A2CA_49E7_9B25_DAC8815279AF_.wvu.PrintArea" localSheetId="47" hidden="1">'305'!$A$1:$J$46</definedName>
    <definedName name="Z_3B1006FF_A2CA_49E7_9B25_DAC8815279AF_.wvu.PrintArea" localSheetId="48" hidden="1">'306'!$A$1:$F$65</definedName>
    <definedName name="Z_3B1006FF_A2CA_49E7_9B25_DAC8815279AF_.wvu.PrintArea" localSheetId="49" hidden="1">'307309'!$A$1:$E$178</definedName>
    <definedName name="Z_3B1006FF_A2CA_49E7_9B25_DAC8815279AF_.wvu.PrintArea" localSheetId="50" hidden="1">'310'!$A$1:$F$63</definedName>
    <definedName name="Z_3B1006FF_A2CA_49E7_9B25_DAC8815279AF_.wvu.PrintArea" localSheetId="51" hidden="1">'311312'!$A$1:$N$77</definedName>
    <definedName name="Z_3B1006FF_A2CA_49E7_9B25_DAC8815279AF_.wvu.PrintArea" localSheetId="52" hidden="1">'313'!$A$1:$E$63</definedName>
    <definedName name="Z_3B1006FF_A2CA_49E7_9B25_DAC8815279AF_.wvu.PrintArea" localSheetId="53" hidden="1">'314'!$A$1:$F$69</definedName>
    <definedName name="Z_3B1006FF_A2CA_49E7_9B25_DAC8815279AF_.wvu.PrintArea" localSheetId="54" hidden="1">'314_attachment'!$A$1:$J$96</definedName>
    <definedName name="Z_3B1006FF_A2CA_49E7_9B25_DAC8815279AF_.wvu.PrintArea" localSheetId="55" hidden="1">'315'!$A$1:$G$61</definedName>
    <definedName name="Z_3B1006FF_A2CA_49E7_9B25_DAC8815279AF_.wvu.PrintArea" localSheetId="56" hidden="1">'316'!$A$1:$E$60</definedName>
    <definedName name="Z_3B1006FF_A2CA_49E7_9B25_DAC8815279AF_.wvu.PrintArea" localSheetId="57" hidden="1">'317'!$A$1:$F$49</definedName>
    <definedName name="Z_3B1006FF_A2CA_49E7_9B25_DAC8815279AF_.wvu.PrintArea" localSheetId="58" hidden="1">'318320'!$A$1:$E$186</definedName>
    <definedName name="Z_3B1006FF_A2CA_49E7_9B25_DAC8815279AF_.wvu.PrintArea" localSheetId="59" hidden="1">'321'!$A$1:$D$62</definedName>
    <definedName name="Z_3B1006FF_A2CA_49E7_9B25_DAC8815279AF_.wvu.PrintArea" localSheetId="60" hidden="1">'350351'!$A$1:$N$64</definedName>
    <definedName name="Z_3B1006FF_A2CA_49E7_9B25_DAC8815279AF_.wvu.PrintArea" localSheetId="61" hidden="1">'352353'!$A$1:$L$65</definedName>
    <definedName name="Z_3B1006FF_A2CA_49E7_9B25_DAC8815279AF_.wvu.PrintArea" localSheetId="62" hidden="1">'354'!$A$1:$F$54</definedName>
    <definedName name="Z_3B1006FF_A2CA_49E7_9B25_DAC8815279AF_.wvu.PrintArea" localSheetId="63" hidden="1">'355356'!$A$1:$F$142</definedName>
    <definedName name="Z_3B1006FF_A2CA_49E7_9B25_DAC8815279AF_.wvu.PrintArea" localSheetId="64" hidden="1">'357358'!$A$1:$D$130</definedName>
    <definedName name="Z_3B1006FF_A2CA_49E7_9B25_DAC8815279AF_.wvu.PrintArea" localSheetId="65" hidden="1">'359360'!$A$1:$I$57</definedName>
    <definedName name="Z_3B1006FF_A2CA_49E7_9B25_DAC8815279AF_.wvu.PrintArea" localSheetId="66" hidden="1">'361362'!$A$1:$L$61</definedName>
    <definedName name="Z_3B1006FF_A2CA_49E7_9B25_DAC8815279AF_.wvu.PrintArea" localSheetId="67" hidden="1">'363'!$A$1:$D$61</definedName>
    <definedName name="Z_3B1006FF_A2CA_49E7_9B25_DAC8815279AF_.wvu.PrintArea" localSheetId="68" hidden="1">'364'!$A$1:$G$64</definedName>
    <definedName name="Z_3B1006FF_A2CA_49E7_9B25_DAC8815279AF_.wvu.PrintArea" localSheetId="69" hidden="1">'365'!$A$1:$F$58</definedName>
    <definedName name="Z_3B1006FF_A2CA_49E7_9B25_DAC8815279AF_.wvu.PrintArea" localSheetId="70" hidden="1">'366'!$A$1:$F$60</definedName>
    <definedName name="Z_3B1006FF_A2CA_49E7_9B25_DAC8815279AF_.wvu.PrintArea" localSheetId="71" hidden="1">'367'!$A$1:$E$65</definedName>
    <definedName name="Z_3B1006FF_A2CA_49E7_9B25_DAC8815279AF_.wvu.PrintArea" localSheetId="72" hidden="1">'400'!$A$1:$P$48</definedName>
    <definedName name="Z_3B1006FF_A2CA_49E7_9B25_DAC8815279AF_.wvu.PrintArea" localSheetId="73" hidden="1">'401'!$A$1:$N$54</definedName>
    <definedName name="Z_3B1006FF_A2CA_49E7_9B25_DAC8815279AF_.wvu.PrintArea" localSheetId="74" hidden="1">'402'!$A$1:$N$184</definedName>
    <definedName name="Z_3B1006FF_A2CA_49E7_9B25_DAC8815279AF_.wvu.PrintArea" localSheetId="75" hidden="1">'403404'!$A$1:$AR$67</definedName>
    <definedName name="Z_3B1006FF_A2CA_49E7_9B25_DAC8815279AF_.wvu.PrintArea" localSheetId="76" hidden="1">'405'!$A$1:$I$1155</definedName>
    <definedName name="Z_3B1006FF_A2CA_49E7_9B25_DAC8815279AF_.wvu.PrintArea" localSheetId="77" hidden="1">'406'!$A$1:$J$49</definedName>
    <definedName name="Z_3B1006FF_A2CA_49E7_9B25_DAC8815279AF_.wvu.PrintArea" localSheetId="78" hidden="1">'407408'!$A$1:$L$251</definedName>
    <definedName name="Z_3B1006FF_A2CA_49E7_9B25_DAC8815279AF_.wvu.PrintArea" localSheetId="81" hidden="1">'411412'!$A$1:$L$111</definedName>
    <definedName name="Z_3B1006FF_A2CA_49E7_9B25_DAC8815279AF_.wvu.PrintArea" localSheetId="82" hidden="1">Book!$A$1:$C$438</definedName>
    <definedName name="Z_3B1006FF_A2CA_49E7_9B25_DAC8815279AF_.wvu.PrintArea" localSheetId="3" hidden="1">Cover!$A$1:$J$43</definedName>
    <definedName name="Z_3B1006FF_A2CA_49E7_9B25_DAC8815279AF_.wvu.PrintArea" localSheetId="2" hidden="1">'Data sheet'!$A$1:$H$70</definedName>
    <definedName name="Z_3B1006FF_A2CA_49E7_9B25_DAC8815279AF_.wvu.PrintArea" localSheetId="4" hidden="1">Instructions!$A$1:$E$57</definedName>
    <definedName name="Z_3B1006FF_A2CA_49E7_9B25_DAC8815279AF_.wvu.PrintArea" localSheetId="5" hidden="1">Schedules!$A$1:$I$119</definedName>
    <definedName name="Z_3B1006FF_A2CA_49E7_9B25_DAC8815279AF_.wvu.PrintArea" localSheetId="83" hidden="1">Verify!$A$1:$C$65</definedName>
    <definedName name="Z_3B1006FF_A2CA_49E7_9B25_DAC8815279AF_.wvu.PrintArea" localSheetId="84" hidden="1">Zindex!$A$1:$D$106</definedName>
    <definedName name="Z_3B1006FF_A2CA_49E7_9B25_DAC8815279AF_.wvu.PrintTitles" localSheetId="20" hidden="1">'206'!$1:$12</definedName>
    <definedName name="Z_4436FEB5_BFEC_4348_9286_CB706802873E_.wvu.Cols" localSheetId="29" hidden="1">'215'!$D:$D,'215'!$G:$H</definedName>
    <definedName name="Z_4436FEB5_BFEC_4348_9286_CB706802873E_.wvu.Cols" localSheetId="5" hidden="1">Schedules!$E:$F</definedName>
    <definedName name="Z_4436FEB5_BFEC_4348_9286_CB706802873E_.wvu.PrintArea" localSheetId="8" hidden="1">'104105'!$A$1:$O$63</definedName>
    <definedName name="Z_4436FEB5_BFEC_4348_9286_CB706802873E_.wvu.PrintArea" localSheetId="10" hidden="1">'108109'!$A$1:$G$112</definedName>
    <definedName name="Z_4436FEB5_BFEC_4348_9286_CB706802873E_.wvu.PrintArea" localSheetId="12" hidden="1">'111113'!$A$1:$L$156</definedName>
    <definedName name="Z_4436FEB5_BFEC_4348_9286_CB706802873E_.wvu.PrintArea" localSheetId="13" hidden="1">'114115'!$A$1:$F$122</definedName>
    <definedName name="Z_4436FEB5_BFEC_4348_9286_CB706802873E_.wvu.PrintArea" localSheetId="14" hidden="1">'116119'!$A$1:$P$119</definedName>
    <definedName name="Z_4436FEB5_BFEC_4348_9286_CB706802873E_.wvu.PrintArea" localSheetId="15" hidden="1">'120121'!$A$1:$H$125</definedName>
    <definedName name="Z_4436FEB5_BFEC_4348_9286_CB706802873E_.wvu.PrintArea" localSheetId="16" hidden="1">'122123'!$A$1:$F$131</definedName>
    <definedName name="Z_4436FEB5_BFEC_4348_9286_CB706802873E_.wvu.PrintArea" localSheetId="17" hidden="1">'124125'!$A$1:$I$132</definedName>
    <definedName name="Z_4436FEB5_BFEC_4348_9286_CB706802873E_.wvu.PrintArea" localSheetId="18" hidden="1">'200201'!$A$1:$L$63</definedName>
    <definedName name="Z_4436FEB5_BFEC_4348_9286_CB706802873E_.wvu.PrintArea" localSheetId="19" hidden="1">'202205'!$A$1:$L$129</definedName>
    <definedName name="Z_4436FEB5_BFEC_4348_9286_CB706802873E_.wvu.PrintArea" localSheetId="20" hidden="1">'206'!$A$1:$E$210</definedName>
    <definedName name="Z_4436FEB5_BFEC_4348_9286_CB706802873E_.wvu.PrintArea" localSheetId="21" hidden="1">'207'!$A$1:$E$64</definedName>
    <definedName name="Z_4436FEB5_BFEC_4348_9286_CB706802873E_.wvu.PrintArea" localSheetId="22" hidden="1">'208'!$A$1:$G$66</definedName>
    <definedName name="Z_4436FEB5_BFEC_4348_9286_CB706802873E_.wvu.PrintArea" localSheetId="23" hidden="1">'209'!$A$1:$F$50</definedName>
    <definedName name="Z_4436FEB5_BFEC_4348_9286_CB706802873E_.wvu.PrintArea" localSheetId="27" hidden="1">'213'!$A$1:$G$61</definedName>
    <definedName name="Z_4436FEB5_BFEC_4348_9286_CB706802873E_.wvu.PrintArea" localSheetId="29" hidden="1">'215'!$A$1:$F$62</definedName>
    <definedName name="Z_4436FEB5_BFEC_4348_9286_CB706802873E_.wvu.PrintArea" localSheetId="30" hidden="1">'216'!$A$1:$G$65</definedName>
    <definedName name="Z_4436FEB5_BFEC_4348_9286_CB706802873E_.wvu.PrintArea" localSheetId="31" hidden="1">'217'!$A$1:$F$61</definedName>
    <definedName name="Z_4436FEB5_BFEC_4348_9286_CB706802873E_.wvu.PrintArea" localSheetId="32" hidden="1">'250251'!$A$1:$M$64</definedName>
    <definedName name="Z_4436FEB5_BFEC_4348_9286_CB706802873E_.wvu.PrintArea" localSheetId="33" hidden="1">'252'!$A$1:$F$63</definedName>
    <definedName name="Z_4436FEB5_BFEC_4348_9286_CB706802873E_.wvu.PrintArea" localSheetId="35" hidden="1">'254'!$A$1:$E$60</definedName>
    <definedName name="Z_4436FEB5_BFEC_4348_9286_CB706802873E_.wvu.PrintArea" localSheetId="36" hidden="1">'255'!$A$1:$G$69</definedName>
    <definedName name="Z_4436FEB5_BFEC_4348_9286_CB706802873E_.wvu.PrintArea" localSheetId="37" hidden="1">'256257'!$A$1:$M$127</definedName>
    <definedName name="Z_4436FEB5_BFEC_4348_9286_CB706802873E_.wvu.PrintArea" localSheetId="38" hidden="1">'258260'!$A$1:$O$124</definedName>
    <definedName name="Z_4436FEB5_BFEC_4348_9286_CB706802873E_.wvu.PrintArea" localSheetId="39" hidden="1">'261'!$A$1:$H$56</definedName>
    <definedName name="Z_4436FEB5_BFEC_4348_9286_CB706802873E_.wvu.PrintArea" localSheetId="40" hidden="1">'262263'!$A$1:$O$56</definedName>
    <definedName name="Z_4436FEB5_BFEC_4348_9286_CB706802873E_.wvu.PrintArea" localSheetId="41" hidden="1">'264265'!$A$1:$N$60</definedName>
    <definedName name="Z_4436FEB5_BFEC_4348_9286_CB706802873E_.wvu.PrintArea" localSheetId="42" hidden="1">'266'!$A$1:$G$39</definedName>
    <definedName name="Z_4436FEB5_BFEC_4348_9286_CB706802873E_.wvu.PrintArea" localSheetId="44" hidden="1">'300'!$A$1:$J$51</definedName>
    <definedName name="Z_4436FEB5_BFEC_4348_9286_CB706802873E_.wvu.PrintArea" localSheetId="45" hidden="1">'301'!$A$1:$G$73</definedName>
    <definedName name="Z_4436FEB5_BFEC_4348_9286_CB706802873E_.wvu.PrintArea" localSheetId="49" hidden="1">'307309'!$A$1:$E$179</definedName>
    <definedName name="Z_4436FEB5_BFEC_4348_9286_CB706802873E_.wvu.PrintArea" localSheetId="51" hidden="1">'311312'!$A$1:$N$69</definedName>
    <definedName name="Z_4436FEB5_BFEC_4348_9286_CB706802873E_.wvu.PrintArea" localSheetId="52" hidden="1">'313'!$A$1:$E$63</definedName>
    <definedName name="Z_4436FEB5_BFEC_4348_9286_CB706802873E_.wvu.PrintArea" localSheetId="53" hidden="1">'314'!$A$1:$E$69</definedName>
    <definedName name="Z_4436FEB5_BFEC_4348_9286_CB706802873E_.wvu.PrintArea" localSheetId="54" hidden="1">'314_attachment'!$A$2:$I$94</definedName>
    <definedName name="Z_4436FEB5_BFEC_4348_9286_CB706802873E_.wvu.PrintArea" localSheetId="55" hidden="1">'315'!$A$1:$G$61</definedName>
    <definedName name="Z_4436FEB5_BFEC_4348_9286_CB706802873E_.wvu.PrintArea" localSheetId="58" hidden="1">'318320'!$A$1:$E$186</definedName>
    <definedName name="Z_4436FEB5_BFEC_4348_9286_CB706802873E_.wvu.PrintArea" localSheetId="60" hidden="1">'350351'!$A$1:$N$64</definedName>
    <definedName name="Z_4436FEB5_BFEC_4348_9286_CB706802873E_.wvu.PrintArea" localSheetId="61" hidden="1">'352353'!$A$1:$L$66</definedName>
    <definedName name="Z_4436FEB5_BFEC_4348_9286_CB706802873E_.wvu.PrintArea" localSheetId="62" hidden="1">'354'!$A$1:$F$54</definedName>
    <definedName name="Z_4436FEB5_BFEC_4348_9286_CB706802873E_.wvu.PrintArea" localSheetId="63" hidden="1">'355356'!$A$1:$E$130</definedName>
    <definedName name="Z_4436FEB5_BFEC_4348_9286_CB706802873E_.wvu.PrintArea" localSheetId="64" hidden="1">'357358'!$A$1:$D$130</definedName>
    <definedName name="Z_4436FEB5_BFEC_4348_9286_CB706802873E_.wvu.PrintArea" localSheetId="65" hidden="1">'359360'!$A$1:$I$57</definedName>
    <definedName name="Z_4436FEB5_BFEC_4348_9286_CB706802873E_.wvu.PrintArea" localSheetId="66" hidden="1">'361362'!$A$1:$L$61</definedName>
    <definedName name="Z_4436FEB5_BFEC_4348_9286_CB706802873E_.wvu.PrintArea" localSheetId="71" hidden="1">'367'!$A$1:$D$65</definedName>
    <definedName name="Z_4436FEB5_BFEC_4348_9286_CB706802873E_.wvu.PrintArea" localSheetId="72" hidden="1">'400'!$A$1:$P$48</definedName>
    <definedName name="Z_4436FEB5_BFEC_4348_9286_CB706802873E_.wvu.PrintArea" localSheetId="73" hidden="1">'401'!$A$1:$N$54</definedName>
    <definedName name="Z_4436FEB5_BFEC_4348_9286_CB706802873E_.wvu.PrintArea" localSheetId="74" hidden="1">'402'!$A$1:$N$65</definedName>
    <definedName name="Z_4436FEB5_BFEC_4348_9286_CB706802873E_.wvu.PrintArea" localSheetId="77" hidden="1">'406'!$A$1:$J$49</definedName>
    <definedName name="Z_4436FEB5_BFEC_4348_9286_CB706802873E_.wvu.PrintArea" localSheetId="78" hidden="1">'407408'!$A$1:$L$250</definedName>
    <definedName name="Z_4436FEB5_BFEC_4348_9286_CB706802873E_.wvu.PrintArea" localSheetId="3" hidden="1">Cover!$A$1:$J$42</definedName>
    <definedName name="Z_4436FEB5_BFEC_4348_9286_CB706802873E_.wvu.PrintArea" localSheetId="2" hidden="1">'Data sheet'!$A$1:$H$70</definedName>
    <definedName name="Z_4436FEB5_BFEC_4348_9286_CB706802873E_.wvu.PrintArea" localSheetId="5" hidden="1">Schedules!$A$1:$I$120</definedName>
    <definedName name="Z_4436FEB5_BFEC_4348_9286_CB706802873E_.wvu.PrintArea" localSheetId="83" hidden="1">Verify!$A$1:$C$65</definedName>
    <definedName name="Z_4436FEB5_BFEC_4348_9286_CB706802873E_.wvu.PrintArea" localSheetId="84" hidden="1">Zindex!$A$1:$D$106</definedName>
    <definedName name="Z_4826FCC0_BDD6_4B2C_ACC6_ACE271DDF0E3_.wvu.Cols" localSheetId="29" hidden="1">'215'!$D:$D,'215'!$G:$H</definedName>
    <definedName name="Z_4826FCC0_BDD6_4B2C_ACC6_ACE271DDF0E3_.wvu.Cols" localSheetId="5" hidden="1">Schedules!$E:$F</definedName>
    <definedName name="Z_4826FCC0_BDD6_4B2C_ACC6_ACE271DDF0E3_.wvu.PrintArea" localSheetId="6" hidden="1">'101'!$A$1:$G$58</definedName>
    <definedName name="Z_4826FCC0_BDD6_4B2C_ACC6_ACE271DDF0E3_.wvu.PrintArea" localSheetId="7" hidden="1">'102103'!$A$1:$J$114</definedName>
    <definedName name="Z_4826FCC0_BDD6_4B2C_ACC6_ACE271DDF0E3_.wvu.PrintArea" localSheetId="8" hidden="1">'104105'!$A$1:$O$63</definedName>
    <definedName name="Z_4826FCC0_BDD6_4B2C_ACC6_ACE271DDF0E3_.wvu.PrintArea" localSheetId="9" hidden="1">'106107'!$A$1:$F$116</definedName>
    <definedName name="Z_4826FCC0_BDD6_4B2C_ACC6_ACE271DDF0E3_.wvu.PrintArea" localSheetId="10" hidden="1">'108109'!$A$1:$G$113</definedName>
    <definedName name="Z_4826FCC0_BDD6_4B2C_ACC6_ACE271DDF0E3_.wvu.PrintArea" localSheetId="11" hidden="1">'110'!$A$1:$C$54</definedName>
    <definedName name="Z_4826FCC0_BDD6_4B2C_ACC6_ACE271DDF0E3_.wvu.PrintArea" localSheetId="12" hidden="1">'111113'!$A$1:$L$156</definedName>
    <definedName name="Z_4826FCC0_BDD6_4B2C_ACC6_ACE271DDF0E3_.wvu.PrintArea" localSheetId="13" hidden="1">'114115'!$A$1:$F$121</definedName>
    <definedName name="Z_4826FCC0_BDD6_4B2C_ACC6_ACE271DDF0E3_.wvu.PrintArea" localSheetId="14" hidden="1">'116119'!$A$1:$H$58,'116119'!$J$1:$P$58,'116119'!$A$60:$H$120,'116119'!$J$60:$P$120</definedName>
    <definedName name="Z_4826FCC0_BDD6_4B2C_ACC6_ACE271DDF0E3_.wvu.PrintArea" localSheetId="15" hidden="1">'120121'!$A$1:$I$125</definedName>
    <definedName name="Z_4826FCC0_BDD6_4B2C_ACC6_ACE271DDF0E3_.wvu.PrintArea" localSheetId="16" hidden="1">'122123'!$A$1:$F$131</definedName>
    <definedName name="Z_4826FCC0_BDD6_4B2C_ACC6_ACE271DDF0E3_.wvu.PrintArea" localSheetId="17" hidden="1">'124125'!$A$1:$I$132</definedName>
    <definedName name="Z_4826FCC0_BDD6_4B2C_ACC6_ACE271DDF0E3_.wvu.PrintArea" localSheetId="18" hidden="1">'200201'!$A$1:$E$63,'200201'!$G$1:$L$63</definedName>
    <definedName name="Z_4826FCC0_BDD6_4B2C_ACC6_ACE271DDF0E3_.wvu.PrintArea" localSheetId="19" hidden="1">'202205'!$A$1:$E$64,'202205'!$G$1:$L$64,'202205'!$A$66:$E$129,'202205'!$G$66:$L$129</definedName>
    <definedName name="Z_4826FCC0_BDD6_4B2C_ACC6_ACE271DDF0E3_.wvu.PrintArea" localSheetId="20" hidden="1">'206'!$A$1:$E$210</definedName>
    <definedName name="Z_4826FCC0_BDD6_4B2C_ACC6_ACE271DDF0E3_.wvu.PrintArea" localSheetId="21" hidden="1">'207'!$A$1:$E$64</definedName>
    <definedName name="Z_4826FCC0_BDD6_4B2C_ACC6_ACE271DDF0E3_.wvu.PrintArea" localSheetId="22" hidden="1">'208'!$A$1:$G$66,'208'!$A$69:$G$130</definedName>
    <definedName name="Z_4826FCC0_BDD6_4B2C_ACC6_ACE271DDF0E3_.wvu.PrintArea" localSheetId="23" hidden="1">'209'!$A$1:$F$50</definedName>
    <definedName name="Z_4826FCC0_BDD6_4B2C_ACC6_ACE271DDF0E3_.wvu.PrintArea" localSheetId="24" hidden="1">'210'!$A$1:$I$47</definedName>
    <definedName name="Z_4826FCC0_BDD6_4B2C_ACC6_ACE271DDF0E3_.wvu.PrintArea" localSheetId="25" hidden="1">'211'!$A$1:$G$64</definedName>
    <definedName name="Z_4826FCC0_BDD6_4B2C_ACC6_ACE271DDF0E3_.wvu.PrintArea" localSheetId="26" hidden="1">'212'!$A$1:$D$68</definedName>
    <definedName name="Z_4826FCC0_BDD6_4B2C_ACC6_ACE271DDF0E3_.wvu.PrintArea" localSheetId="27" hidden="1">'213'!$A$1:$G$61</definedName>
    <definedName name="Z_4826FCC0_BDD6_4B2C_ACC6_ACE271DDF0E3_.wvu.PrintArea" localSheetId="28" hidden="1">'214'!$A$1:$H$68</definedName>
    <definedName name="Z_4826FCC0_BDD6_4B2C_ACC6_ACE271DDF0E3_.wvu.PrintArea" localSheetId="29" hidden="1">'215'!$A$1:$I$63</definedName>
    <definedName name="Z_4826FCC0_BDD6_4B2C_ACC6_ACE271DDF0E3_.wvu.PrintArea" localSheetId="30" hidden="1">'216'!$A$1:$H$66</definedName>
    <definedName name="Z_4826FCC0_BDD6_4B2C_ACC6_ACE271DDF0E3_.wvu.PrintArea" localSheetId="31" hidden="1">'217'!$A$1:$F$61</definedName>
    <definedName name="Z_4826FCC0_BDD6_4B2C_ACC6_ACE271DDF0E3_.wvu.PrintArea" localSheetId="32" hidden="1">'250251'!$A$1:$M$64</definedName>
    <definedName name="Z_4826FCC0_BDD6_4B2C_ACC6_ACE271DDF0E3_.wvu.PrintArea" localSheetId="33" hidden="1">'252'!$A$1:$F$63</definedName>
    <definedName name="Z_4826FCC0_BDD6_4B2C_ACC6_ACE271DDF0E3_.wvu.PrintArea" localSheetId="34" hidden="1">'253'!$A$1:$F$65</definedName>
    <definedName name="Z_4826FCC0_BDD6_4B2C_ACC6_ACE271DDF0E3_.wvu.PrintArea" localSheetId="35" hidden="1">'254'!$A$1:$E$60</definedName>
    <definedName name="Z_4826FCC0_BDD6_4B2C_ACC6_ACE271DDF0E3_.wvu.PrintArea" localSheetId="36" hidden="1">'255'!$A$1:$H$69</definedName>
    <definedName name="Z_4826FCC0_BDD6_4B2C_ACC6_ACE271DDF0E3_.wvu.PrintArea" localSheetId="37" hidden="1">'256257'!$A$1:$E$65,'256257'!$G$1:$M$65,'256257'!$A$67:$E$128,'256257'!$G$67:$M$128</definedName>
    <definedName name="Z_4826FCC0_BDD6_4B2C_ACC6_ACE271DDF0E3_.wvu.PrintArea" localSheetId="38" hidden="1">'258260'!$A$1:$G$67,'258260'!$I$1:$O$67,'258260'!$A$69:$G$125</definedName>
    <definedName name="Z_4826FCC0_BDD6_4B2C_ACC6_ACE271DDF0E3_.wvu.PrintArea" localSheetId="39" hidden="1">'261'!$A$1:$H$56</definedName>
    <definedName name="Z_4826FCC0_BDD6_4B2C_ACC6_ACE271DDF0E3_.wvu.PrintArea" localSheetId="40" hidden="1">'262263'!$A$1:$H$56,'262263'!$J$1:$O$56</definedName>
    <definedName name="Z_4826FCC0_BDD6_4B2C_ACC6_ACE271DDF0E3_.wvu.PrintArea" localSheetId="41" hidden="1">'264265'!$A$1:$E$60,'264265'!$G$1:$N$60</definedName>
    <definedName name="Z_4826FCC0_BDD6_4B2C_ACC6_ACE271DDF0E3_.wvu.PrintArea" localSheetId="42" hidden="1">'266'!$A$1:$G$39</definedName>
    <definedName name="Z_4826FCC0_BDD6_4B2C_ACC6_ACE271DDF0E3_.wvu.PrintArea" localSheetId="43" hidden="1">'267'!$A$1:$G$35</definedName>
    <definedName name="Z_4826FCC0_BDD6_4B2C_ACC6_ACE271DDF0E3_.wvu.PrintArea" localSheetId="44" hidden="1">'300'!$A$1:$J$51</definedName>
    <definedName name="Z_4826FCC0_BDD6_4B2C_ACC6_ACE271DDF0E3_.wvu.PrintArea" localSheetId="45" hidden="1">'301'!$A$1:$H$73</definedName>
    <definedName name="Z_4826FCC0_BDD6_4B2C_ACC6_ACE271DDF0E3_.wvu.PrintArea" localSheetId="46" hidden="1">'302304'!$A$1:$R$127</definedName>
    <definedName name="Z_4826FCC0_BDD6_4B2C_ACC6_ACE271DDF0E3_.wvu.PrintArea" localSheetId="47" hidden="1">'305'!$A$1:$J$46</definedName>
    <definedName name="Z_4826FCC0_BDD6_4B2C_ACC6_ACE271DDF0E3_.wvu.PrintArea" localSheetId="48" hidden="1">'306'!$A$1:$F$65</definedName>
    <definedName name="Z_4826FCC0_BDD6_4B2C_ACC6_ACE271DDF0E3_.wvu.PrintArea" localSheetId="49" hidden="1">'307309'!$A$1:$E$178</definedName>
    <definedName name="Z_4826FCC0_BDD6_4B2C_ACC6_ACE271DDF0E3_.wvu.PrintArea" localSheetId="50" hidden="1">'310'!$A$1:$F$63</definedName>
    <definedName name="Z_4826FCC0_BDD6_4B2C_ACC6_ACE271DDF0E3_.wvu.PrintArea" localSheetId="51" hidden="1">'311312'!$A$1:$N$71</definedName>
    <definedName name="Z_4826FCC0_BDD6_4B2C_ACC6_ACE271DDF0E3_.wvu.PrintArea" localSheetId="52" hidden="1">'313'!$A$1:$E$63</definedName>
    <definedName name="Z_4826FCC0_BDD6_4B2C_ACC6_ACE271DDF0E3_.wvu.PrintArea" localSheetId="53" hidden="1">'314'!$A$1:$F$69</definedName>
    <definedName name="Z_4826FCC0_BDD6_4B2C_ACC6_ACE271DDF0E3_.wvu.PrintArea" localSheetId="54" hidden="1">'314_attachment'!$A$1:$J$96</definedName>
    <definedName name="Z_4826FCC0_BDD6_4B2C_ACC6_ACE271DDF0E3_.wvu.PrintArea" localSheetId="55" hidden="1">'315'!$A$1:$G$61</definedName>
    <definedName name="Z_4826FCC0_BDD6_4B2C_ACC6_ACE271DDF0E3_.wvu.PrintArea" localSheetId="56" hidden="1">'316'!$A$1:$E$60</definedName>
    <definedName name="Z_4826FCC0_BDD6_4B2C_ACC6_ACE271DDF0E3_.wvu.PrintArea" localSheetId="57" hidden="1">'317'!$A$1:$F$49</definedName>
    <definedName name="Z_4826FCC0_BDD6_4B2C_ACC6_ACE271DDF0E3_.wvu.PrintArea" localSheetId="58" hidden="1">'318320'!$A$1:$E$187</definedName>
    <definedName name="Z_4826FCC0_BDD6_4B2C_ACC6_ACE271DDF0E3_.wvu.PrintArea" localSheetId="59" hidden="1">'321'!$A$1:$D$62</definedName>
    <definedName name="Z_4826FCC0_BDD6_4B2C_ACC6_ACE271DDF0E3_.wvu.PrintArea" localSheetId="60" hidden="1">'350351'!$A$1:$N$64</definedName>
    <definedName name="Z_4826FCC0_BDD6_4B2C_ACC6_ACE271DDF0E3_.wvu.PrintArea" localSheetId="61" hidden="1">'352353'!$A$1:$L$66</definedName>
    <definedName name="Z_4826FCC0_BDD6_4B2C_ACC6_ACE271DDF0E3_.wvu.PrintArea" localSheetId="62" hidden="1">'354'!$A$1:$F$54</definedName>
    <definedName name="Z_4826FCC0_BDD6_4B2C_ACC6_ACE271DDF0E3_.wvu.PrintArea" localSheetId="63" hidden="1">'355356'!$A$1:$F$130</definedName>
    <definedName name="Z_4826FCC0_BDD6_4B2C_ACC6_ACE271DDF0E3_.wvu.PrintArea" localSheetId="64" hidden="1">'357358'!$A$1:$D$130</definedName>
    <definedName name="Z_4826FCC0_BDD6_4B2C_ACC6_ACE271DDF0E3_.wvu.PrintArea" localSheetId="65" hidden="1">'359360'!$A$1:$I$57</definedName>
    <definedName name="Z_4826FCC0_BDD6_4B2C_ACC6_ACE271DDF0E3_.wvu.PrintArea" localSheetId="66" hidden="1">'361362'!$A$1:$L$61</definedName>
    <definedName name="Z_4826FCC0_BDD6_4B2C_ACC6_ACE271DDF0E3_.wvu.PrintArea" localSheetId="67" hidden="1">'363'!$A$1:$D$61</definedName>
    <definedName name="Z_4826FCC0_BDD6_4B2C_ACC6_ACE271DDF0E3_.wvu.PrintArea" localSheetId="68" hidden="1">'364'!$A$1:$H$64</definedName>
    <definedName name="Z_4826FCC0_BDD6_4B2C_ACC6_ACE271DDF0E3_.wvu.PrintArea" localSheetId="69" hidden="1">'365'!$A$1:$F$58</definedName>
    <definedName name="Z_4826FCC0_BDD6_4B2C_ACC6_ACE271DDF0E3_.wvu.PrintArea" localSheetId="70" hidden="1">'366'!$A$1:$F$60</definedName>
    <definedName name="Z_4826FCC0_BDD6_4B2C_ACC6_ACE271DDF0E3_.wvu.PrintArea" localSheetId="71" hidden="1">'367'!$A$1:$E$65</definedName>
    <definedName name="Z_4826FCC0_BDD6_4B2C_ACC6_ACE271DDF0E3_.wvu.PrintArea" localSheetId="72" hidden="1">'400'!$A$1:$P$48</definedName>
    <definedName name="Z_4826FCC0_BDD6_4B2C_ACC6_ACE271DDF0E3_.wvu.PrintArea" localSheetId="73" hidden="1">'401'!$A$1:$N$54</definedName>
    <definedName name="Z_4826FCC0_BDD6_4B2C_ACC6_ACE271DDF0E3_.wvu.PrintArea" localSheetId="74" hidden="1">'402'!$A$1:$N$64,'402'!$A$66:$N$129,'402'!$A$131:$N$194,'402'!$A$196:$N$260</definedName>
    <definedName name="Z_4826FCC0_BDD6_4B2C_ACC6_ACE271DDF0E3_.wvu.PrintArea" localSheetId="75" hidden="1">'403404'!$A$1:$G$67,'403404'!$I$1:$R$67,'403404'!$T$1:$AB$67,'403404'!$AD$1:$AL$67</definedName>
    <definedName name="Z_4826FCC0_BDD6_4B2C_ACC6_ACE271DDF0E3_.wvu.PrintArea" localSheetId="76" hidden="1">'405'!$A$1:$I$1155</definedName>
    <definedName name="Z_4826FCC0_BDD6_4B2C_ACC6_ACE271DDF0E3_.wvu.PrintArea" localSheetId="77" hidden="1">'406'!$A$1:$J$49</definedName>
    <definedName name="Z_4826FCC0_BDD6_4B2C_ACC6_ACE271DDF0E3_.wvu.PrintArea" localSheetId="78" hidden="1">'407408'!$A$1:$L$250</definedName>
    <definedName name="Z_4826FCC0_BDD6_4B2C_ACC6_ACE271DDF0E3_.wvu.PrintArea" localSheetId="3" hidden="1">Cover!$A$1:$J$43</definedName>
    <definedName name="Z_4826FCC0_BDD6_4B2C_ACC6_ACE271DDF0E3_.wvu.PrintArea" localSheetId="2" hidden="1">'Data sheet'!$A$1:$H$70</definedName>
    <definedName name="Z_4826FCC0_BDD6_4B2C_ACC6_ACE271DDF0E3_.wvu.PrintArea" localSheetId="4" hidden="1">Instructions!$A$1:$E$57</definedName>
    <definedName name="Z_4826FCC0_BDD6_4B2C_ACC6_ACE271DDF0E3_.wvu.PrintArea" localSheetId="5" hidden="1">Schedules!$A$1:$I$120</definedName>
    <definedName name="Z_4826FCC0_BDD6_4B2C_ACC6_ACE271DDF0E3_.wvu.PrintArea" localSheetId="83" hidden="1">Verify!$A$1:$C$65</definedName>
    <definedName name="Z_4826FCC0_BDD6_4B2C_ACC6_ACE271DDF0E3_.wvu.PrintArea" localSheetId="84" hidden="1">Zindex!$A$1:$D$106</definedName>
    <definedName name="Z_4826FCC0_BDD6_4B2C_ACC6_ACE271DDF0E3_.wvu.PrintTitles" localSheetId="20" hidden="1">'206'!$1:$12</definedName>
    <definedName name="Z_78BB1E60_60BE_4F56_9763_075185EFEFAB_.wvu.Cols" localSheetId="29" hidden="1">'215'!$D:$D,'215'!$G:$H</definedName>
    <definedName name="Z_78BB1E60_60BE_4F56_9763_075185EFEFAB_.wvu.Cols" localSheetId="5" hidden="1">Schedules!$E:$F</definedName>
    <definedName name="Z_78BB1E60_60BE_4F56_9763_075185EFEFAB_.wvu.PrintArea" localSheetId="6" hidden="1">'101'!$B$1:$F$58</definedName>
    <definedName name="Z_78BB1E60_60BE_4F56_9763_075185EFEFAB_.wvu.PrintArea" localSheetId="7" hidden="1">'102103'!$A$1:$J$114</definedName>
    <definedName name="Z_78BB1E60_60BE_4F56_9763_075185EFEFAB_.wvu.PrintArea" localSheetId="8" hidden="1">'104105'!$A$1:$O$63</definedName>
    <definedName name="Z_78BB1E60_60BE_4F56_9763_075185EFEFAB_.wvu.PrintArea" localSheetId="9" hidden="1">'106107'!$A$1:$F$115</definedName>
    <definedName name="Z_78BB1E60_60BE_4F56_9763_075185EFEFAB_.wvu.PrintArea" localSheetId="10" hidden="1">'108109'!$A$1:$G$113</definedName>
    <definedName name="Z_78BB1E60_60BE_4F56_9763_075185EFEFAB_.wvu.PrintArea" localSheetId="11" hidden="1">'110'!$A$1:$C$54</definedName>
    <definedName name="Z_78BB1E60_60BE_4F56_9763_075185EFEFAB_.wvu.PrintArea" localSheetId="12" hidden="1">'111113'!$A$1:$L$156</definedName>
    <definedName name="Z_78BB1E60_60BE_4F56_9763_075185EFEFAB_.wvu.PrintArea" localSheetId="13" hidden="1">'114115'!$A$1:$F$121</definedName>
    <definedName name="Z_78BB1E60_60BE_4F56_9763_075185EFEFAB_.wvu.PrintArea" localSheetId="14" hidden="1">'116119'!$A$1:$H$58,'116119'!$J$1:$P$58,'116119'!$A$60:$H$120,'116119'!$J$60:$P$120</definedName>
    <definedName name="Z_78BB1E60_60BE_4F56_9763_075185EFEFAB_.wvu.PrintArea" localSheetId="15" hidden="1">'120121'!$A$1:$I$125</definedName>
    <definedName name="Z_78BB1E60_60BE_4F56_9763_075185EFEFAB_.wvu.PrintArea" localSheetId="16" hidden="1">'122123'!$A$1:$F$131</definedName>
    <definedName name="Z_78BB1E60_60BE_4F56_9763_075185EFEFAB_.wvu.PrintArea" localSheetId="17" hidden="1">'124125'!$A$1:$I$132</definedName>
    <definedName name="Z_78BB1E60_60BE_4F56_9763_075185EFEFAB_.wvu.PrintArea" localSheetId="18" hidden="1">'200201'!$A$1:$E$63,'200201'!$G$1:$L$63</definedName>
    <definedName name="Z_78BB1E60_60BE_4F56_9763_075185EFEFAB_.wvu.PrintArea" localSheetId="19" hidden="1">'202205'!$A$1:$E$64,'202205'!$G$1:$L$64,'202205'!$A$66:$E$129,'202205'!$G$66:$L$129</definedName>
    <definedName name="Z_78BB1E60_60BE_4F56_9763_075185EFEFAB_.wvu.PrintArea" localSheetId="20" hidden="1">'206'!$A$1:$E$273</definedName>
    <definedName name="Z_78BB1E60_60BE_4F56_9763_075185EFEFAB_.wvu.PrintArea" localSheetId="21" hidden="1">'207'!$A$1:$E$64</definedName>
    <definedName name="Z_78BB1E60_60BE_4F56_9763_075185EFEFAB_.wvu.PrintArea" localSheetId="22" hidden="1">'208'!$A$1:$G$66,'208'!$A$69:$G$130</definedName>
    <definedName name="Z_78BB1E60_60BE_4F56_9763_075185EFEFAB_.wvu.PrintArea" localSheetId="23" hidden="1">'209'!$A$1:$F$50</definedName>
    <definedName name="Z_78BB1E60_60BE_4F56_9763_075185EFEFAB_.wvu.PrintArea" localSheetId="24" hidden="1">'210'!$A$1:$I$47</definedName>
    <definedName name="Z_78BB1E60_60BE_4F56_9763_075185EFEFAB_.wvu.PrintArea" localSheetId="25" hidden="1">'211'!$A$1:$G$64</definedName>
    <definedName name="Z_78BB1E60_60BE_4F56_9763_075185EFEFAB_.wvu.PrintArea" localSheetId="26" hidden="1">'212'!$A$1:$D$68</definedName>
    <definedName name="Z_78BB1E60_60BE_4F56_9763_075185EFEFAB_.wvu.PrintArea" localSheetId="27" hidden="1">'213'!$A$1:$G$61</definedName>
    <definedName name="Z_78BB1E60_60BE_4F56_9763_075185EFEFAB_.wvu.PrintArea" localSheetId="28" hidden="1">'214'!$A$1:$H$68</definedName>
    <definedName name="Z_78BB1E60_60BE_4F56_9763_075185EFEFAB_.wvu.PrintArea" localSheetId="29" hidden="1">'215'!$A$1:$I$63</definedName>
    <definedName name="Z_78BB1E60_60BE_4F56_9763_075185EFEFAB_.wvu.PrintArea" localSheetId="30" hidden="1">'216'!$A$1:$H$66</definedName>
    <definedName name="Z_78BB1E60_60BE_4F56_9763_075185EFEFAB_.wvu.PrintArea" localSheetId="31" hidden="1">'217'!$A$1:$F$61</definedName>
    <definedName name="Z_78BB1E60_60BE_4F56_9763_075185EFEFAB_.wvu.PrintArea" localSheetId="32" hidden="1">'250251'!$A$1:$M$64</definedName>
    <definedName name="Z_78BB1E60_60BE_4F56_9763_075185EFEFAB_.wvu.PrintArea" localSheetId="33" hidden="1">'252'!$A$1:$F$63</definedName>
    <definedName name="Z_78BB1E60_60BE_4F56_9763_075185EFEFAB_.wvu.PrintArea" localSheetId="34" hidden="1">'253'!$A$1:$F$65</definedName>
    <definedName name="Z_78BB1E60_60BE_4F56_9763_075185EFEFAB_.wvu.PrintArea" localSheetId="35" hidden="1">'254'!$A$1:$E$60</definedName>
    <definedName name="Z_78BB1E60_60BE_4F56_9763_075185EFEFAB_.wvu.PrintArea" localSheetId="36" hidden="1">'255'!$A$1:$H$69</definedName>
    <definedName name="Z_78BB1E60_60BE_4F56_9763_075185EFEFAB_.wvu.PrintArea" localSheetId="37" hidden="1">'256257'!$A$1:$E$65,'256257'!$G$1:$M$65,'256257'!$A$67:$E$128,'256257'!$G$67:$M$128</definedName>
    <definedName name="Z_78BB1E60_60BE_4F56_9763_075185EFEFAB_.wvu.PrintArea" localSheetId="38" hidden="1">'258260'!$A$1:$G$67,'258260'!$I$1:$O$67,'258260'!$A$69:$G$125</definedName>
    <definedName name="Z_78BB1E60_60BE_4F56_9763_075185EFEFAB_.wvu.PrintArea" localSheetId="39" hidden="1">'261'!$A$1:$G$57</definedName>
    <definedName name="Z_78BB1E60_60BE_4F56_9763_075185EFEFAB_.wvu.PrintArea" localSheetId="40" hidden="1">'262263'!$A$1:$H$56,'262263'!$J$1:$O$56</definedName>
    <definedName name="Z_78BB1E60_60BE_4F56_9763_075185EFEFAB_.wvu.PrintArea" localSheetId="41" hidden="1">'264265'!$A$1:$E$60,'264265'!$G$1:$N$60</definedName>
    <definedName name="Z_78BB1E60_60BE_4F56_9763_075185EFEFAB_.wvu.PrintArea" localSheetId="42" hidden="1">'266'!$A$1:$G$39</definedName>
    <definedName name="Z_78BB1E60_60BE_4F56_9763_075185EFEFAB_.wvu.PrintArea" localSheetId="43" hidden="1">'267'!$A$1:$G$35</definedName>
    <definedName name="Z_78BB1E60_60BE_4F56_9763_075185EFEFAB_.wvu.PrintArea" localSheetId="44" hidden="1">'300'!$A$1:$I$51</definedName>
    <definedName name="Z_78BB1E60_60BE_4F56_9763_075185EFEFAB_.wvu.PrintArea" localSheetId="45" hidden="1">'301'!$A$1:$H$73</definedName>
    <definedName name="Z_78BB1E60_60BE_4F56_9763_075185EFEFAB_.wvu.PrintArea" localSheetId="46" hidden="1">'302304'!$A$1:$R$127</definedName>
    <definedName name="Z_78BB1E60_60BE_4F56_9763_075185EFEFAB_.wvu.PrintArea" localSheetId="47" hidden="1">'305'!$A$1:$J$46</definedName>
    <definedName name="Z_78BB1E60_60BE_4F56_9763_075185EFEFAB_.wvu.PrintArea" localSheetId="48" hidden="1">'306'!$A$1:$F$65</definedName>
    <definedName name="Z_78BB1E60_60BE_4F56_9763_075185EFEFAB_.wvu.PrintArea" localSheetId="49" hidden="1">'307309'!$A$1:$E$178</definedName>
    <definedName name="Z_78BB1E60_60BE_4F56_9763_075185EFEFAB_.wvu.PrintArea" localSheetId="50" hidden="1">'310'!$A$1:$F$63</definedName>
    <definedName name="Z_78BB1E60_60BE_4F56_9763_075185EFEFAB_.wvu.PrintArea" localSheetId="51" hidden="1">'311312'!$A$1:$N$77</definedName>
    <definedName name="Z_78BB1E60_60BE_4F56_9763_075185EFEFAB_.wvu.PrintArea" localSheetId="52" hidden="1">'313'!$A$1:$E$63</definedName>
    <definedName name="Z_78BB1E60_60BE_4F56_9763_075185EFEFAB_.wvu.PrintArea" localSheetId="53" hidden="1">'314'!$A$1:$F$69</definedName>
    <definedName name="Z_78BB1E60_60BE_4F56_9763_075185EFEFAB_.wvu.PrintArea" localSheetId="54" hidden="1">'314_attachment'!$A$1:$J$96</definedName>
    <definedName name="Z_78BB1E60_60BE_4F56_9763_075185EFEFAB_.wvu.PrintArea" localSheetId="55" hidden="1">'315'!$A$1:$G$61</definedName>
    <definedName name="Z_78BB1E60_60BE_4F56_9763_075185EFEFAB_.wvu.PrintArea" localSheetId="56" hidden="1">'316'!$A$1:$E$60</definedName>
    <definedName name="Z_78BB1E60_60BE_4F56_9763_075185EFEFAB_.wvu.PrintArea" localSheetId="57" hidden="1">'317'!$A$1:$F$49</definedName>
    <definedName name="Z_78BB1E60_60BE_4F56_9763_075185EFEFAB_.wvu.PrintArea" localSheetId="58" hidden="1">'318320'!$A$1:$E$186</definedName>
    <definedName name="Z_78BB1E60_60BE_4F56_9763_075185EFEFAB_.wvu.PrintArea" localSheetId="59" hidden="1">'321'!$A$1:$D$62</definedName>
    <definedName name="Z_78BB1E60_60BE_4F56_9763_075185EFEFAB_.wvu.PrintArea" localSheetId="60" hidden="1">'350351'!$A$1:$N$64</definedName>
    <definedName name="Z_78BB1E60_60BE_4F56_9763_075185EFEFAB_.wvu.PrintArea" localSheetId="61" hidden="1">'352353'!$A$1:$L$65</definedName>
    <definedName name="Z_78BB1E60_60BE_4F56_9763_075185EFEFAB_.wvu.PrintArea" localSheetId="62" hidden="1">'354'!$A$1:$F$54</definedName>
    <definedName name="Z_78BB1E60_60BE_4F56_9763_075185EFEFAB_.wvu.PrintArea" localSheetId="63" hidden="1">'355356'!$A$1:$F$142</definedName>
    <definedName name="Z_78BB1E60_60BE_4F56_9763_075185EFEFAB_.wvu.PrintArea" localSheetId="64" hidden="1">'357358'!$A$1:$D$130</definedName>
    <definedName name="Z_78BB1E60_60BE_4F56_9763_075185EFEFAB_.wvu.PrintArea" localSheetId="65" hidden="1">'359360'!$A$1:$I$57</definedName>
    <definedName name="Z_78BB1E60_60BE_4F56_9763_075185EFEFAB_.wvu.PrintArea" localSheetId="66" hidden="1">'361362'!$A$1:$L$61</definedName>
    <definedName name="Z_78BB1E60_60BE_4F56_9763_075185EFEFAB_.wvu.PrintArea" localSheetId="67" hidden="1">'363'!$A$1:$D$61</definedName>
    <definedName name="Z_78BB1E60_60BE_4F56_9763_075185EFEFAB_.wvu.PrintArea" localSheetId="68" hidden="1">'364'!$A$1:$G$64</definedName>
    <definedName name="Z_78BB1E60_60BE_4F56_9763_075185EFEFAB_.wvu.PrintArea" localSheetId="69" hidden="1">'365'!$A$1:$F$58</definedName>
    <definedName name="Z_78BB1E60_60BE_4F56_9763_075185EFEFAB_.wvu.PrintArea" localSheetId="70" hidden="1">'366'!$A$1:$F$60</definedName>
    <definedName name="Z_78BB1E60_60BE_4F56_9763_075185EFEFAB_.wvu.PrintArea" localSheetId="71" hidden="1">'367'!$A$1:$E$65</definedName>
    <definedName name="Z_78BB1E60_60BE_4F56_9763_075185EFEFAB_.wvu.PrintArea" localSheetId="72" hidden="1">'400'!$A$1:$P$48</definedName>
    <definedName name="Z_78BB1E60_60BE_4F56_9763_075185EFEFAB_.wvu.PrintArea" localSheetId="73" hidden="1">'401'!$A$1:$N$54</definedName>
    <definedName name="Z_78BB1E60_60BE_4F56_9763_075185EFEFAB_.wvu.PrintArea" localSheetId="74" hidden="1">'402'!$A$1:$N$184</definedName>
    <definedName name="Z_78BB1E60_60BE_4F56_9763_075185EFEFAB_.wvu.PrintArea" localSheetId="75" hidden="1">'403404'!$A$1:$AR$67</definedName>
    <definedName name="Z_78BB1E60_60BE_4F56_9763_075185EFEFAB_.wvu.PrintArea" localSheetId="76" hidden="1">'405'!$A$1:$I$1155</definedName>
    <definedName name="Z_78BB1E60_60BE_4F56_9763_075185EFEFAB_.wvu.PrintArea" localSheetId="77" hidden="1">'406'!$A$1:$J$49</definedName>
    <definedName name="Z_78BB1E60_60BE_4F56_9763_075185EFEFAB_.wvu.PrintArea" localSheetId="78" hidden="1">'407408'!$A$1:$L$251</definedName>
    <definedName name="Z_78BB1E60_60BE_4F56_9763_075185EFEFAB_.wvu.PrintArea" localSheetId="81" hidden="1">'411412'!$A$1:$L$111</definedName>
    <definedName name="Z_78BB1E60_60BE_4F56_9763_075185EFEFAB_.wvu.PrintArea" localSheetId="82" hidden="1">Book!$A$1:$C$438</definedName>
    <definedName name="Z_78BB1E60_60BE_4F56_9763_075185EFEFAB_.wvu.PrintArea" localSheetId="3" hidden="1">Cover!$A$1:$J$43</definedName>
    <definedName name="Z_78BB1E60_60BE_4F56_9763_075185EFEFAB_.wvu.PrintArea" localSheetId="2" hidden="1">'Data sheet'!$A$1:$H$70</definedName>
    <definedName name="Z_78BB1E60_60BE_4F56_9763_075185EFEFAB_.wvu.PrintArea" localSheetId="4" hidden="1">Instructions!$A$1:$E$57</definedName>
    <definedName name="Z_78BB1E60_60BE_4F56_9763_075185EFEFAB_.wvu.PrintArea" localSheetId="5" hidden="1">Schedules!$A$1:$I$119</definedName>
    <definedName name="Z_78BB1E60_60BE_4F56_9763_075185EFEFAB_.wvu.PrintArea" localSheetId="83" hidden="1">Verify!$A$1:$C$65</definedName>
    <definedName name="Z_78BB1E60_60BE_4F56_9763_075185EFEFAB_.wvu.PrintArea" localSheetId="84" hidden="1">Zindex!$A$1:$D$106</definedName>
    <definedName name="Z_78BB1E60_60BE_4F56_9763_075185EFEFAB_.wvu.PrintTitles" localSheetId="20" hidden="1">'206'!$1:$12</definedName>
    <definedName name="Z_9C30803E_1E2D_4850_B0A5_591CA6F246A1_.wvu.PrintArea" localSheetId="6" hidden="1">'101'!$B$1:$F$58</definedName>
    <definedName name="Z_9C30803E_1E2D_4850_B0A5_591CA6F246A1_.wvu.PrintArea" localSheetId="9" hidden="1">'106107'!$A$1:$F$115</definedName>
    <definedName name="Z_9C30803E_1E2D_4850_B0A5_591CA6F246A1_.wvu.PrintArea" localSheetId="20" hidden="1">'206'!$A$1:$E$273</definedName>
    <definedName name="Z_9C30803E_1E2D_4850_B0A5_591CA6F246A1_.wvu.PrintArea" localSheetId="44" hidden="1">'300'!$A$1:$I$51</definedName>
    <definedName name="Z_9C30803E_1E2D_4850_B0A5_591CA6F246A1_.wvu.PrintArea" localSheetId="51" hidden="1">'311312'!$A$1:$N$77</definedName>
    <definedName name="Z_9C30803E_1E2D_4850_B0A5_591CA6F246A1_.wvu.PrintArea" localSheetId="58" hidden="1">'318320'!$A$1:$E$186</definedName>
    <definedName name="Z_9C30803E_1E2D_4850_B0A5_591CA6F246A1_.wvu.PrintArea" localSheetId="61" hidden="1">'352353'!$A$1:$L$65</definedName>
    <definedName name="Z_9C30803E_1E2D_4850_B0A5_591CA6F246A1_.wvu.PrintArea" localSheetId="74" hidden="1">'402'!$A$1:$N$184</definedName>
    <definedName name="Z_9C30803E_1E2D_4850_B0A5_591CA6F246A1_.wvu.PrintArea" localSheetId="75" hidden="1">'403404'!$A$1:$AR$67</definedName>
    <definedName name="Z_9C30803E_1E2D_4850_B0A5_591CA6F246A1_.wvu.PrintArea" localSheetId="78" hidden="1">'407408'!$A$1:$L$251</definedName>
    <definedName name="Z_9C30803E_1E2D_4850_B0A5_591CA6F246A1_.wvu.PrintArea" localSheetId="5" hidden="1">Schedules!$A$1:$I$119</definedName>
    <definedName name="Z_A7D7DB3C_AFE6_468E_8C6B_9531F6711497_.wvu.Cols" localSheetId="29" hidden="1">'215'!$D:$D,'215'!$G:$H</definedName>
    <definedName name="Z_A7D7DB3C_AFE6_468E_8C6B_9531F6711497_.wvu.Cols" localSheetId="5" hidden="1">Schedules!$E:$F</definedName>
    <definedName name="Z_A7D7DB3C_AFE6_468E_8C6B_9531F6711497_.wvu.PrintArea" localSheetId="8" hidden="1">'104105'!$A$1:$O$63</definedName>
    <definedName name="Z_A7D7DB3C_AFE6_468E_8C6B_9531F6711497_.wvu.PrintArea" localSheetId="10" hidden="1">'108109'!$A$1:$G$112</definedName>
    <definedName name="Z_A7D7DB3C_AFE6_468E_8C6B_9531F6711497_.wvu.PrintArea" localSheetId="12" hidden="1">'111113'!$A$1:$L$156</definedName>
    <definedName name="Z_A7D7DB3C_AFE6_468E_8C6B_9531F6711497_.wvu.PrintArea" localSheetId="13" hidden="1">'114115'!$A$1:$F$122</definedName>
    <definedName name="Z_A7D7DB3C_AFE6_468E_8C6B_9531F6711497_.wvu.PrintArea" localSheetId="14" hidden="1">'116119'!$A$1:$P$119</definedName>
    <definedName name="Z_A7D7DB3C_AFE6_468E_8C6B_9531F6711497_.wvu.PrintArea" localSheetId="15" hidden="1">'120121'!$A$1:$H$125</definedName>
    <definedName name="Z_A7D7DB3C_AFE6_468E_8C6B_9531F6711497_.wvu.PrintArea" localSheetId="16" hidden="1">'122123'!$A$1:$F$131</definedName>
    <definedName name="Z_A7D7DB3C_AFE6_468E_8C6B_9531F6711497_.wvu.PrintArea" localSheetId="17" hidden="1">'124125'!$A$1:$I$132</definedName>
    <definedName name="Z_A7D7DB3C_AFE6_468E_8C6B_9531F6711497_.wvu.PrintArea" localSheetId="18" hidden="1">'200201'!$A$1:$L$63</definedName>
    <definedName name="Z_A7D7DB3C_AFE6_468E_8C6B_9531F6711497_.wvu.PrintArea" localSheetId="19" hidden="1">'202205'!$A$1:$L$129</definedName>
    <definedName name="Z_A7D7DB3C_AFE6_468E_8C6B_9531F6711497_.wvu.PrintArea" localSheetId="20" hidden="1">'206'!$A$1:$E$210</definedName>
    <definedName name="Z_A7D7DB3C_AFE6_468E_8C6B_9531F6711497_.wvu.PrintArea" localSheetId="21" hidden="1">'207'!$A$1:$E$64</definedName>
    <definedName name="Z_A7D7DB3C_AFE6_468E_8C6B_9531F6711497_.wvu.PrintArea" localSheetId="22" hidden="1">'208'!$A$1:$G$66</definedName>
    <definedName name="Z_A7D7DB3C_AFE6_468E_8C6B_9531F6711497_.wvu.PrintArea" localSheetId="23" hidden="1">'209'!$A$1:$F$50</definedName>
    <definedName name="Z_A7D7DB3C_AFE6_468E_8C6B_9531F6711497_.wvu.PrintArea" localSheetId="27" hidden="1">'213'!$A$1:$G$61</definedName>
    <definedName name="Z_A7D7DB3C_AFE6_468E_8C6B_9531F6711497_.wvu.PrintArea" localSheetId="29" hidden="1">'215'!$A$1:$F$62</definedName>
    <definedName name="Z_A7D7DB3C_AFE6_468E_8C6B_9531F6711497_.wvu.PrintArea" localSheetId="30" hidden="1">'216'!$A$1:$G$65</definedName>
    <definedName name="Z_A7D7DB3C_AFE6_468E_8C6B_9531F6711497_.wvu.PrintArea" localSheetId="31" hidden="1">'217'!$A$1:$F$61</definedName>
    <definedName name="Z_A7D7DB3C_AFE6_468E_8C6B_9531F6711497_.wvu.PrintArea" localSheetId="32" hidden="1">'250251'!$A$1:$M$64</definedName>
    <definedName name="Z_A7D7DB3C_AFE6_468E_8C6B_9531F6711497_.wvu.PrintArea" localSheetId="33" hidden="1">'252'!$A$1:$F$63</definedName>
    <definedName name="Z_A7D7DB3C_AFE6_468E_8C6B_9531F6711497_.wvu.PrintArea" localSheetId="35" hidden="1">'254'!$A$1:$E$60</definedName>
    <definedName name="Z_A7D7DB3C_AFE6_468E_8C6B_9531F6711497_.wvu.PrintArea" localSheetId="36" hidden="1">'255'!$A$1:$G$69</definedName>
    <definedName name="Z_A7D7DB3C_AFE6_468E_8C6B_9531F6711497_.wvu.PrintArea" localSheetId="37" hidden="1">'256257'!$A$1:$M$127</definedName>
    <definedName name="Z_A7D7DB3C_AFE6_468E_8C6B_9531F6711497_.wvu.PrintArea" localSheetId="38" hidden="1">'258260'!$A$1:$O$124</definedName>
    <definedName name="Z_A7D7DB3C_AFE6_468E_8C6B_9531F6711497_.wvu.PrintArea" localSheetId="39" hidden="1">'261'!$A$1:$H$56</definedName>
    <definedName name="Z_A7D7DB3C_AFE6_468E_8C6B_9531F6711497_.wvu.PrintArea" localSheetId="40" hidden="1">'262263'!$A$1:$O$56</definedName>
    <definedName name="Z_A7D7DB3C_AFE6_468E_8C6B_9531F6711497_.wvu.PrintArea" localSheetId="41" hidden="1">'264265'!$A$1:$N$60</definedName>
    <definedName name="Z_A7D7DB3C_AFE6_468E_8C6B_9531F6711497_.wvu.PrintArea" localSheetId="42" hidden="1">'266'!$A$1:$G$39</definedName>
    <definedName name="Z_A7D7DB3C_AFE6_468E_8C6B_9531F6711497_.wvu.PrintArea" localSheetId="44" hidden="1">'300'!$A$1:$J$51</definedName>
    <definedName name="Z_A7D7DB3C_AFE6_468E_8C6B_9531F6711497_.wvu.PrintArea" localSheetId="45" hidden="1">'301'!$A$1:$G$73</definedName>
    <definedName name="Z_A7D7DB3C_AFE6_468E_8C6B_9531F6711497_.wvu.PrintArea" localSheetId="49" hidden="1">'307309'!$A$1:$E$179</definedName>
    <definedName name="Z_A7D7DB3C_AFE6_468E_8C6B_9531F6711497_.wvu.PrintArea" localSheetId="51" hidden="1">'311312'!$A$1:$N$69</definedName>
    <definedName name="Z_A7D7DB3C_AFE6_468E_8C6B_9531F6711497_.wvu.PrintArea" localSheetId="52" hidden="1">'313'!$A$1:$E$63</definedName>
    <definedName name="Z_A7D7DB3C_AFE6_468E_8C6B_9531F6711497_.wvu.PrintArea" localSheetId="53" hidden="1">'314'!$A$1:$E$69</definedName>
    <definedName name="Z_A7D7DB3C_AFE6_468E_8C6B_9531F6711497_.wvu.PrintArea" localSheetId="54" hidden="1">'314_attachment'!$A$2:$I$94</definedName>
    <definedName name="Z_A7D7DB3C_AFE6_468E_8C6B_9531F6711497_.wvu.PrintArea" localSheetId="55" hidden="1">'315'!$A$1:$G$61</definedName>
    <definedName name="Z_A7D7DB3C_AFE6_468E_8C6B_9531F6711497_.wvu.PrintArea" localSheetId="58" hidden="1">'318320'!$A$1:$E$186</definedName>
    <definedName name="Z_A7D7DB3C_AFE6_468E_8C6B_9531F6711497_.wvu.PrintArea" localSheetId="60" hidden="1">'350351'!$A$1:$N$64</definedName>
    <definedName name="Z_A7D7DB3C_AFE6_468E_8C6B_9531F6711497_.wvu.PrintArea" localSheetId="61" hidden="1">'352353'!$A$1:$L$66</definedName>
    <definedName name="Z_A7D7DB3C_AFE6_468E_8C6B_9531F6711497_.wvu.PrintArea" localSheetId="62" hidden="1">'354'!$A$1:$F$54</definedName>
    <definedName name="Z_A7D7DB3C_AFE6_468E_8C6B_9531F6711497_.wvu.PrintArea" localSheetId="63" hidden="1">'355356'!$A$1:$E$130</definedName>
    <definedName name="Z_A7D7DB3C_AFE6_468E_8C6B_9531F6711497_.wvu.PrintArea" localSheetId="64" hidden="1">'357358'!$A$1:$D$130</definedName>
    <definedName name="Z_A7D7DB3C_AFE6_468E_8C6B_9531F6711497_.wvu.PrintArea" localSheetId="65" hidden="1">'359360'!$A$1:$I$57</definedName>
    <definedName name="Z_A7D7DB3C_AFE6_468E_8C6B_9531F6711497_.wvu.PrintArea" localSheetId="66" hidden="1">'361362'!$A$1:$L$61</definedName>
    <definedName name="Z_A7D7DB3C_AFE6_468E_8C6B_9531F6711497_.wvu.PrintArea" localSheetId="71" hidden="1">'367'!$A$1:$D$65</definedName>
    <definedName name="Z_A7D7DB3C_AFE6_468E_8C6B_9531F6711497_.wvu.PrintArea" localSheetId="72" hidden="1">'400'!$A$1:$P$48</definedName>
    <definedName name="Z_A7D7DB3C_AFE6_468E_8C6B_9531F6711497_.wvu.PrintArea" localSheetId="73" hidden="1">'401'!$A$1:$N$54</definedName>
    <definedName name="Z_A7D7DB3C_AFE6_468E_8C6B_9531F6711497_.wvu.PrintArea" localSheetId="74" hidden="1">'402'!$A$1:$N$65</definedName>
    <definedName name="Z_A7D7DB3C_AFE6_468E_8C6B_9531F6711497_.wvu.PrintArea" localSheetId="77" hidden="1">'406'!$A$1:$J$49</definedName>
    <definedName name="Z_A7D7DB3C_AFE6_468E_8C6B_9531F6711497_.wvu.PrintArea" localSheetId="78" hidden="1">'407408'!$A$1:$L$250</definedName>
    <definedName name="Z_A7D7DB3C_AFE6_468E_8C6B_9531F6711497_.wvu.PrintArea" localSheetId="3" hidden="1">Cover!$A$1:$J$42</definedName>
    <definedName name="Z_A7D7DB3C_AFE6_468E_8C6B_9531F6711497_.wvu.PrintArea" localSheetId="2" hidden="1">'Data sheet'!$A$1:$H$70</definedName>
    <definedName name="Z_A7D7DB3C_AFE6_468E_8C6B_9531F6711497_.wvu.PrintArea" localSheetId="5" hidden="1">Schedules!$A$1:$I$120</definedName>
    <definedName name="Z_A7D7DB3C_AFE6_468E_8C6B_9531F6711497_.wvu.PrintArea" localSheetId="83" hidden="1">Verify!$A$1:$C$65</definedName>
    <definedName name="Z_A7D7DB3C_AFE6_468E_8C6B_9531F6711497_.wvu.PrintArea" localSheetId="84" hidden="1">Zindex!$A$1:$D$106</definedName>
    <definedName name="Z_C5B6D812_CBE6_46AA_99F7_02494E9802B4_.wvu.Cols" localSheetId="29" hidden="1">'215'!$D:$D,'215'!$G:$H</definedName>
    <definedName name="Z_C5B6D812_CBE6_46AA_99F7_02494E9802B4_.wvu.Cols" localSheetId="5" hidden="1">Schedules!$E:$F</definedName>
    <definedName name="Z_C5B6D812_CBE6_46AA_99F7_02494E9802B4_.wvu.PrintArea" localSheetId="6" hidden="1">'101'!$B$1:$F$58</definedName>
    <definedName name="Z_C5B6D812_CBE6_46AA_99F7_02494E9802B4_.wvu.PrintArea" localSheetId="7" hidden="1">'102103'!$A$1:$J$114</definedName>
    <definedName name="Z_C5B6D812_CBE6_46AA_99F7_02494E9802B4_.wvu.PrintArea" localSheetId="8" hidden="1">'104105'!$A$1:$O$63</definedName>
    <definedName name="Z_C5B6D812_CBE6_46AA_99F7_02494E9802B4_.wvu.PrintArea" localSheetId="9" hidden="1">'106107'!$A$1:$F$115</definedName>
    <definedName name="Z_C5B6D812_CBE6_46AA_99F7_02494E9802B4_.wvu.PrintArea" localSheetId="10" hidden="1">'108109'!$A$1:$G$113</definedName>
    <definedName name="Z_C5B6D812_CBE6_46AA_99F7_02494E9802B4_.wvu.PrintArea" localSheetId="11" hidden="1">'110'!$A$1:$C$54</definedName>
    <definedName name="Z_C5B6D812_CBE6_46AA_99F7_02494E9802B4_.wvu.PrintArea" localSheetId="12" hidden="1">'111113'!$A$1:$L$156</definedName>
    <definedName name="Z_C5B6D812_CBE6_46AA_99F7_02494E9802B4_.wvu.PrintArea" localSheetId="13" hidden="1">'114115'!$A$1:$F$121</definedName>
    <definedName name="Z_C5B6D812_CBE6_46AA_99F7_02494E9802B4_.wvu.PrintArea" localSheetId="14" hidden="1">'116119'!$A$1:$H$58,'116119'!$J$1:$P$58,'116119'!$A$60:$H$120,'116119'!$J$60:$P$120</definedName>
    <definedName name="Z_C5B6D812_CBE6_46AA_99F7_02494E9802B4_.wvu.PrintArea" localSheetId="15" hidden="1">'120121'!$A$1:$I$125</definedName>
    <definedName name="Z_C5B6D812_CBE6_46AA_99F7_02494E9802B4_.wvu.PrintArea" localSheetId="16" hidden="1">'122123'!$A$1:$F$131</definedName>
    <definedName name="Z_C5B6D812_CBE6_46AA_99F7_02494E9802B4_.wvu.PrintArea" localSheetId="17" hidden="1">'124125'!$A$1:$I$132</definedName>
    <definedName name="Z_C5B6D812_CBE6_46AA_99F7_02494E9802B4_.wvu.PrintArea" localSheetId="18" hidden="1">'200201'!$A$1:$E$63,'200201'!$G$1:$L$63</definedName>
    <definedName name="Z_C5B6D812_CBE6_46AA_99F7_02494E9802B4_.wvu.PrintArea" localSheetId="19" hidden="1">'202205'!$A$1:$E$64,'202205'!$G$1:$L$64,'202205'!$A$66:$E$129,'202205'!$G$66:$L$129</definedName>
    <definedName name="Z_C5B6D812_CBE6_46AA_99F7_02494E9802B4_.wvu.PrintArea" localSheetId="20" hidden="1">'206'!$A$1:$E$273</definedName>
    <definedName name="Z_C5B6D812_CBE6_46AA_99F7_02494E9802B4_.wvu.PrintArea" localSheetId="21" hidden="1">'207'!$A$1:$E$64</definedName>
    <definedName name="Z_C5B6D812_CBE6_46AA_99F7_02494E9802B4_.wvu.PrintArea" localSheetId="22" hidden="1">'208'!$A$1:$G$66,'208'!$A$69:$G$130</definedName>
    <definedName name="Z_C5B6D812_CBE6_46AA_99F7_02494E9802B4_.wvu.PrintArea" localSheetId="23" hidden="1">'209'!$A$1:$F$50</definedName>
    <definedName name="Z_C5B6D812_CBE6_46AA_99F7_02494E9802B4_.wvu.PrintArea" localSheetId="24" hidden="1">'210'!$A$1:$I$47</definedName>
    <definedName name="Z_C5B6D812_CBE6_46AA_99F7_02494E9802B4_.wvu.PrintArea" localSheetId="25" hidden="1">'211'!$A$1:$G$64</definedName>
    <definedName name="Z_C5B6D812_CBE6_46AA_99F7_02494E9802B4_.wvu.PrintArea" localSheetId="26" hidden="1">'212'!$A$1:$D$68</definedName>
    <definedName name="Z_C5B6D812_CBE6_46AA_99F7_02494E9802B4_.wvu.PrintArea" localSheetId="27" hidden="1">'213'!$A$1:$G$61</definedName>
    <definedName name="Z_C5B6D812_CBE6_46AA_99F7_02494E9802B4_.wvu.PrintArea" localSheetId="28" hidden="1">'214'!$A$1:$H$68</definedName>
    <definedName name="Z_C5B6D812_CBE6_46AA_99F7_02494E9802B4_.wvu.PrintArea" localSheetId="29" hidden="1">'215'!$A$1:$I$63</definedName>
    <definedName name="Z_C5B6D812_CBE6_46AA_99F7_02494E9802B4_.wvu.PrintArea" localSheetId="30" hidden="1">'216'!$A$1:$H$66</definedName>
    <definedName name="Z_C5B6D812_CBE6_46AA_99F7_02494E9802B4_.wvu.PrintArea" localSheetId="31" hidden="1">'217'!$A$1:$F$61</definedName>
    <definedName name="Z_C5B6D812_CBE6_46AA_99F7_02494E9802B4_.wvu.PrintArea" localSheetId="32" hidden="1">'250251'!$A$1:$M$64</definedName>
    <definedName name="Z_C5B6D812_CBE6_46AA_99F7_02494E9802B4_.wvu.PrintArea" localSheetId="33" hidden="1">'252'!$A$1:$F$63</definedName>
    <definedName name="Z_C5B6D812_CBE6_46AA_99F7_02494E9802B4_.wvu.PrintArea" localSheetId="34" hidden="1">'253'!$A$1:$F$65</definedName>
    <definedName name="Z_C5B6D812_CBE6_46AA_99F7_02494E9802B4_.wvu.PrintArea" localSheetId="35" hidden="1">'254'!$A$1:$E$60</definedName>
    <definedName name="Z_C5B6D812_CBE6_46AA_99F7_02494E9802B4_.wvu.PrintArea" localSheetId="36" hidden="1">'255'!$A$1:$H$69</definedName>
    <definedName name="Z_C5B6D812_CBE6_46AA_99F7_02494E9802B4_.wvu.PrintArea" localSheetId="37" hidden="1">'256257'!$A$1:$E$65,'256257'!$G$1:$M$65,'256257'!$A$67:$E$128,'256257'!$G$67:$M$128</definedName>
    <definedName name="Z_C5B6D812_CBE6_46AA_99F7_02494E9802B4_.wvu.PrintArea" localSheetId="38" hidden="1">'258260'!$A$1:$G$67,'258260'!$I$1:$O$67,'258260'!$A$69:$G$125</definedName>
    <definedName name="Z_C5B6D812_CBE6_46AA_99F7_02494E9802B4_.wvu.PrintArea" localSheetId="39" hidden="1">'261'!$A$1:$G$57</definedName>
    <definedName name="Z_C5B6D812_CBE6_46AA_99F7_02494E9802B4_.wvu.PrintArea" localSheetId="40" hidden="1">'262263'!$A$1:$H$56,'262263'!$J$1:$O$56</definedName>
    <definedName name="Z_C5B6D812_CBE6_46AA_99F7_02494E9802B4_.wvu.PrintArea" localSheetId="41" hidden="1">'264265'!$A$1:$E$60,'264265'!$G$1:$N$60</definedName>
    <definedName name="Z_C5B6D812_CBE6_46AA_99F7_02494E9802B4_.wvu.PrintArea" localSheetId="42" hidden="1">'266'!$A$1:$G$39</definedName>
    <definedName name="Z_C5B6D812_CBE6_46AA_99F7_02494E9802B4_.wvu.PrintArea" localSheetId="43" hidden="1">'267'!$A$1:$G$35</definedName>
    <definedName name="Z_C5B6D812_CBE6_46AA_99F7_02494E9802B4_.wvu.PrintArea" localSheetId="44" hidden="1">'300'!$A$1:$I$51</definedName>
    <definedName name="Z_C5B6D812_CBE6_46AA_99F7_02494E9802B4_.wvu.PrintArea" localSheetId="45" hidden="1">'301'!$A$1:$H$73</definedName>
    <definedName name="Z_C5B6D812_CBE6_46AA_99F7_02494E9802B4_.wvu.PrintArea" localSheetId="46" hidden="1">'302304'!$A$1:$R$127</definedName>
    <definedName name="Z_C5B6D812_CBE6_46AA_99F7_02494E9802B4_.wvu.PrintArea" localSheetId="47" hidden="1">'305'!$A$1:$J$46</definedName>
    <definedName name="Z_C5B6D812_CBE6_46AA_99F7_02494E9802B4_.wvu.PrintArea" localSheetId="48" hidden="1">'306'!$A$1:$F$65</definedName>
    <definedName name="Z_C5B6D812_CBE6_46AA_99F7_02494E9802B4_.wvu.PrintArea" localSheetId="49" hidden="1">'307309'!$A$1:$E$178</definedName>
    <definedName name="Z_C5B6D812_CBE6_46AA_99F7_02494E9802B4_.wvu.PrintArea" localSheetId="50" hidden="1">'310'!$A$1:$F$63</definedName>
    <definedName name="Z_C5B6D812_CBE6_46AA_99F7_02494E9802B4_.wvu.PrintArea" localSheetId="51" hidden="1">'311312'!$A$1:$N$77</definedName>
    <definedName name="Z_C5B6D812_CBE6_46AA_99F7_02494E9802B4_.wvu.PrintArea" localSheetId="52" hidden="1">'313'!$A$1:$E$63</definedName>
    <definedName name="Z_C5B6D812_CBE6_46AA_99F7_02494E9802B4_.wvu.PrintArea" localSheetId="53" hidden="1">'314'!$A$1:$F$69</definedName>
    <definedName name="Z_C5B6D812_CBE6_46AA_99F7_02494E9802B4_.wvu.PrintArea" localSheetId="54" hidden="1">'314_attachment'!$A:$I</definedName>
    <definedName name="Z_C5B6D812_CBE6_46AA_99F7_02494E9802B4_.wvu.PrintArea" localSheetId="55" hidden="1">'315'!$A$1:$G$61</definedName>
    <definedName name="Z_C5B6D812_CBE6_46AA_99F7_02494E9802B4_.wvu.PrintArea" localSheetId="56" hidden="1">'316'!$A$1:$E$60</definedName>
    <definedName name="Z_C5B6D812_CBE6_46AA_99F7_02494E9802B4_.wvu.PrintArea" localSheetId="57" hidden="1">'317'!$A$1:$F$49</definedName>
    <definedName name="Z_C5B6D812_CBE6_46AA_99F7_02494E9802B4_.wvu.PrintArea" localSheetId="58" hidden="1">'318320'!$A$1:$E$186</definedName>
    <definedName name="Z_C5B6D812_CBE6_46AA_99F7_02494E9802B4_.wvu.PrintArea" localSheetId="59" hidden="1">'321'!$A$1:$D$62</definedName>
    <definedName name="Z_C5B6D812_CBE6_46AA_99F7_02494E9802B4_.wvu.PrintArea" localSheetId="60" hidden="1">'350351'!$A$1:$N$64</definedName>
    <definedName name="Z_C5B6D812_CBE6_46AA_99F7_02494E9802B4_.wvu.PrintArea" localSheetId="61" hidden="1">'352353'!$A$1:$L$65</definedName>
    <definedName name="Z_C5B6D812_CBE6_46AA_99F7_02494E9802B4_.wvu.PrintArea" localSheetId="62" hidden="1">'354'!$A$1:$F$54</definedName>
    <definedName name="Z_C5B6D812_CBE6_46AA_99F7_02494E9802B4_.wvu.PrintArea" localSheetId="63" hidden="1">'355356'!$A$1:$F$142</definedName>
    <definedName name="Z_C5B6D812_CBE6_46AA_99F7_02494E9802B4_.wvu.PrintArea" localSheetId="64" hidden="1">'357358'!$A$1:$D$130</definedName>
    <definedName name="Z_C5B6D812_CBE6_46AA_99F7_02494E9802B4_.wvu.PrintArea" localSheetId="65" hidden="1">'359360'!$A$1:$I$57</definedName>
    <definedName name="Z_C5B6D812_CBE6_46AA_99F7_02494E9802B4_.wvu.PrintArea" localSheetId="66" hidden="1">'361362'!$A$1:$L$61</definedName>
    <definedName name="Z_C5B6D812_CBE6_46AA_99F7_02494E9802B4_.wvu.PrintArea" localSheetId="67" hidden="1">'363'!$A$1:$D$61</definedName>
    <definedName name="Z_C5B6D812_CBE6_46AA_99F7_02494E9802B4_.wvu.PrintArea" localSheetId="68" hidden="1">'364'!$A$1:$G$64</definedName>
    <definedName name="Z_C5B6D812_CBE6_46AA_99F7_02494E9802B4_.wvu.PrintArea" localSheetId="69" hidden="1">'365'!$A$1:$F$58</definedName>
    <definedName name="Z_C5B6D812_CBE6_46AA_99F7_02494E9802B4_.wvu.PrintArea" localSheetId="70" hidden="1">'366'!$A$1:$F$60</definedName>
    <definedName name="Z_C5B6D812_CBE6_46AA_99F7_02494E9802B4_.wvu.PrintArea" localSheetId="71" hidden="1">'367'!$A$1:$E$65</definedName>
    <definedName name="Z_C5B6D812_CBE6_46AA_99F7_02494E9802B4_.wvu.PrintArea" localSheetId="72" hidden="1">'400'!$A$1:$P$48</definedName>
    <definedName name="Z_C5B6D812_CBE6_46AA_99F7_02494E9802B4_.wvu.PrintArea" localSheetId="73" hidden="1">'401'!$A$1:$N$54</definedName>
    <definedName name="Z_C5B6D812_CBE6_46AA_99F7_02494E9802B4_.wvu.PrintArea" localSheetId="74" hidden="1">'402'!$A$1:$N$231</definedName>
    <definedName name="Z_C5B6D812_CBE6_46AA_99F7_02494E9802B4_.wvu.PrintArea" localSheetId="75" hidden="1">'403404'!$A$1:$AR$67</definedName>
    <definedName name="Z_C5B6D812_CBE6_46AA_99F7_02494E9802B4_.wvu.PrintArea" localSheetId="76" hidden="1">'405'!$A$1:$I$1155</definedName>
    <definedName name="Z_C5B6D812_CBE6_46AA_99F7_02494E9802B4_.wvu.PrintArea" localSheetId="77" hidden="1">'406'!$A$1:$J$49</definedName>
    <definedName name="Z_C5B6D812_CBE6_46AA_99F7_02494E9802B4_.wvu.PrintArea" localSheetId="78" hidden="1">'407408'!$A$1:$L$251</definedName>
    <definedName name="Z_C5B6D812_CBE6_46AA_99F7_02494E9802B4_.wvu.PrintArea" localSheetId="81" hidden="1">'411412'!$A$1:$L$111</definedName>
    <definedName name="Z_C5B6D812_CBE6_46AA_99F7_02494E9802B4_.wvu.PrintArea" localSheetId="82" hidden="1">Book!$A$1:$C$438</definedName>
    <definedName name="Z_C5B6D812_CBE6_46AA_99F7_02494E9802B4_.wvu.PrintArea" localSheetId="3" hidden="1">Cover!$A$1:$J$43</definedName>
    <definedName name="Z_C5B6D812_CBE6_46AA_99F7_02494E9802B4_.wvu.PrintArea" localSheetId="2" hidden="1">'Data sheet'!$A$1:$H$70</definedName>
    <definedName name="Z_C5B6D812_CBE6_46AA_99F7_02494E9802B4_.wvu.PrintArea" localSheetId="4" hidden="1">Instructions!$A$1:$E$57</definedName>
    <definedName name="Z_C5B6D812_CBE6_46AA_99F7_02494E9802B4_.wvu.PrintArea" localSheetId="5" hidden="1">Schedules!$A$1:$I$119</definedName>
    <definedName name="Z_C5B6D812_CBE6_46AA_99F7_02494E9802B4_.wvu.PrintArea" localSheetId="83" hidden="1">Verify!$A$1:$C$65</definedName>
    <definedName name="Z_C5B6D812_CBE6_46AA_99F7_02494E9802B4_.wvu.PrintArea" localSheetId="84" hidden="1">Zindex!$A$1:$D$106</definedName>
    <definedName name="Z_C5B6D812_CBE6_46AA_99F7_02494E9802B4_.wvu.PrintTitles" localSheetId="20" hidden="1">'206'!$1:$12</definedName>
    <definedName name="Z_EEF7ABD6_0F96_4791_B749_C06F707E7673_.wvu.Cols" localSheetId="29" hidden="1">'215'!$D:$D,'215'!$G:$H</definedName>
    <definedName name="Z_EEF7ABD6_0F96_4791_B749_C06F707E7673_.wvu.Cols" localSheetId="5" hidden="1">Schedules!$E:$F</definedName>
    <definedName name="Z_EEF7ABD6_0F96_4791_B749_C06F707E7673_.wvu.PrintArea" localSheetId="6" hidden="1">'101'!$A$1:$G$58</definedName>
    <definedName name="Z_EEF7ABD6_0F96_4791_B749_C06F707E7673_.wvu.PrintArea" localSheetId="7" hidden="1">'102103'!$A$1:$J$114</definedName>
    <definedName name="Z_EEF7ABD6_0F96_4791_B749_C06F707E7673_.wvu.PrintArea" localSheetId="8" hidden="1">'104105'!$A$1:$O$63</definedName>
    <definedName name="Z_EEF7ABD6_0F96_4791_B749_C06F707E7673_.wvu.PrintArea" localSheetId="9" hidden="1">'106107'!$A$1:$F$116</definedName>
    <definedName name="Z_EEF7ABD6_0F96_4791_B749_C06F707E7673_.wvu.PrintArea" localSheetId="10" hidden="1">'108109'!$A$1:$G$113</definedName>
    <definedName name="Z_EEF7ABD6_0F96_4791_B749_C06F707E7673_.wvu.PrintArea" localSheetId="11" hidden="1">'110'!$A$1:$C$54</definedName>
    <definedName name="Z_EEF7ABD6_0F96_4791_B749_C06F707E7673_.wvu.PrintArea" localSheetId="12" hidden="1">'111113'!$A$1:$L$156</definedName>
    <definedName name="Z_EEF7ABD6_0F96_4791_B749_C06F707E7673_.wvu.PrintArea" localSheetId="13" hidden="1">'114115'!$A$1:$F$121</definedName>
    <definedName name="Z_EEF7ABD6_0F96_4791_B749_C06F707E7673_.wvu.PrintArea" localSheetId="14" hidden="1">'116119'!$A$1:$H$58,'116119'!$J$1:$P$58,'116119'!$A$60:$H$120,'116119'!$J$60:$P$120</definedName>
    <definedName name="Z_EEF7ABD6_0F96_4791_B749_C06F707E7673_.wvu.PrintArea" localSheetId="15" hidden="1">'120121'!$A$1:$I$125</definedName>
    <definedName name="Z_EEF7ABD6_0F96_4791_B749_C06F707E7673_.wvu.PrintArea" localSheetId="16" hidden="1">'122123'!$A$1:$F$131</definedName>
    <definedName name="Z_EEF7ABD6_0F96_4791_B749_C06F707E7673_.wvu.PrintArea" localSheetId="17" hidden="1">'124125'!$A$1:$I$132</definedName>
    <definedName name="Z_EEF7ABD6_0F96_4791_B749_C06F707E7673_.wvu.PrintArea" localSheetId="18" hidden="1">'200201'!$A$1:$E$63,'200201'!$G$1:$L$63</definedName>
    <definedName name="Z_EEF7ABD6_0F96_4791_B749_C06F707E7673_.wvu.PrintArea" localSheetId="19" hidden="1">'202205'!$A$1:$E$64,'202205'!$G$1:$L$64,'202205'!$A$66:$E$129,'202205'!$G$66:$L$129</definedName>
    <definedName name="Z_EEF7ABD6_0F96_4791_B749_C06F707E7673_.wvu.PrintArea" localSheetId="20" hidden="1">'206'!$A$1:$E$210</definedName>
    <definedName name="Z_EEF7ABD6_0F96_4791_B749_C06F707E7673_.wvu.PrintArea" localSheetId="21" hidden="1">'207'!$A$1:$E$64</definedName>
    <definedName name="Z_EEF7ABD6_0F96_4791_B749_C06F707E7673_.wvu.PrintArea" localSheetId="22" hidden="1">'208'!$A$1:$G$66,'208'!$A$69:$G$130</definedName>
    <definedName name="Z_EEF7ABD6_0F96_4791_B749_C06F707E7673_.wvu.PrintArea" localSheetId="23" hidden="1">'209'!$A$1:$F$50</definedName>
    <definedName name="Z_EEF7ABD6_0F96_4791_B749_C06F707E7673_.wvu.PrintArea" localSheetId="24" hidden="1">'210'!$A$1:$I$47</definedName>
    <definedName name="Z_EEF7ABD6_0F96_4791_B749_C06F707E7673_.wvu.PrintArea" localSheetId="25" hidden="1">'211'!$A$1:$G$64</definedName>
    <definedName name="Z_EEF7ABD6_0F96_4791_B749_C06F707E7673_.wvu.PrintArea" localSheetId="26" hidden="1">'212'!$A$1:$D$68</definedName>
    <definedName name="Z_EEF7ABD6_0F96_4791_B749_C06F707E7673_.wvu.PrintArea" localSheetId="27" hidden="1">'213'!$A$1:$G$61</definedName>
    <definedName name="Z_EEF7ABD6_0F96_4791_B749_C06F707E7673_.wvu.PrintArea" localSheetId="28" hidden="1">'214'!$A$1:$H$68</definedName>
    <definedName name="Z_EEF7ABD6_0F96_4791_B749_C06F707E7673_.wvu.PrintArea" localSheetId="29" hidden="1">'215'!$A$1:$I$63</definedName>
    <definedName name="Z_EEF7ABD6_0F96_4791_B749_C06F707E7673_.wvu.PrintArea" localSheetId="30" hidden="1">'216'!$A$1:$H$66</definedName>
    <definedName name="Z_EEF7ABD6_0F96_4791_B749_C06F707E7673_.wvu.PrintArea" localSheetId="31" hidden="1">'217'!$A$1:$F$61</definedName>
    <definedName name="Z_EEF7ABD6_0F96_4791_B749_C06F707E7673_.wvu.PrintArea" localSheetId="32" hidden="1">'250251'!$A$1:$M$64</definedName>
    <definedName name="Z_EEF7ABD6_0F96_4791_B749_C06F707E7673_.wvu.PrintArea" localSheetId="33" hidden="1">'252'!$A$1:$F$63</definedName>
    <definedName name="Z_EEF7ABD6_0F96_4791_B749_C06F707E7673_.wvu.PrintArea" localSheetId="34" hidden="1">'253'!$A$1:$F$65</definedName>
    <definedName name="Z_EEF7ABD6_0F96_4791_B749_C06F707E7673_.wvu.PrintArea" localSheetId="35" hidden="1">'254'!$A$1:$E$60</definedName>
    <definedName name="Z_EEF7ABD6_0F96_4791_B749_C06F707E7673_.wvu.PrintArea" localSheetId="36" hidden="1">'255'!$A$1:$H$69</definedName>
    <definedName name="Z_EEF7ABD6_0F96_4791_B749_C06F707E7673_.wvu.PrintArea" localSheetId="37" hidden="1">'256257'!$A$1:$E$65,'256257'!$G$1:$M$65,'256257'!$A$67:$E$128,'256257'!$G$67:$M$128</definedName>
    <definedName name="Z_EEF7ABD6_0F96_4791_B749_C06F707E7673_.wvu.PrintArea" localSheetId="38" hidden="1">'258260'!$A$1:$G$67,'258260'!$I$1:$O$67,'258260'!$A$69:$G$125</definedName>
    <definedName name="Z_EEF7ABD6_0F96_4791_B749_C06F707E7673_.wvu.PrintArea" localSheetId="39" hidden="1">'261'!$A$1:$H$56</definedName>
    <definedName name="Z_EEF7ABD6_0F96_4791_B749_C06F707E7673_.wvu.PrintArea" localSheetId="40" hidden="1">'262263'!$A$1:$H$56,'262263'!$J$1:$O$56</definedName>
    <definedName name="Z_EEF7ABD6_0F96_4791_B749_C06F707E7673_.wvu.PrintArea" localSheetId="41" hidden="1">'264265'!$A$1:$E$60,'264265'!$G$1:$N$60</definedName>
    <definedName name="Z_EEF7ABD6_0F96_4791_B749_C06F707E7673_.wvu.PrintArea" localSheetId="42" hidden="1">'266'!$A$1:$G$39</definedName>
    <definedName name="Z_EEF7ABD6_0F96_4791_B749_C06F707E7673_.wvu.PrintArea" localSheetId="43" hidden="1">'267'!$A$1:$G$35</definedName>
    <definedName name="Z_EEF7ABD6_0F96_4791_B749_C06F707E7673_.wvu.PrintArea" localSheetId="44" hidden="1">'300'!$A$1:$J$51</definedName>
    <definedName name="Z_EEF7ABD6_0F96_4791_B749_C06F707E7673_.wvu.PrintArea" localSheetId="45" hidden="1">'301'!$A$1:$H$73</definedName>
    <definedName name="Z_EEF7ABD6_0F96_4791_B749_C06F707E7673_.wvu.PrintArea" localSheetId="46" hidden="1">'302304'!$A$1:$R$127</definedName>
    <definedName name="Z_EEF7ABD6_0F96_4791_B749_C06F707E7673_.wvu.PrintArea" localSheetId="47" hidden="1">'305'!$A$1:$J$46</definedName>
    <definedName name="Z_EEF7ABD6_0F96_4791_B749_C06F707E7673_.wvu.PrintArea" localSheetId="48" hidden="1">'306'!$A$1:$F$65</definedName>
    <definedName name="Z_EEF7ABD6_0F96_4791_B749_C06F707E7673_.wvu.PrintArea" localSheetId="49" hidden="1">'307309'!$A$1:$E$178</definedName>
    <definedName name="Z_EEF7ABD6_0F96_4791_B749_C06F707E7673_.wvu.PrintArea" localSheetId="50" hidden="1">'310'!$A$1:$F$63</definedName>
    <definedName name="Z_EEF7ABD6_0F96_4791_B749_C06F707E7673_.wvu.PrintArea" localSheetId="51" hidden="1">'311312'!$A$1:$N$71</definedName>
    <definedName name="Z_EEF7ABD6_0F96_4791_B749_C06F707E7673_.wvu.PrintArea" localSheetId="52" hidden="1">'313'!$A$1:$E$63</definedName>
    <definedName name="Z_EEF7ABD6_0F96_4791_B749_C06F707E7673_.wvu.PrintArea" localSheetId="53" hidden="1">'314'!$A$1:$F$69</definedName>
    <definedName name="Z_EEF7ABD6_0F96_4791_B749_C06F707E7673_.wvu.PrintArea" localSheetId="54" hidden="1">'314_attachment'!$A$1:$J$96</definedName>
    <definedName name="Z_EEF7ABD6_0F96_4791_B749_C06F707E7673_.wvu.PrintArea" localSheetId="55" hidden="1">'315'!$A$1:$G$61</definedName>
    <definedName name="Z_EEF7ABD6_0F96_4791_B749_C06F707E7673_.wvu.PrintArea" localSheetId="56" hidden="1">'316'!$A$1:$E$60</definedName>
    <definedName name="Z_EEF7ABD6_0F96_4791_B749_C06F707E7673_.wvu.PrintArea" localSheetId="57" hidden="1">'317'!$A$1:$F$49</definedName>
    <definedName name="Z_EEF7ABD6_0F96_4791_B749_C06F707E7673_.wvu.PrintArea" localSheetId="58" hidden="1">'318320'!$A$1:$E$187</definedName>
    <definedName name="Z_EEF7ABD6_0F96_4791_B749_C06F707E7673_.wvu.PrintArea" localSheetId="59" hidden="1">'321'!$A$1:$D$62</definedName>
    <definedName name="Z_EEF7ABD6_0F96_4791_B749_C06F707E7673_.wvu.PrintArea" localSheetId="60" hidden="1">'350351'!$A$1:$N$64</definedName>
    <definedName name="Z_EEF7ABD6_0F96_4791_B749_C06F707E7673_.wvu.PrintArea" localSheetId="61" hidden="1">'352353'!$A$1:$L$66</definedName>
    <definedName name="Z_EEF7ABD6_0F96_4791_B749_C06F707E7673_.wvu.PrintArea" localSheetId="62" hidden="1">'354'!$A$1:$F$54</definedName>
    <definedName name="Z_EEF7ABD6_0F96_4791_B749_C06F707E7673_.wvu.PrintArea" localSheetId="63" hidden="1">'355356'!$A$1:$F$130</definedName>
    <definedName name="Z_EEF7ABD6_0F96_4791_B749_C06F707E7673_.wvu.PrintArea" localSheetId="64" hidden="1">'357358'!$A$1:$D$130</definedName>
    <definedName name="Z_EEF7ABD6_0F96_4791_B749_C06F707E7673_.wvu.PrintArea" localSheetId="65" hidden="1">'359360'!$A$1:$I$57</definedName>
    <definedName name="Z_EEF7ABD6_0F96_4791_B749_C06F707E7673_.wvu.PrintArea" localSheetId="66" hidden="1">'361362'!$A$1:$L$61</definedName>
    <definedName name="Z_EEF7ABD6_0F96_4791_B749_C06F707E7673_.wvu.PrintArea" localSheetId="67" hidden="1">'363'!$A$1:$D$61</definedName>
    <definedName name="Z_EEF7ABD6_0F96_4791_B749_C06F707E7673_.wvu.PrintArea" localSheetId="68" hidden="1">'364'!$A$1:$H$64</definedName>
    <definedName name="Z_EEF7ABD6_0F96_4791_B749_C06F707E7673_.wvu.PrintArea" localSheetId="69" hidden="1">'365'!$A$1:$F$58</definedName>
    <definedName name="Z_EEF7ABD6_0F96_4791_B749_C06F707E7673_.wvu.PrintArea" localSheetId="70" hidden="1">'366'!$A$1:$F$60</definedName>
    <definedName name="Z_EEF7ABD6_0F96_4791_B749_C06F707E7673_.wvu.PrintArea" localSheetId="71" hidden="1">'367'!$A$1:$E$65</definedName>
    <definedName name="Z_EEF7ABD6_0F96_4791_B749_C06F707E7673_.wvu.PrintArea" localSheetId="72" hidden="1">'400'!$A$1:$P$48</definedName>
    <definedName name="Z_EEF7ABD6_0F96_4791_B749_C06F707E7673_.wvu.PrintArea" localSheetId="73" hidden="1">'401'!$A$1:$N$54</definedName>
    <definedName name="Z_EEF7ABD6_0F96_4791_B749_C06F707E7673_.wvu.PrintArea" localSheetId="74" hidden="1">'402'!$A$1:$N$64,'402'!$A$66:$N$129,'402'!$A$131:$N$194,'402'!$A$196:$N$260</definedName>
    <definedName name="Z_EEF7ABD6_0F96_4791_B749_C06F707E7673_.wvu.PrintArea" localSheetId="75" hidden="1">'403404'!$A$1:$G$67,'403404'!$I$1:$R$67,'403404'!$T$1:$AB$67,'403404'!$AD$1:$AL$67</definedName>
    <definedName name="Z_EEF7ABD6_0F96_4791_B749_C06F707E7673_.wvu.PrintArea" localSheetId="76" hidden="1">'405'!$A$1:$I$1155</definedName>
    <definedName name="Z_EEF7ABD6_0F96_4791_B749_C06F707E7673_.wvu.PrintArea" localSheetId="77" hidden="1">'406'!$A$1:$J$49</definedName>
    <definedName name="Z_EEF7ABD6_0F96_4791_B749_C06F707E7673_.wvu.PrintArea" localSheetId="78" hidden="1">'407408'!$A$1:$L$250</definedName>
    <definedName name="Z_EEF7ABD6_0F96_4791_B749_C06F707E7673_.wvu.PrintArea" localSheetId="3" hidden="1">Cover!$A$1:$J$43</definedName>
    <definedName name="Z_EEF7ABD6_0F96_4791_B749_C06F707E7673_.wvu.PrintArea" localSheetId="2" hidden="1">'Data sheet'!$A$1:$H$70</definedName>
    <definedName name="Z_EEF7ABD6_0F96_4791_B749_C06F707E7673_.wvu.PrintArea" localSheetId="4" hidden="1">Instructions!$A$1:$E$57</definedName>
    <definedName name="Z_EEF7ABD6_0F96_4791_B749_C06F707E7673_.wvu.PrintArea" localSheetId="5" hidden="1">Schedules!$A$1:$I$120</definedName>
    <definedName name="Z_EEF7ABD6_0F96_4791_B749_C06F707E7673_.wvu.PrintArea" localSheetId="83" hidden="1">Verify!$A$1:$C$65</definedName>
    <definedName name="Z_EEF7ABD6_0F96_4791_B749_C06F707E7673_.wvu.PrintArea" localSheetId="84" hidden="1">Zindex!$A$1:$D$106</definedName>
    <definedName name="Z_EEF7ABD6_0F96_4791_B749_C06F707E7673_.wvu.PrintTitles" localSheetId="20" hidden="1">'206'!$1:$12</definedName>
    <definedName name="Z_EF376D10_23D6_4FE2_AB5B_4460D52CC93F_.wvu.Cols" localSheetId="29" hidden="1">'215'!$D:$D,'215'!$G:$H</definedName>
    <definedName name="Z_EF376D10_23D6_4FE2_AB5B_4460D52CC93F_.wvu.Cols" localSheetId="5" hidden="1">Schedules!$E:$F</definedName>
    <definedName name="Z_EF376D10_23D6_4FE2_AB5B_4460D52CC93F_.wvu.PrintArea" localSheetId="6" hidden="1">'101'!$A$1:$G$58</definedName>
    <definedName name="Z_EF376D10_23D6_4FE2_AB5B_4460D52CC93F_.wvu.PrintArea" localSheetId="7" hidden="1">'102103'!$A$1:$J$114</definedName>
    <definedName name="Z_EF376D10_23D6_4FE2_AB5B_4460D52CC93F_.wvu.PrintArea" localSheetId="8" hidden="1">'104105'!$A$1:$O$63</definedName>
    <definedName name="Z_EF376D10_23D6_4FE2_AB5B_4460D52CC93F_.wvu.PrintArea" localSheetId="9" hidden="1">'106107'!$A$1:$F$116</definedName>
    <definedName name="Z_EF376D10_23D6_4FE2_AB5B_4460D52CC93F_.wvu.PrintArea" localSheetId="10" hidden="1">'108109'!$A$1:$G$113</definedName>
    <definedName name="Z_EF376D10_23D6_4FE2_AB5B_4460D52CC93F_.wvu.PrintArea" localSheetId="11" hidden="1">'110'!$A$1:$C$54</definedName>
    <definedName name="Z_EF376D10_23D6_4FE2_AB5B_4460D52CC93F_.wvu.PrintArea" localSheetId="12" hidden="1">'111113'!$A$1:$L$156</definedName>
    <definedName name="Z_EF376D10_23D6_4FE2_AB5B_4460D52CC93F_.wvu.PrintArea" localSheetId="13" hidden="1">'114115'!$A$1:$F$121</definedName>
    <definedName name="Z_EF376D10_23D6_4FE2_AB5B_4460D52CC93F_.wvu.PrintArea" localSheetId="14" hidden="1">'116119'!$A$1:$H$58,'116119'!$J$1:$P$58,'116119'!$A$60:$H$120,'116119'!$J$60:$P$120</definedName>
    <definedName name="Z_EF376D10_23D6_4FE2_AB5B_4460D52CC93F_.wvu.PrintArea" localSheetId="15" hidden="1">'120121'!$A$1:$I$125</definedName>
    <definedName name="Z_EF376D10_23D6_4FE2_AB5B_4460D52CC93F_.wvu.PrintArea" localSheetId="16" hidden="1">'122123'!$A$1:$F$131</definedName>
    <definedName name="Z_EF376D10_23D6_4FE2_AB5B_4460D52CC93F_.wvu.PrintArea" localSheetId="17" hidden="1">'124125'!$A$1:$I$132</definedName>
    <definedName name="Z_EF376D10_23D6_4FE2_AB5B_4460D52CC93F_.wvu.PrintArea" localSheetId="18" hidden="1">'200201'!$A$1:$E$63,'200201'!$G$1:$L$63</definedName>
    <definedName name="Z_EF376D10_23D6_4FE2_AB5B_4460D52CC93F_.wvu.PrintArea" localSheetId="19" hidden="1">'202205'!$A$1:$E$64,'202205'!$G$1:$L$64,'202205'!$A$66:$E$129,'202205'!$G$66:$L$129</definedName>
    <definedName name="Z_EF376D10_23D6_4FE2_AB5B_4460D52CC93F_.wvu.PrintArea" localSheetId="20" hidden="1">'206'!$A$1:$E$210</definedName>
    <definedName name="Z_EF376D10_23D6_4FE2_AB5B_4460D52CC93F_.wvu.PrintArea" localSheetId="21" hidden="1">'207'!$A$1:$E$64</definedName>
    <definedName name="Z_EF376D10_23D6_4FE2_AB5B_4460D52CC93F_.wvu.PrintArea" localSheetId="22" hidden="1">'208'!$A$1:$G$66,'208'!$A$69:$G$130</definedName>
    <definedName name="Z_EF376D10_23D6_4FE2_AB5B_4460D52CC93F_.wvu.PrintArea" localSheetId="23" hidden="1">'209'!$A$1:$F$50</definedName>
    <definedName name="Z_EF376D10_23D6_4FE2_AB5B_4460D52CC93F_.wvu.PrintArea" localSheetId="24" hidden="1">'210'!$A$1:$I$47</definedName>
    <definedName name="Z_EF376D10_23D6_4FE2_AB5B_4460D52CC93F_.wvu.PrintArea" localSheetId="25" hidden="1">'211'!$A$1:$G$64</definedName>
    <definedName name="Z_EF376D10_23D6_4FE2_AB5B_4460D52CC93F_.wvu.PrintArea" localSheetId="26" hidden="1">'212'!$A$1:$D$68</definedName>
    <definedName name="Z_EF376D10_23D6_4FE2_AB5B_4460D52CC93F_.wvu.PrintArea" localSheetId="27" hidden="1">'213'!$A$1:$G$61</definedName>
    <definedName name="Z_EF376D10_23D6_4FE2_AB5B_4460D52CC93F_.wvu.PrintArea" localSheetId="28" hidden="1">'214'!$A$1:$H$68</definedName>
    <definedName name="Z_EF376D10_23D6_4FE2_AB5B_4460D52CC93F_.wvu.PrintArea" localSheetId="29" hidden="1">'215'!$A$1:$I$63</definedName>
    <definedName name="Z_EF376D10_23D6_4FE2_AB5B_4460D52CC93F_.wvu.PrintArea" localSheetId="30" hidden="1">'216'!$A$1:$H$66</definedName>
    <definedName name="Z_EF376D10_23D6_4FE2_AB5B_4460D52CC93F_.wvu.PrintArea" localSheetId="31" hidden="1">'217'!$A$1:$F$61</definedName>
    <definedName name="Z_EF376D10_23D6_4FE2_AB5B_4460D52CC93F_.wvu.PrintArea" localSheetId="32" hidden="1">'250251'!$A$1:$M$64</definedName>
    <definedName name="Z_EF376D10_23D6_4FE2_AB5B_4460D52CC93F_.wvu.PrintArea" localSheetId="33" hidden="1">'252'!$A$1:$F$63</definedName>
    <definedName name="Z_EF376D10_23D6_4FE2_AB5B_4460D52CC93F_.wvu.PrintArea" localSheetId="34" hidden="1">'253'!$A$1:$F$65</definedName>
    <definedName name="Z_EF376D10_23D6_4FE2_AB5B_4460D52CC93F_.wvu.PrintArea" localSheetId="35" hidden="1">'254'!$A$1:$E$60</definedName>
    <definedName name="Z_EF376D10_23D6_4FE2_AB5B_4460D52CC93F_.wvu.PrintArea" localSheetId="36" hidden="1">'255'!$A$1:$H$69</definedName>
    <definedName name="Z_EF376D10_23D6_4FE2_AB5B_4460D52CC93F_.wvu.PrintArea" localSheetId="37" hidden="1">'256257'!$A$1:$E$65,'256257'!$G$1:$M$65,'256257'!$A$67:$E$128,'256257'!$G$67:$M$128</definedName>
    <definedName name="Z_EF376D10_23D6_4FE2_AB5B_4460D52CC93F_.wvu.PrintArea" localSheetId="38" hidden="1">'258260'!$A$1:$G$67,'258260'!$I$1:$O$67,'258260'!$A$69:$G$125</definedName>
    <definedName name="Z_EF376D10_23D6_4FE2_AB5B_4460D52CC93F_.wvu.PrintArea" localSheetId="39" hidden="1">'261'!$A$1:$H$56</definedName>
    <definedName name="Z_EF376D10_23D6_4FE2_AB5B_4460D52CC93F_.wvu.PrintArea" localSheetId="40" hidden="1">'262263'!$A$1:$H$56,'262263'!$J$1:$O$56</definedName>
    <definedName name="Z_EF376D10_23D6_4FE2_AB5B_4460D52CC93F_.wvu.PrintArea" localSheetId="41" hidden="1">'264265'!$A$1:$E$60,'264265'!$G$1:$N$60</definedName>
    <definedName name="Z_EF376D10_23D6_4FE2_AB5B_4460D52CC93F_.wvu.PrintArea" localSheetId="42" hidden="1">'266'!$A$1:$G$39</definedName>
    <definedName name="Z_EF376D10_23D6_4FE2_AB5B_4460D52CC93F_.wvu.PrintArea" localSheetId="43" hidden="1">'267'!$A$1:$G$35</definedName>
    <definedName name="Z_EF376D10_23D6_4FE2_AB5B_4460D52CC93F_.wvu.PrintArea" localSheetId="44" hidden="1">'300'!$A$1:$J$51</definedName>
    <definedName name="Z_EF376D10_23D6_4FE2_AB5B_4460D52CC93F_.wvu.PrintArea" localSheetId="45" hidden="1">'301'!$A$1:$H$73</definedName>
    <definedName name="Z_EF376D10_23D6_4FE2_AB5B_4460D52CC93F_.wvu.PrintArea" localSheetId="46" hidden="1">'302304'!$A$1:$R$127</definedName>
    <definedName name="Z_EF376D10_23D6_4FE2_AB5B_4460D52CC93F_.wvu.PrintArea" localSheetId="47" hidden="1">'305'!$A$1:$J$46</definedName>
    <definedName name="Z_EF376D10_23D6_4FE2_AB5B_4460D52CC93F_.wvu.PrintArea" localSheetId="48" hidden="1">'306'!$A$1:$F$65</definedName>
    <definedName name="Z_EF376D10_23D6_4FE2_AB5B_4460D52CC93F_.wvu.PrintArea" localSheetId="49" hidden="1">'307309'!$A$1:$E$178</definedName>
    <definedName name="Z_EF376D10_23D6_4FE2_AB5B_4460D52CC93F_.wvu.PrintArea" localSheetId="50" hidden="1">'310'!$A$1:$F$63</definedName>
    <definedName name="Z_EF376D10_23D6_4FE2_AB5B_4460D52CC93F_.wvu.PrintArea" localSheetId="51" hidden="1">'311312'!$A$1:$N$71</definedName>
    <definedName name="Z_EF376D10_23D6_4FE2_AB5B_4460D52CC93F_.wvu.PrintArea" localSheetId="52" hidden="1">'313'!$A$1:$E$63</definedName>
    <definedName name="Z_EF376D10_23D6_4FE2_AB5B_4460D52CC93F_.wvu.PrintArea" localSheetId="53" hidden="1">'314'!$A$1:$F$69</definedName>
    <definedName name="Z_EF376D10_23D6_4FE2_AB5B_4460D52CC93F_.wvu.PrintArea" localSheetId="54" hidden="1">'314_attachment'!$A$1:$J$96</definedName>
    <definedName name="Z_EF376D10_23D6_4FE2_AB5B_4460D52CC93F_.wvu.PrintArea" localSheetId="55" hidden="1">'315'!$A$1:$G$61</definedName>
    <definedName name="Z_EF376D10_23D6_4FE2_AB5B_4460D52CC93F_.wvu.PrintArea" localSheetId="56" hidden="1">'316'!$A$1:$E$60</definedName>
    <definedName name="Z_EF376D10_23D6_4FE2_AB5B_4460D52CC93F_.wvu.PrintArea" localSheetId="57" hidden="1">'317'!$A$1:$F$49</definedName>
    <definedName name="Z_EF376D10_23D6_4FE2_AB5B_4460D52CC93F_.wvu.PrintArea" localSheetId="58" hidden="1">'318320'!$A$1:$E$187</definedName>
    <definedName name="Z_EF376D10_23D6_4FE2_AB5B_4460D52CC93F_.wvu.PrintArea" localSheetId="59" hidden="1">'321'!$A$1:$D$62</definedName>
    <definedName name="Z_EF376D10_23D6_4FE2_AB5B_4460D52CC93F_.wvu.PrintArea" localSheetId="60" hidden="1">'350351'!$A$1:$N$64</definedName>
    <definedName name="Z_EF376D10_23D6_4FE2_AB5B_4460D52CC93F_.wvu.PrintArea" localSheetId="61" hidden="1">'352353'!$A$1:$L$66</definedName>
    <definedName name="Z_EF376D10_23D6_4FE2_AB5B_4460D52CC93F_.wvu.PrintArea" localSheetId="62" hidden="1">'354'!$A$1:$F$54</definedName>
    <definedName name="Z_EF376D10_23D6_4FE2_AB5B_4460D52CC93F_.wvu.PrintArea" localSheetId="63" hidden="1">'355356'!$A$1:$F$130</definedName>
    <definedName name="Z_EF376D10_23D6_4FE2_AB5B_4460D52CC93F_.wvu.PrintArea" localSheetId="64" hidden="1">'357358'!$A$1:$D$130</definedName>
    <definedName name="Z_EF376D10_23D6_4FE2_AB5B_4460D52CC93F_.wvu.PrintArea" localSheetId="65" hidden="1">'359360'!$A$1:$I$57</definedName>
    <definedName name="Z_EF376D10_23D6_4FE2_AB5B_4460D52CC93F_.wvu.PrintArea" localSheetId="66" hidden="1">'361362'!$A$1:$L$61</definedName>
    <definedName name="Z_EF376D10_23D6_4FE2_AB5B_4460D52CC93F_.wvu.PrintArea" localSheetId="67" hidden="1">'363'!$A$1:$D$61</definedName>
    <definedName name="Z_EF376D10_23D6_4FE2_AB5B_4460D52CC93F_.wvu.PrintArea" localSheetId="68" hidden="1">'364'!$A$1:$H$64</definedName>
    <definedName name="Z_EF376D10_23D6_4FE2_AB5B_4460D52CC93F_.wvu.PrintArea" localSheetId="69" hidden="1">'365'!$A$1:$F$58</definedName>
    <definedName name="Z_EF376D10_23D6_4FE2_AB5B_4460D52CC93F_.wvu.PrintArea" localSheetId="70" hidden="1">'366'!$A$1:$F$60</definedName>
    <definedName name="Z_EF376D10_23D6_4FE2_AB5B_4460D52CC93F_.wvu.PrintArea" localSheetId="71" hidden="1">'367'!$A$1:$E$65</definedName>
    <definedName name="Z_EF376D10_23D6_4FE2_AB5B_4460D52CC93F_.wvu.PrintArea" localSheetId="72" hidden="1">'400'!$A$1:$P$48</definedName>
    <definedName name="Z_EF376D10_23D6_4FE2_AB5B_4460D52CC93F_.wvu.PrintArea" localSheetId="73" hidden="1">'401'!$A$1:$N$54</definedName>
    <definedName name="Z_EF376D10_23D6_4FE2_AB5B_4460D52CC93F_.wvu.PrintArea" localSheetId="74" hidden="1">'402'!$A$1:$N$64,'402'!$A$66:$N$129,'402'!$A$131:$N$194,'402'!$A$196:$N$260</definedName>
    <definedName name="Z_EF376D10_23D6_4FE2_AB5B_4460D52CC93F_.wvu.PrintArea" localSheetId="75" hidden="1">'403404'!$A$1:$G$67,'403404'!$I$1:$R$67,'403404'!$T$1:$AB$67,'403404'!$AD$1:$AL$67</definedName>
    <definedName name="Z_EF376D10_23D6_4FE2_AB5B_4460D52CC93F_.wvu.PrintArea" localSheetId="76" hidden="1">'405'!$A$1:$I$1155</definedName>
    <definedName name="Z_EF376D10_23D6_4FE2_AB5B_4460D52CC93F_.wvu.PrintArea" localSheetId="77" hidden="1">'406'!$A$1:$J$49</definedName>
    <definedName name="Z_EF376D10_23D6_4FE2_AB5B_4460D52CC93F_.wvu.PrintArea" localSheetId="78" hidden="1">'407408'!$A$1:$L$250</definedName>
    <definedName name="Z_EF376D10_23D6_4FE2_AB5B_4460D52CC93F_.wvu.PrintArea" localSheetId="3" hidden="1">Cover!$A$1:$J$43</definedName>
    <definedName name="Z_EF376D10_23D6_4FE2_AB5B_4460D52CC93F_.wvu.PrintArea" localSheetId="2" hidden="1">'Data sheet'!$A$1:$H$70</definedName>
    <definedName name="Z_EF376D10_23D6_4FE2_AB5B_4460D52CC93F_.wvu.PrintArea" localSheetId="4" hidden="1">Instructions!$A$1:$E$57</definedName>
    <definedName name="Z_EF376D10_23D6_4FE2_AB5B_4460D52CC93F_.wvu.PrintArea" localSheetId="5" hidden="1">Schedules!$A$1:$I$120</definedName>
    <definedName name="Z_EF376D10_23D6_4FE2_AB5B_4460D52CC93F_.wvu.PrintArea" localSheetId="83" hidden="1">Verify!$A$1:$C$65</definedName>
    <definedName name="Z_EF376D10_23D6_4FE2_AB5B_4460D52CC93F_.wvu.PrintArea" localSheetId="84" hidden="1">Zindex!$A$1:$D$106</definedName>
    <definedName name="Z_EF376D10_23D6_4FE2_AB5B_4460D52CC93F_.wvu.PrintTitles" localSheetId="20" hidden="1">'206'!$1:$12</definedName>
    <definedName name="Z_FB1A60C8_E1F9_4DF0_8E0E_1C965F86027F_.wvu.Cols" localSheetId="29" hidden="1">'215'!$D:$D,'215'!$G:$H</definedName>
    <definedName name="Z_FB1A60C8_E1F9_4DF0_8E0E_1C965F86027F_.wvu.Cols" localSheetId="5" hidden="1">Schedules!$E:$F</definedName>
    <definedName name="Z_FB1A60C8_E1F9_4DF0_8E0E_1C965F86027F_.wvu.PrintArea" localSheetId="6" hidden="1">'101'!$B$1:$F$58</definedName>
    <definedName name="Z_FB1A60C8_E1F9_4DF0_8E0E_1C965F86027F_.wvu.PrintArea" localSheetId="7" hidden="1">'102103'!$A$1:$J$114</definedName>
    <definedName name="Z_FB1A60C8_E1F9_4DF0_8E0E_1C965F86027F_.wvu.PrintArea" localSheetId="8" hidden="1">'104105'!$A$1:$O$63</definedName>
    <definedName name="Z_FB1A60C8_E1F9_4DF0_8E0E_1C965F86027F_.wvu.PrintArea" localSheetId="9" hidden="1">'106107'!$A$1:$F$115</definedName>
    <definedName name="Z_FB1A60C8_E1F9_4DF0_8E0E_1C965F86027F_.wvu.PrintArea" localSheetId="10" hidden="1">'108109'!$A$1:$G$113</definedName>
    <definedName name="Z_FB1A60C8_E1F9_4DF0_8E0E_1C965F86027F_.wvu.PrintArea" localSheetId="11" hidden="1">'110'!$A$1:$C$54</definedName>
    <definedName name="Z_FB1A60C8_E1F9_4DF0_8E0E_1C965F86027F_.wvu.PrintArea" localSheetId="12" hidden="1">'111113'!$A$1:$L$156</definedName>
    <definedName name="Z_FB1A60C8_E1F9_4DF0_8E0E_1C965F86027F_.wvu.PrintArea" localSheetId="13" hidden="1">'114115'!$A$1:$F$121</definedName>
    <definedName name="Z_FB1A60C8_E1F9_4DF0_8E0E_1C965F86027F_.wvu.PrintArea" localSheetId="14" hidden="1">'116119'!$A$1:$H$58,'116119'!$J$1:$P$58,'116119'!$A$60:$H$120,'116119'!$J$60:$P$120</definedName>
    <definedName name="Z_FB1A60C8_E1F9_4DF0_8E0E_1C965F86027F_.wvu.PrintArea" localSheetId="15" hidden="1">'120121'!$A$1:$I$125</definedName>
    <definedName name="Z_FB1A60C8_E1F9_4DF0_8E0E_1C965F86027F_.wvu.PrintArea" localSheetId="16" hidden="1">'122123'!$A$1:$F$131</definedName>
    <definedName name="Z_FB1A60C8_E1F9_4DF0_8E0E_1C965F86027F_.wvu.PrintArea" localSheetId="17" hidden="1">'124125'!$A$1:$I$132</definedName>
    <definedName name="Z_FB1A60C8_E1F9_4DF0_8E0E_1C965F86027F_.wvu.PrintArea" localSheetId="18" hidden="1">'200201'!$A$1:$E$63,'200201'!$G$1:$L$63</definedName>
    <definedName name="Z_FB1A60C8_E1F9_4DF0_8E0E_1C965F86027F_.wvu.PrintArea" localSheetId="19" hidden="1">'202205'!$A$1:$E$64,'202205'!$G$1:$L$64,'202205'!$A$66:$E$129,'202205'!$G$66:$L$129</definedName>
    <definedName name="Z_FB1A60C8_E1F9_4DF0_8E0E_1C965F86027F_.wvu.PrintArea" localSheetId="20" hidden="1">'206'!$A$1:$E$273</definedName>
    <definedName name="Z_FB1A60C8_E1F9_4DF0_8E0E_1C965F86027F_.wvu.PrintArea" localSheetId="21" hidden="1">'207'!$A$1:$E$64</definedName>
    <definedName name="Z_FB1A60C8_E1F9_4DF0_8E0E_1C965F86027F_.wvu.PrintArea" localSheetId="22" hidden="1">'208'!$A$1:$G$66,'208'!$A$69:$G$130</definedName>
    <definedName name="Z_FB1A60C8_E1F9_4DF0_8E0E_1C965F86027F_.wvu.PrintArea" localSheetId="23" hidden="1">'209'!$A$1:$F$50</definedName>
    <definedName name="Z_FB1A60C8_E1F9_4DF0_8E0E_1C965F86027F_.wvu.PrintArea" localSheetId="24" hidden="1">'210'!$A$1:$I$47</definedName>
    <definedName name="Z_FB1A60C8_E1F9_4DF0_8E0E_1C965F86027F_.wvu.PrintArea" localSheetId="25" hidden="1">'211'!$A$1:$G$64</definedName>
    <definedName name="Z_FB1A60C8_E1F9_4DF0_8E0E_1C965F86027F_.wvu.PrintArea" localSheetId="26" hidden="1">'212'!$A$1:$D$68</definedName>
    <definedName name="Z_FB1A60C8_E1F9_4DF0_8E0E_1C965F86027F_.wvu.PrintArea" localSheetId="27" hidden="1">'213'!$A$1:$G$61</definedName>
    <definedName name="Z_FB1A60C8_E1F9_4DF0_8E0E_1C965F86027F_.wvu.PrintArea" localSheetId="28" hidden="1">'214'!$A$1:$H$68</definedName>
    <definedName name="Z_FB1A60C8_E1F9_4DF0_8E0E_1C965F86027F_.wvu.PrintArea" localSheetId="29" hidden="1">'215'!$A$1:$I$63</definedName>
    <definedName name="Z_FB1A60C8_E1F9_4DF0_8E0E_1C965F86027F_.wvu.PrintArea" localSheetId="30" hidden="1">'216'!$A$1:$H$66</definedName>
    <definedName name="Z_FB1A60C8_E1F9_4DF0_8E0E_1C965F86027F_.wvu.PrintArea" localSheetId="31" hidden="1">'217'!$A$1:$F$61</definedName>
    <definedName name="Z_FB1A60C8_E1F9_4DF0_8E0E_1C965F86027F_.wvu.PrintArea" localSheetId="32" hidden="1">'250251'!$A$1:$M$64</definedName>
    <definedName name="Z_FB1A60C8_E1F9_4DF0_8E0E_1C965F86027F_.wvu.PrintArea" localSheetId="33" hidden="1">'252'!$A$1:$F$63</definedName>
    <definedName name="Z_FB1A60C8_E1F9_4DF0_8E0E_1C965F86027F_.wvu.PrintArea" localSheetId="34" hidden="1">'253'!$A$1:$F$65</definedName>
    <definedName name="Z_FB1A60C8_E1F9_4DF0_8E0E_1C965F86027F_.wvu.PrintArea" localSheetId="35" hidden="1">'254'!$A$1:$E$60</definedName>
    <definedName name="Z_FB1A60C8_E1F9_4DF0_8E0E_1C965F86027F_.wvu.PrintArea" localSheetId="36" hidden="1">'255'!$A$1:$H$69</definedName>
    <definedName name="Z_FB1A60C8_E1F9_4DF0_8E0E_1C965F86027F_.wvu.PrintArea" localSheetId="37" hidden="1">'256257'!$A$1:$E$65,'256257'!$G$1:$M$65,'256257'!$A$67:$E$128,'256257'!$G$67:$M$128</definedName>
    <definedName name="Z_FB1A60C8_E1F9_4DF0_8E0E_1C965F86027F_.wvu.PrintArea" localSheetId="38" hidden="1">'258260'!$A$1:$G$67,'258260'!$I$1:$O$67,'258260'!$A$69:$G$125</definedName>
    <definedName name="Z_FB1A60C8_E1F9_4DF0_8E0E_1C965F86027F_.wvu.PrintArea" localSheetId="39" hidden="1">'261'!$A$1:$G$57</definedName>
    <definedName name="Z_FB1A60C8_E1F9_4DF0_8E0E_1C965F86027F_.wvu.PrintArea" localSheetId="40" hidden="1">'262263'!$A$1:$H$56,'262263'!$J$1:$O$56</definedName>
    <definedName name="Z_FB1A60C8_E1F9_4DF0_8E0E_1C965F86027F_.wvu.PrintArea" localSheetId="41" hidden="1">'264265'!$A$1:$E$60,'264265'!$G$1:$N$60</definedName>
    <definedName name="Z_FB1A60C8_E1F9_4DF0_8E0E_1C965F86027F_.wvu.PrintArea" localSheetId="42" hidden="1">'266'!$A$1:$G$39</definedName>
    <definedName name="Z_FB1A60C8_E1F9_4DF0_8E0E_1C965F86027F_.wvu.PrintArea" localSheetId="43" hidden="1">'267'!$A$1:$G$35</definedName>
    <definedName name="Z_FB1A60C8_E1F9_4DF0_8E0E_1C965F86027F_.wvu.PrintArea" localSheetId="44" hidden="1">'300'!$A$1:$I$51</definedName>
    <definedName name="Z_FB1A60C8_E1F9_4DF0_8E0E_1C965F86027F_.wvu.PrintArea" localSheetId="45" hidden="1">'301'!$A$1:$H$73</definedName>
    <definedName name="Z_FB1A60C8_E1F9_4DF0_8E0E_1C965F86027F_.wvu.PrintArea" localSheetId="46" hidden="1">'302304'!$A$1:$R$127</definedName>
    <definedName name="Z_FB1A60C8_E1F9_4DF0_8E0E_1C965F86027F_.wvu.PrintArea" localSheetId="47" hidden="1">'305'!$A$1:$J$46</definedName>
    <definedName name="Z_FB1A60C8_E1F9_4DF0_8E0E_1C965F86027F_.wvu.PrintArea" localSheetId="48" hidden="1">'306'!$A$1:$F$65</definedName>
    <definedName name="Z_FB1A60C8_E1F9_4DF0_8E0E_1C965F86027F_.wvu.PrintArea" localSheetId="49" hidden="1">'307309'!$A$1:$E$178</definedName>
    <definedName name="Z_FB1A60C8_E1F9_4DF0_8E0E_1C965F86027F_.wvu.PrintArea" localSheetId="50" hidden="1">'310'!$A$1:$F$63</definedName>
    <definedName name="Z_FB1A60C8_E1F9_4DF0_8E0E_1C965F86027F_.wvu.PrintArea" localSheetId="51" hidden="1">'311312'!$A$1:$N$77</definedName>
    <definedName name="Z_FB1A60C8_E1F9_4DF0_8E0E_1C965F86027F_.wvu.PrintArea" localSheetId="52" hidden="1">'313'!$A$1:$E$63</definedName>
    <definedName name="Z_FB1A60C8_E1F9_4DF0_8E0E_1C965F86027F_.wvu.PrintArea" localSheetId="53" hidden="1">'314'!$A$1:$F$69</definedName>
    <definedName name="Z_FB1A60C8_E1F9_4DF0_8E0E_1C965F86027F_.wvu.PrintArea" localSheetId="54" hidden="1">'314_attachment'!$A$1:$J$96</definedName>
    <definedName name="Z_FB1A60C8_E1F9_4DF0_8E0E_1C965F86027F_.wvu.PrintArea" localSheetId="55" hidden="1">'315'!$A$1:$G$61</definedName>
    <definedName name="Z_FB1A60C8_E1F9_4DF0_8E0E_1C965F86027F_.wvu.PrintArea" localSheetId="56" hidden="1">'316'!$A$1:$E$60</definedName>
    <definedName name="Z_FB1A60C8_E1F9_4DF0_8E0E_1C965F86027F_.wvu.PrintArea" localSheetId="57" hidden="1">'317'!$A$1:$F$49</definedName>
    <definedName name="Z_FB1A60C8_E1F9_4DF0_8E0E_1C965F86027F_.wvu.PrintArea" localSheetId="58" hidden="1">'318320'!$A$1:$E$186</definedName>
    <definedName name="Z_FB1A60C8_E1F9_4DF0_8E0E_1C965F86027F_.wvu.PrintArea" localSheetId="59" hidden="1">'321'!$A$1:$D$62</definedName>
    <definedName name="Z_FB1A60C8_E1F9_4DF0_8E0E_1C965F86027F_.wvu.PrintArea" localSheetId="60" hidden="1">'350351'!$A$1:$N$64</definedName>
    <definedName name="Z_FB1A60C8_E1F9_4DF0_8E0E_1C965F86027F_.wvu.PrintArea" localSheetId="61" hidden="1">'352353'!$A$1:$L$65</definedName>
    <definedName name="Z_FB1A60C8_E1F9_4DF0_8E0E_1C965F86027F_.wvu.PrintArea" localSheetId="62" hidden="1">'354'!$A$1:$F$54</definedName>
    <definedName name="Z_FB1A60C8_E1F9_4DF0_8E0E_1C965F86027F_.wvu.PrintArea" localSheetId="63" hidden="1">'355356'!$A$1:$F$142</definedName>
    <definedName name="Z_FB1A60C8_E1F9_4DF0_8E0E_1C965F86027F_.wvu.PrintArea" localSheetId="64" hidden="1">'357358'!$A$1:$D$130</definedName>
    <definedName name="Z_FB1A60C8_E1F9_4DF0_8E0E_1C965F86027F_.wvu.PrintArea" localSheetId="65" hidden="1">'359360'!$A$1:$I$57</definedName>
    <definedName name="Z_FB1A60C8_E1F9_4DF0_8E0E_1C965F86027F_.wvu.PrintArea" localSheetId="66" hidden="1">'361362'!$A$1:$L$61</definedName>
    <definedName name="Z_FB1A60C8_E1F9_4DF0_8E0E_1C965F86027F_.wvu.PrintArea" localSheetId="67" hidden="1">'363'!$A$1:$D$61</definedName>
    <definedName name="Z_FB1A60C8_E1F9_4DF0_8E0E_1C965F86027F_.wvu.PrintArea" localSheetId="68" hidden="1">'364'!$A$1:$G$64</definedName>
    <definedName name="Z_FB1A60C8_E1F9_4DF0_8E0E_1C965F86027F_.wvu.PrintArea" localSheetId="69" hidden="1">'365'!$A$1:$F$58</definedName>
    <definedName name="Z_FB1A60C8_E1F9_4DF0_8E0E_1C965F86027F_.wvu.PrintArea" localSheetId="70" hidden="1">'366'!$A$1:$F$60</definedName>
    <definedName name="Z_FB1A60C8_E1F9_4DF0_8E0E_1C965F86027F_.wvu.PrintArea" localSheetId="71" hidden="1">'367'!$A$1:$E$65</definedName>
    <definedName name="Z_FB1A60C8_E1F9_4DF0_8E0E_1C965F86027F_.wvu.PrintArea" localSheetId="72" hidden="1">'400'!$A$1:$P$48</definedName>
    <definedName name="Z_FB1A60C8_E1F9_4DF0_8E0E_1C965F86027F_.wvu.PrintArea" localSheetId="73" hidden="1">'401'!$A$1:$N$54</definedName>
    <definedName name="Z_FB1A60C8_E1F9_4DF0_8E0E_1C965F86027F_.wvu.PrintArea" localSheetId="74" hidden="1">'402'!$A$1:$N$184</definedName>
    <definedName name="Z_FB1A60C8_E1F9_4DF0_8E0E_1C965F86027F_.wvu.PrintArea" localSheetId="75" hidden="1">'403404'!$A$1:$AR$67</definedName>
    <definedName name="Z_FB1A60C8_E1F9_4DF0_8E0E_1C965F86027F_.wvu.PrintArea" localSheetId="76" hidden="1">'405'!$A$1:$I$1155</definedName>
    <definedName name="Z_FB1A60C8_E1F9_4DF0_8E0E_1C965F86027F_.wvu.PrintArea" localSheetId="77" hidden="1">'406'!$A$1:$J$49</definedName>
    <definedName name="Z_FB1A60C8_E1F9_4DF0_8E0E_1C965F86027F_.wvu.PrintArea" localSheetId="78" hidden="1">'407408'!$A$1:$L$251</definedName>
    <definedName name="Z_FB1A60C8_E1F9_4DF0_8E0E_1C965F86027F_.wvu.PrintArea" localSheetId="81" hidden="1">'411412'!$A$1:$L$111</definedName>
    <definedName name="Z_FB1A60C8_E1F9_4DF0_8E0E_1C965F86027F_.wvu.PrintArea" localSheetId="82" hidden="1">Book!$A$1:$C$438</definedName>
    <definedName name="Z_FB1A60C8_E1F9_4DF0_8E0E_1C965F86027F_.wvu.PrintArea" localSheetId="3" hidden="1">Cover!$A$1:$J$43</definedName>
    <definedName name="Z_FB1A60C8_E1F9_4DF0_8E0E_1C965F86027F_.wvu.PrintArea" localSheetId="2" hidden="1">'Data sheet'!$A$1:$H$70</definedName>
    <definedName name="Z_FB1A60C8_E1F9_4DF0_8E0E_1C965F86027F_.wvu.PrintArea" localSheetId="4" hidden="1">Instructions!$A$1:$E$57</definedName>
    <definedName name="Z_FB1A60C8_E1F9_4DF0_8E0E_1C965F86027F_.wvu.PrintArea" localSheetId="5" hidden="1">Schedules!$A$1:$I$119</definedName>
    <definedName name="Z_FB1A60C8_E1F9_4DF0_8E0E_1C965F86027F_.wvu.PrintArea" localSheetId="83" hidden="1">Verify!$A$1:$C$65</definedName>
    <definedName name="Z_FB1A60C8_E1F9_4DF0_8E0E_1C965F86027F_.wvu.PrintArea" localSheetId="84" hidden="1">Zindex!$A$1:$D$106</definedName>
    <definedName name="Z_FB1A60C8_E1F9_4DF0_8E0E_1C965F86027F_.wvu.PrintTitles" localSheetId="20" hidden="1">'206'!$1:$12</definedName>
    <definedName name="ZINDEX" localSheetId="8">#REF!</definedName>
    <definedName name="ZINDEX" localSheetId="10">#REF!</definedName>
    <definedName name="ZINDEX">#REF!</definedName>
  </definedNames>
  <calcPr calcId="125725"/>
  <customWorkbookViews>
    <customWorkbookView name="baehrkm - Personal View" guid="{1BA452AD-1A45-4D9C-9666-ADFFA6F2F567}" mergeInterval="0" personalView="1" maximized="1" xWindow="1" yWindow="1" windowWidth="1920" windowHeight="784" tabRatio="923" activeSheetId="65"/>
    <customWorkbookView name="tangarej - Personal View" guid="{EEF7ABD6-0F96-4791-B749-C06F707E7673}" mergeInterval="0" personalView="1" maximized="1" windowWidth="1276" windowHeight="747" tabRatio="923" activeSheetId="17"/>
    <customWorkbookView name="moranbw - Personal View" guid="{A7D7DB3C-AFE6-468E-8C6B-9531F6711497}" mergeInterval="0" personalView="1" maximized="1" windowWidth="1020" windowHeight="622" tabRatio="891" activeSheetId="4"/>
    <customWorkbookView name="Chad Nardelli - Personal View" guid="{4436FEB5-BFEC-4348-9286-CB706802873E}" mergeInterval="0" personalView="1" maximized="1" windowWidth="1276" windowHeight="826" tabRatio="891" activeSheetId="1"/>
    <customWorkbookView name="DOEDY GREEN - Personal View" guid="{044CF00C-469F-44B3-B2C4-9B4049CE70CB}" mergeInterval="0" personalView="1" maximized="1" windowWidth="1020" windowHeight="569" tabRatio="891" activeSheetId="11"/>
    <customWorkbookView name="Sullivan Kelly - Personal View" guid="{4826FCC0-BDD6-4B2C-ACC6-ACE271DDF0E3}" mergeInterval="0" personalView="1" maximized="1" windowWidth="1276" windowHeight="825" tabRatio="923" activeSheetId="28"/>
    <customWorkbookView name="oglesbma - Personal View" guid="{EF376D10-23D6-4FE2-AB5B-4460D52CC93F}" mergeInterval="0" personalView="1" maximized="1" windowWidth="1276" windowHeight="799" tabRatio="923" activeSheetId="46"/>
    <customWorkbookView name="diggsd - Personal View" guid="{1C046605-15CE-44F1-BFCD-2CA8588E7ACF}" mergeInterval="0" personalView="1" maximized="1" windowWidth="1276" windowHeight="825" tabRatio="923" activeSheetId="27"/>
    <customWorkbookView name="Talema Graham - Personal View" guid="{3911D713-188C-46A1-A299-F21DD3B7A146}" mergeInterval="0" personalView="1" maximized="1" windowWidth="1276" windowHeight="769" tabRatio="923" activeSheetId="76"/>
    <customWorkbookView name="achuffjt - Personal View" guid="{78BB1E60-60BE-4F56-9763-075185EFEFAB}" mergeInterval="0" personalView="1" maximized="1" xWindow="1" yWindow="1" windowWidth="1676" windowHeight="784" tabRatio="923" activeSheetId="83"/>
    <customWorkbookView name="weberc1 - Personal View" guid="{9C30803E-1E2D-4850-B0A5-591CA6F246A1}" mergeInterval="0" personalView="1" maximized="1" xWindow="1" yWindow="1" windowWidth="1920" windowHeight="784" tabRatio="923" activeSheetId="12"/>
    <customWorkbookView name="Sharon Hough - Personal View" guid="{3B1006FF-A2CA-49E7-9B25-DAC8815279AF}" mergeInterval="0" personalView="1" maximized="1" xWindow="1" yWindow="1" windowWidth="1920" windowHeight="817" tabRatio="923" activeSheetId="96"/>
    <customWorkbookView name="Jim Rippert - Personal View" guid="{FB1A60C8-E1F9-4DF0-8E0E-1C965F86027F}" mergeInterval="0" personalView="1" maximized="1" xWindow="1" yWindow="1" windowWidth="1912" windowHeight="842" tabRatio="978" activeSheetId="25"/>
    <customWorkbookView name="destefdm - Personal View" guid="{C5B6D812-CBE6-46AA-99F7-02494E9802B4}" mergeInterval="0" personalView="1" maximized="1" windowWidth="1020" windowHeight="496" tabRatio="936" activeSheetId="50"/>
  </customWorkbookViews>
</workbook>
</file>

<file path=xl/calcChain.xml><?xml version="1.0" encoding="utf-8"?>
<calcChain xmlns="http://schemas.openxmlformats.org/spreadsheetml/2006/main">
  <c r="L39" i="52"/>
  <c r="L38"/>
  <c r="D39"/>
  <c r="D38"/>
  <c r="K28" i="49"/>
  <c r="G28"/>
  <c r="E28"/>
  <c r="G22"/>
  <c r="K22"/>
  <c r="E22"/>
  <c r="E34" i="27"/>
  <c r="F37" i="81" l="1"/>
  <c r="I109" i="94" l="1"/>
  <c r="E32" i="83" l="1"/>
  <c r="P30" i="85"/>
  <c r="P29"/>
  <c r="P28"/>
  <c r="P27"/>
  <c r="P26"/>
  <c r="P25"/>
  <c r="P24"/>
  <c r="P23"/>
  <c r="P22"/>
  <c r="P21"/>
  <c r="P20"/>
  <c r="P19"/>
  <c r="P31" s="1"/>
  <c r="N26" i="59"/>
  <c r="N28"/>
  <c r="N21"/>
  <c r="D172" i="62"/>
  <c r="E83" i="48" l="1"/>
  <c r="E39"/>
  <c r="E19" i="58" l="1"/>
  <c r="E55"/>
  <c r="C28"/>
  <c r="C20"/>
  <c r="E45"/>
  <c r="E49"/>
  <c r="E35"/>
  <c r="E27"/>
  <c r="D37" i="41" l="1"/>
  <c r="F37"/>
  <c r="I82" i="67" l="1"/>
  <c r="I74"/>
  <c r="E28" i="93" l="1"/>
  <c r="E20"/>
  <c r="E17"/>
  <c r="E16"/>
  <c r="K79" i="94" l="1"/>
  <c r="F32" i="50" l="1"/>
  <c r="D62" i="47"/>
  <c r="L84" i="48" l="1"/>
  <c r="E84"/>
  <c r="L188" i="91" l="1"/>
  <c r="L187"/>
  <c r="L186"/>
  <c r="E185"/>
  <c r="L185" s="1"/>
  <c r="L184"/>
  <c r="L183"/>
  <c r="L182"/>
  <c r="L181"/>
  <c r="L180"/>
  <c r="K179"/>
  <c r="L179" s="1"/>
  <c r="L178"/>
  <c r="L177"/>
  <c r="L176"/>
  <c r="L175"/>
  <c r="D174"/>
  <c r="L174" s="1"/>
  <c r="L173"/>
  <c r="L172"/>
  <c r="L171"/>
  <c r="L170"/>
  <c r="L149"/>
  <c r="L148"/>
  <c r="L147"/>
  <c r="L146"/>
  <c r="G145"/>
  <c r="L145" s="1"/>
  <c r="L144"/>
  <c r="L143"/>
  <c r="D142"/>
  <c r="L142" s="1"/>
  <c r="L141"/>
  <c r="L140"/>
  <c r="D140"/>
  <c r="L139"/>
  <c r="L138"/>
  <c r="L137"/>
  <c r="L136"/>
  <c r="L135"/>
  <c r="L134"/>
  <c r="L133"/>
  <c r="L132"/>
  <c r="L131"/>
  <c r="L130"/>
  <c r="L129"/>
  <c r="L128"/>
  <c r="L127"/>
  <c r="E126"/>
  <c r="L126" s="1"/>
  <c r="L125"/>
  <c r="L124"/>
  <c r="L123"/>
  <c r="L122"/>
  <c r="L121"/>
  <c r="L120"/>
  <c r="L99"/>
  <c r="L98"/>
  <c r="L97"/>
  <c r="L96"/>
  <c r="L95"/>
  <c r="L94"/>
  <c r="L93"/>
  <c r="L92"/>
  <c r="L91"/>
  <c r="L90"/>
  <c r="L89"/>
  <c r="L88"/>
  <c r="L87"/>
  <c r="L86"/>
  <c r="L85"/>
  <c r="L84"/>
  <c r="L83"/>
  <c r="D82"/>
  <c r="L82" s="1"/>
  <c r="L81"/>
  <c r="L80"/>
  <c r="L79"/>
  <c r="L78"/>
  <c r="L77"/>
  <c r="L76"/>
  <c r="L75"/>
  <c r="L74"/>
  <c r="L73"/>
  <c r="D72"/>
  <c r="L72" s="1"/>
  <c r="D71"/>
  <c r="L71" s="1"/>
  <c r="L70"/>
  <c r="L49"/>
  <c r="L48"/>
  <c r="D47"/>
  <c r="L47" s="1"/>
  <c r="D46"/>
  <c r="L46" s="1"/>
  <c r="D45"/>
  <c r="L45" s="1"/>
  <c r="L44"/>
  <c r="L43"/>
  <c r="L42"/>
  <c r="L41"/>
  <c r="L40"/>
  <c r="L39"/>
  <c r="L38"/>
  <c r="L37"/>
  <c r="D37"/>
  <c r="L36"/>
  <c r="L35"/>
  <c r="L34"/>
  <c r="L33"/>
  <c r="L32"/>
  <c r="L31"/>
  <c r="L30"/>
  <c r="L29"/>
  <c r="L28"/>
  <c r="L27"/>
  <c r="L26"/>
  <c r="D26"/>
  <c r="L25"/>
  <c r="L24"/>
  <c r="L23"/>
  <c r="D22"/>
  <c r="L22" s="1"/>
  <c r="D21"/>
  <c r="L21" s="1"/>
  <c r="L20"/>
  <c r="L19"/>
  <c r="E33" i="83" l="1"/>
  <c r="I36" i="67" l="1"/>
  <c r="I18"/>
  <c r="I19"/>
  <c r="E37" i="27" l="1"/>
  <c r="D22" i="57" l="1"/>
  <c r="J19" i="73" l="1"/>
  <c r="M19"/>
  <c r="E19"/>
  <c r="E16" i="50" l="1"/>
  <c r="F16"/>
  <c r="F24"/>
  <c r="F38"/>
  <c r="E38"/>
  <c r="G38" s="1"/>
  <c r="E36"/>
  <c r="G36" s="1"/>
  <c r="E20"/>
  <c r="F14"/>
  <c r="E34"/>
  <c r="L61" i="48" l="1"/>
  <c r="K61"/>
  <c r="D61"/>
  <c r="K88"/>
  <c r="K60" s="1"/>
  <c r="E88"/>
  <c r="E60" s="1"/>
  <c r="D88"/>
  <c r="D60" s="1"/>
  <c r="E61"/>
  <c r="E52" i="45" l="1"/>
  <c r="D40" i="41" l="1"/>
  <c r="F39" l="1"/>
  <c r="F49" i="40" l="1"/>
  <c r="E34" i="39"/>
  <c r="D34"/>
  <c r="E35"/>
  <c r="C43" i="38" l="1"/>
  <c r="I47" i="64" l="1"/>
  <c r="I46"/>
  <c r="I45"/>
  <c r="I44"/>
  <c r="I43"/>
  <c r="I42"/>
  <c r="I41"/>
  <c r="I40"/>
  <c r="I39"/>
  <c r="I38"/>
  <c r="I37"/>
  <c r="I36"/>
  <c r="I35"/>
  <c r="I34"/>
  <c r="I33"/>
  <c r="I32"/>
  <c r="I31"/>
  <c r="I30"/>
  <c r="I29"/>
  <c r="I28"/>
  <c r="I27"/>
  <c r="I26"/>
  <c r="I25"/>
  <c r="I24"/>
  <c r="I23"/>
  <c r="I22"/>
  <c r="I21"/>
  <c r="I20"/>
  <c r="I19"/>
  <c r="I18"/>
  <c r="I17"/>
  <c r="I16"/>
  <c r="I15"/>
  <c r="I14"/>
  <c r="I13"/>
  <c r="I12"/>
  <c r="I11"/>
  <c r="D38" i="34"/>
  <c r="D24"/>
  <c r="D21"/>
  <c r="A201" i="3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E14"/>
  <c r="E271" s="1"/>
  <c r="H23" i="30"/>
  <c r="E76"/>
  <c r="E29" i="29"/>
  <c r="G17" i="55" l="1"/>
  <c r="F41" i="92"/>
  <c r="E41"/>
  <c r="C41"/>
  <c r="D39"/>
  <c r="D35"/>
  <c r="D34"/>
  <c r="D32"/>
  <c r="D31"/>
  <c r="D30"/>
  <c r="D28"/>
  <c r="D27"/>
  <c r="D26"/>
  <c r="D25"/>
  <c r="D24"/>
  <c r="D23"/>
  <c r="D21"/>
  <c r="D41" s="1"/>
  <c r="D20"/>
  <c r="D19"/>
  <c r="E29" i="42"/>
  <c r="H58" i="26"/>
  <c r="C132" i="95" s="1"/>
  <c r="A7"/>
  <c r="C14"/>
  <c r="C83"/>
  <c r="C108"/>
  <c r="C114"/>
  <c r="C120"/>
  <c r="C148"/>
  <c r="C150"/>
  <c r="C153"/>
  <c r="C154"/>
  <c r="C155"/>
  <c r="C156"/>
  <c r="C157"/>
  <c r="C158"/>
  <c r="C159"/>
  <c r="C160"/>
  <c r="C161"/>
  <c r="C166"/>
  <c r="C167"/>
  <c r="C168"/>
  <c r="C171"/>
  <c r="C172"/>
  <c r="C173"/>
  <c r="C174"/>
  <c r="C175"/>
  <c r="C181"/>
  <c r="C182"/>
  <c r="C183"/>
  <c r="C184"/>
  <c r="C185"/>
  <c r="C426" s="1"/>
  <c r="C186"/>
  <c r="C193"/>
  <c r="C203"/>
  <c r="C208"/>
  <c r="C214"/>
  <c r="C215"/>
  <c r="C216"/>
  <c r="C217"/>
  <c r="C218"/>
  <c r="C222"/>
  <c r="C223"/>
  <c r="C225"/>
  <c r="C248"/>
  <c r="C258"/>
  <c r="C355"/>
  <c r="C362"/>
  <c r="C363"/>
  <c r="C364"/>
  <c r="C368"/>
  <c r="C369"/>
  <c r="C434" s="1"/>
  <c r="C370"/>
  <c r="C371"/>
  <c r="C373"/>
  <c r="I50" i="94"/>
  <c r="K50"/>
  <c r="K109"/>
  <c r="A86"/>
  <c r="A87"/>
  <c r="A88" s="1"/>
  <c r="A89" s="1"/>
  <c r="A90" s="1"/>
  <c r="A91" s="1"/>
  <c r="A92" s="1"/>
  <c r="A93" s="1"/>
  <c r="A94" s="1"/>
  <c r="A95" s="1"/>
  <c r="A96" s="1"/>
  <c r="A97" s="1"/>
  <c r="A98" s="1"/>
  <c r="A99" s="1"/>
  <c r="A100" s="1"/>
  <c r="A101" s="1"/>
  <c r="A102" s="1"/>
  <c r="A103" s="1"/>
  <c r="A104" s="1"/>
  <c r="A105" s="1"/>
  <c r="A106" s="1"/>
  <c r="A107" s="1"/>
  <c r="A108" s="1"/>
  <c r="A109" s="1"/>
  <c r="D49" i="93"/>
  <c r="E49"/>
  <c r="F49"/>
  <c r="H49"/>
  <c r="I49"/>
  <c r="J49"/>
  <c r="K49"/>
  <c r="C43" i="92"/>
  <c r="C44"/>
  <c r="C45"/>
  <c r="C46"/>
  <c r="C47"/>
  <c r="C48"/>
  <c r="C49"/>
  <c r="C50"/>
  <c r="D51"/>
  <c r="E51"/>
  <c r="F51"/>
  <c r="A19" i="9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M19"/>
  <c r="M20"/>
  <c r="M23"/>
  <c r="M24"/>
  <c r="M25"/>
  <c r="M27"/>
  <c r="M28"/>
  <c r="M29"/>
  <c r="M30"/>
  <c r="M31"/>
  <c r="M32"/>
  <c r="M33"/>
  <c r="M34"/>
  <c r="M35"/>
  <c r="M36"/>
  <c r="M37"/>
  <c r="M38"/>
  <c r="M39"/>
  <c r="M43"/>
  <c r="M44"/>
  <c r="M45"/>
  <c r="M46"/>
  <c r="M48"/>
  <c r="M49"/>
  <c r="M70"/>
  <c r="M71"/>
  <c r="M73"/>
  <c r="M74"/>
  <c r="M75"/>
  <c r="M76"/>
  <c r="M77"/>
  <c r="M78"/>
  <c r="M79"/>
  <c r="M80"/>
  <c r="M83"/>
  <c r="M84"/>
  <c r="M85"/>
  <c r="M86"/>
  <c r="M87"/>
  <c r="M88"/>
  <c r="M89"/>
  <c r="M90"/>
  <c r="M91"/>
  <c r="M92"/>
  <c r="M94"/>
  <c r="M95"/>
  <c r="M96"/>
  <c r="M97"/>
  <c r="M98"/>
  <c r="M99"/>
  <c r="M120"/>
  <c r="M121"/>
  <c r="M122"/>
  <c r="M123"/>
  <c r="M124"/>
  <c r="M125"/>
  <c r="M127"/>
  <c r="M128"/>
  <c r="M129"/>
  <c r="M130"/>
  <c r="M131"/>
  <c r="M132"/>
  <c r="M133"/>
  <c r="M134"/>
  <c r="M135"/>
  <c r="M136"/>
  <c r="M137"/>
  <c r="M138"/>
  <c r="M139"/>
  <c r="M140"/>
  <c r="M141"/>
  <c r="M142"/>
  <c r="M143"/>
  <c r="M147"/>
  <c r="M148"/>
  <c r="M149"/>
  <c r="M150"/>
  <c r="M170"/>
  <c r="M171"/>
  <c r="M172"/>
  <c r="M173"/>
  <c r="M174"/>
  <c r="M175"/>
  <c r="M176"/>
  <c r="M178"/>
  <c r="M179"/>
  <c r="M180"/>
  <c r="M182"/>
  <c r="M183"/>
  <c r="M186"/>
  <c r="M187"/>
  <c r="M188"/>
  <c r="F192"/>
  <c r="G192"/>
  <c r="H192"/>
  <c r="J192"/>
  <c r="K192"/>
  <c r="C710" i="89"/>
  <c r="F1037"/>
  <c r="F1039"/>
  <c r="F1040"/>
  <c r="C31" i="85"/>
  <c r="E31"/>
  <c r="F31"/>
  <c r="G31"/>
  <c r="H31"/>
  <c r="I31"/>
  <c r="K31"/>
  <c r="L31"/>
  <c r="M31"/>
  <c r="I35"/>
  <c r="D62" i="84"/>
  <c r="E22" i="82"/>
  <c r="E31"/>
  <c r="K15" i="79"/>
  <c r="K20"/>
  <c r="K24"/>
  <c r="K32"/>
  <c r="H40" i="78"/>
  <c r="A23" i="76"/>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D23" i="75"/>
  <c r="D30"/>
  <c r="D32"/>
  <c r="D33"/>
  <c r="D34"/>
  <c r="D35"/>
  <c r="D36"/>
  <c r="D37"/>
  <c r="D38"/>
  <c r="F42"/>
  <c r="F43"/>
  <c r="F44" s="1"/>
  <c r="D44"/>
  <c r="E44"/>
  <c r="F46"/>
  <c r="F47"/>
  <c r="D49"/>
  <c r="E49"/>
  <c r="F51"/>
  <c r="G63" i="74"/>
  <c r="H63"/>
  <c r="J63"/>
  <c r="K63"/>
  <c r="G128"/>
  <c r="H128"/>
  <c r="J128"/>
  <c r="K128"/>
  <c r="M17" i="73"/>
  <c r="C62"/>
  <c r="D62"/>
  <c r="F62"/>
  <c r="I62"/>
  <c r="J62"/>
  <c r="L62"/>
  <c r="C35" i="72"/>
  <c r="D35"/>
  <c r="C59"/>
  <c r="D59"/>
  <c r="C60"/>
  <c r="E33" i="71"/>
  <c r="E64"/>
  <c r="E79"/>
  <c r="E87"/>
  <c r="E124"/>
  <c r="E147"/>
  <c r="E158"/>
  <c r="E167"/>
  <c r="A18" i="70"/>
  <c r="A19" s="1"/>
  <c r="A20" s="1"/>
  <c r="A21" s="1"/>
  <c r="A22" s="1"/>
  <c r="A23" s="1"/>
  <c r="A24" s="1"/>
  <c r="A25" s="1"/>
  <c r="A26" s="1"/>
  <c r="A27" s="1"/>
  <c r="A28" s="1"/>
  <c r="A29" s="1"/>
  <c r="A30" s="1"/>
  <c r="A31" s="1"/>
  <c r="E31"/>
  <c r="A34"/>
  <c r="A35" s="1"/>
  <c r="A36" s="1"/>
  <c r="A37" s="1"/>
  <c r="A38" s="1"/>
  <c r="A39" s="1"/>
  <c r="A40" s="1"/>
  <c r="A41" s="1"/>
  <c r="A42" s="1"/>
  <c r="A43" s="1"/>
  <c r="A44" s="1"/>
  <c r="A45" s="1"/>
  <c r="A46" s="1"/>
  <c r="F47"/>
  <c r="E58" i="69"/>
  <c r="G15" i="68"/>
  <c r="G16"/>
  <c r="G17"/>
  <c r="G18"/>
  <c r="G19"/>
  <c r="G20"/>
  <c r="G21"/>
  <c r="G22"/>
  <c r="E23"/>
  <c r="E47" s="1"/>
  <c r="F23"/>
  <c r="G27"/>
  <c r="G28"/>
  <c r="G29"/>
  <c r="G30"/>
  <c r="G31"/>
  <c r="G32"/>
  <c r="G33"/>
  <c r="G34"/>
  <c r="G35"/>
  <c r="G36"/>
  <c r="G37"/>
  <c r="G38"/>
  <c r="G39"/>
  <c r="G40"/>
  <c r="G41"/>
  <c r="G42"/>
  <c r="D43"/>
  <c r="E43"/>
  <c r="F43"/>
  <c r="G50"/>
  <c r="G51"/>
  <c r="G52"/>
  <c r="D54"/>
  <c r="E54"/>
  <c r="F54"/>
  <c r="I28" i="67"/>
  <c r="I68"/>
  <c r="F42" i="64"/>
  <c r="F43"/>
  <c r="F44"/>
  <c r="F45"/>
  <c r="F46"/>
  <c r="F47"/>
  <c r="F48"/>
  <c r="C49"/>
  <c r="D49"/>
  <c r="E49"/>
  <c r="E61" i="63"/>
  <c r="A42"/>
  <c r="A43" s="1"/>
  <c r="A44" s="1"/>
  <c r="A45" s="1"/>
  <c r="A46" s="1"/>
  <c r="A47" s="1"/>
  <c r="A48" s="1"/>
  <c r="A49" s="1"/>
  <c r="A50" s="1"/>
  <c r="A51" s="1"/>
  <c r="A52" s="1"/>
  <c r="A53" s="1"/>
  <c r="A54" s="1"/>
  <c r="A55" s="1"/>
  <c r="A56" s="1"/>
  <c r="A57" s="1"/>
  <c r="A58" s="1"/>
  <c r="A59" s="1"/>
  <c r="A60" s="1"/>
  <c r="D61"/>
  <c r="C321" i="95"/>
  <c r="C322"/>
  <c r="C323"/>
  <c r="C330"/>
  <c r="D157" i="62"/>
  <c r="E157"/>
  <c r="D174"/>
  <c r="C438" i="95" s="1"/>
  <c r="C404" s="1"/>
  <c r="E63" i="61"/>
  <c r="E12" i="60"/>
  <c r="I12"/>
  <c r="E13"/>
  <c r="I13"/>
  <c r="E14"/>
  <c r="I14"/>
  <c r="E15"/>
  <c r="I15"/>
  <c r="E16"/>
  <c r="I16"/>
  <c r="E17"/>
  <c r="I17"/>
  <c r="E18"/>
  <c r="I18"/>
  <c r="E19"/>
  <c r="I19"/>
  <c r="E20"/>
  <c r="I20"/>
  <c r="E21"/>
  <c r="I21"/>
  <c r="E22"/>
  <c r="I22"/>
  <c r="E23"/>
  <c r="I23"/>
  <c r="E24"/>
  <c r="I24"/>
  <c r="E25"/>
  <c r="I25"/>
  <c r="E26"/>
  <c r="I26"/>
  <c r="E27"/>
  <c r="I27"/>
  <c r="E28"/>
  <c r="I28"/>
  <c r="E29"/>
  <c r="I29"/>
  <c r="E30"/>
  <c r="I30"/>
  <c r="E31"/>
  <c r="I31"/>
  <c r="E32"/>
  <c r="I32"/>
  <c r="E33"/>
  <c r="I33"/>
  <c r="E34"/>
  <c r="I34"/>
  <c r="E35"/>
  <c r="I35"/>
  <c r="E36"/>
  <c r="I36"/>
  <c r="E37"/>
  <c r="I37"/>
  <c r="E38"/>
  <c r="I38"/>
  <c r="E39"/>
  <c r="I39"/>
  <c r="E40"/>
  <c r="I40"/>
  <c r="E41"/>
  <c r="I41"/>
  <c r="E42"/>
  <c r="I42"/>
  <c r="E43"/>
  <c r="I43"/>
  <c r="C44"/>
  <c r="D44"/>
  <c r="G44"/>
  <c r="H44"/>
  <c r="D64" i="59"/>
  <c r="E64"/>
  <c r="F64"/>
  <c r="G64"/>
  <c r="H64"/>
  <c r="I64"/>
  <c r="J64"/>
  <c r="K64"/>
  <c r="L64"/>
  <c r="M64"/>
  <c r="N64"/>
  <c r="O64"/>
  <c r="P64"/>
  <c r="Q64"/>
  <c r="C125"/>
  <c r="D125"/>
  <c r="E125"/>
  <c r="F125"/>
  <c r="G125"/>
  <c r="H125"/>
  <c r="F19" i="58"/>
  <c r="E26"/>
  <c r="A20"/>
  <c r="F20"/>
  <c r="G20"/>
  <c r="A2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F21"/>
  <c r="G21"/>
  <c r="F22"/>
  <c r="G22"/>
  <c r="F23"/>
  <c r="G23"/>
  <c r="F24"/>
  <c r="G24"/>
  <c r="F25"/>
  <c r="G25"/>
  <c r="C34"/>
  <c r="D34"/>
  <c r="E34"/>
  <c r="F28"/>
  <c r="G28"/>
  <c r="F29"/>
  <c r="G29"/>
  <c r="F30"/>
  <c r="G30"/>
  <c r="F31"/>
  <c r="G31"/>
  <c r="F32"/>
  <c r="G32"/>
  <c r="F33"/>
  <c r="G33"/>
  <c r="F35"/>
  <c r="G35"/>
  <c r="F36"/>
  <c r="G36"/>
  <c r="F37"/>
  <c r="G37"/>
  <c r="F38"/>
  <c r="G38"/>
  <c r="F39"/>
  <c r="G39"/>
  <c r="F40"/>
  <c r="G40"/>
  <c r="F41"/>
  <c r="G41"/>
  <c r="C42"/>
  <c r="D42"/>
  <c r="E42"/>
  <c r="F43"/>
  <c r="G43"/>
  <c r="G44"/>
  <c r="G45"/>
  <c r="F46"/>
  <c r="G46"/>
  <c r="F47"/>
  <c r="G47"/>
  <c r="D48"/>
  <c r="E48"/>
  <c r="G49"/>
  <c r="F50"/>
  <c r="G50"/>
  <c r="F51"/>
  <c r="G51"/>
  <c r="F52"/>
  <c r="G52"/>
  <c r="F53"/>
  <c r="G53"/>
  <c r="D54"/>
  <c r="E54"/>
  <c r="C60"/>
  <c r="G55"/>
  <c r="F55"/>
  <c r="F56"/>
  <c r="G56"/>
  <c r="F57"/>
  <c r="G57"/>
  <c r="F58"/>
  <c r="G58"/>
  <c r="F59"/>
  <c r="G59"/>
  <c r="D60"/>
  <c r="F61"/>
  <c r="G61"/>
  <c r="F62"/>
  <c r="G62"/>
  <c r="F63"/>
  <c r="G63"/>
  <c r="F64"/>
  <c r="G64"/>
  <c r="F65"/>
  <c r="G65"/>
  <c r="C66"/>
  <c r="D66"/>
  <c r="G66" s="1"/>
  <c r="E66"/>
  <c r="F66" s="1"/>
  <c r="F84"/>
  <c r="G84"/>
  <c r="A85"/>
  <c r="A86" s="1"/>
  <c r="A87" s="1"/>
  <c r="A88" s="1"/>
  <c r="A89" s="1"/>
  <c r="A90" s="1"/>
  <c r="A91" s="1"/>
  <c r="A92" s="1"/>
  <c r="A93" s="1"/>
  <c r="A94" s="1"/>
  <c r="A95" s="1"/>
  <c r="A96" s="1"/>
  <c r="A97" s="1"/>
  <c r="A98" s="1"/>
  <c r="A99" s="1"/>
  <c r="A100" s="1"/>
  <c r="A101" s="1"/>
  <c r="A102" s="1"/>
  <c r="A103" s="1"/>
  <c r="A104" s="1"/>
  <c r="A105" s="1"/>
  <c r="A106" s="1"/>
  <c r="A107" s="1"/>
  <c r="F85"/>
  <c r="G85"/>
  <c r="F86"/>
  <c r="G86"/>
  <c r="F87"/>
  <c r="G87"/>
  <c r="F88"/>
  <c r="G88"/>
  <c r="F89"/>
  <c r="G89"/>
  <c r="F90"/>
  <c r="G90"/>
  <c r="F91"/>
  <c r="G91"/>
  <c r="F92"/>
  <c r="G92"/>
  <c r="F93"/>
  <c r="G93"/>
  <c r="F94"/>
  <c r="G94"/>
  <c r="F95"/>
  <c r="G95"/>
  <c r="F96"/>
  <c r="G96"/>
  <c r="F97"/>
  <c r="G97"/>
  <c r="F98"/>
  <c r="G98"/>
  <c r="F99"/>
  <c r="G99"/>
  <c r="F100"/>
  <c r="G100"/>
  <c r="F101"/>
  <c r="G101"/>
  <c r="F102"/>
  <c r="G102"/>
  <c r="F103"/>
  <c r="G103"/>
  <c r="F104"/>
  <c r="G104"/>
  <c r="F105"/>
  <c r="G105"/>
  <c r="F106"/>
  <c r="G106"/>
  <c r="F107"/>
  <c r="G107"/>
  <c r="F108"/>
  <c r="G108"/>
  <c r="F109"/>
  <c r="G109"/>
  <c r="F110"/>
  <c r="G110"/>
  <c r="F111"/>
  <c r="G111"/>
  <c r="F112"/>
  <c r="G112"/>
  <c r="F113"/>
  <c r="G113"/>
  <c r="F114"/>
  <c r="G114"/>
  <c r="F115"/>
  <c r="G115"/>
  <c r="F116"/>
  <c r="G116"/>
  <c r="F117"/>
  <c r="G117"/>
  <c r="F118"/>
  <c r="G118"/>
  <c r="F119"/>
  <c r="G119"/>
  <c r="F120"/>
  <c r="G120"/>
  <c r="F121"/>
  <c r="G121"/>
  <c r="F122"/>
  <c r="G122"/>
  <c r="F123"/>
  <c r="G123"/>
  <c r="F124"/>
  <c r="G124"/>
  <c r="A125"/>
  <c r="A126" s="1"/>
  <c r="A127" s="1"/>
  <c r="A128" s="1"/>
  <c r="A129" s="1"/>
  <c r="A130" s="1"/>
  <c r="A131" s="1"/>
  <c r="A132" s="1"/>
  <c r="A133" s="1"/>
  <c r="A134" s="1"/>
  <c r="A135" s="1"/>
  <c r="A136" s="1"/>
  <c r="A137" s="1"/>
  <c r="A138" s="1"/>
  <c r="F125"/>
  <c r="G125"/>
  <c r="F126"/>
  <c r="G126"/>
  <c r="F127"/>
  <c r="G127"/>
  <c r="F128"/>
  <c r="G128"/>
  <c r="F129"/>
  <c r="G129"/>
  <c r="F130"/>
  <c r="G130"/>
  <c r="F131"/>
  <c r="G131"/>
  <c r="F132"/>
  <c r="G132"/>
  <c r="F133"/>
  <c r="G133"/>
  <c r="F134"/>
  <c r="G134"/>
  <c r="F135"/>
  <c r="G135"/>
  <c r="F136"/>
  <c r="G136"/>
  <c r="F137"/>
  <c r="G137"/>
  <c r="C138"/>
  <c r="D138"/>
  <c r="E138"/>
  <c r="H31" i="57"/>
  <c r="C226" i="95"/>
  <c r="E31" i="57"/>
  <c r="F31"/>
  <c r="G31"/>
  <c r="I31"/>
  <c r="E39"/>
  <c r="G13" i="56"/>
  <c r="G14"/>
  <c r="G15"/>
  <c r="G16"/>
  <c r="G18"/>
  <c r="G19"/>
  <c r="G20"/>
  <c r="G21"/>
  <c r="G23"/>
  <c r="G24"/>
  <c r="G25"/>
  <c r="G27"/>
  <c r="G28"/>
  <c r="G29"/>
  <c r="G30"/>
  <c r="D31"/>
  <c r="E31"/>
  <c r="F31"/>
  <c r="G33"/>
  <c r="G18" i="55"/>
  <c r="C19"/>
  <c r="D19"/>
  <c r="F19"/>
  <c r="G22"/>
  <c r="G23"/>
  <c r="G25"/>
  <c r="G26"/>
  <c r="G27"/>
  <c r="C33" i="51"/>
  <c r="G33"/>
  <c r="G54" s="1"/>
  <c r="J17"/>
  <c r="J18"/>
  <c r="J19"/>
  <c r="J20"/>
  <c r="J21"/>
  <c r="J22"/>
  <c r="J23"/>
  <c r="J24"/>
  <c r="J25"/>
  <c r="J26"/>
  <c r="J27"/>
  <c r="J28"/>
  <c r="J29"/>
  <c r="J30"/>
  <c r="J31"/>
  <c r="J32"/>
  <c r="E33"/>
  <c r="H33"/>
  <c r="J35"/>
  <c r="J36"/>
  <c r="J37"/>
  <c r="J38"/>
  <c r="J39"/>
  <c r="J40"/>
  <c r="J41"/>
  <c r="J42"/>
  <c r="J43"/>
  <c r="J44"/>
  <c r="J45"/>
  <c r="J46"/>
  <c r="J47"/>
  <c r="J48"/>
  <c r="J49"/>
  <c r="J50"/>
  <c r="J51"/>
  <c r="J52"/>
  <c r="C53"/>
  <c r="E53"/>
  <c r="G53"/>
  <c r="H53"/>
  <c r="J53" s="1"/>
  <c r="G14" i="50"/>
  <c r="G16"/>
  <c r="G18"/>
  <c r="G20"/>
  <c r="G22"/>
  <c r="G24"/>
  <c r="G26"/>
  <c r="G28"/>
  <c r="G30"/>
  <c r="G32"/>
  <c r="C54"/>
  <c r="G34"/>
  <c r="F54"/>
  <c r="I22" i="49"/>
  <c r="G26"/>
  <c r="I23"/>
  <c r="F80"/>
  <c r="F81"/>
  <c r="D26"/>
  <c r="J26"/>
  <c r="N26"/>
  <c r="G41"/>
  <c r="I35"/>
  <c r="I36"/>
  <c r="F93"/>
  <c r="I38"/>
  <c r="D41"/>
  <c r="E41"/>
  <c r="F41"/>
  <c r="N41"/>
  <c r="C50"/>
  <c r="D50"/>
  <c r="E50"/>
  <c r="F50"/>
  <c r="K50"/>
  <c r="G50"/>
  <c r="I50"/>
  <c r="M50"/>
  <c r="N50"/>
  <c r="L65"/>
  <c r="C83"/>
  <c r="D83"/>
  <c r="E83"/>
  <c r="G83"/>
  <c r="C98"/>
  <c r="G95"/>
  <c r="G98" s="1"/>
  <c r="D98"/>
  <c r="E98"/>
  <c r="C107"/>
  <c r="D107"/>
  <c r="E107"/>
  <c r="G107"/>
  <c r="E50" i="48"/>
  <c r="L50"/>
  <c r="D50"/>
  <c r="K50"/>
  <c r="D58"/>
  <c r="E58"/>
  <c r="K58"/>
  <c r="L58"/>
  <c r="L79"/>
  <c r="L88" s="1"/>
  <c r="L60" s="1"/>
  <c r="L80"/>
  <c r="D122"/>
  <c r="E122"/>
  <c r="K122"/>
  <c r="E35" i="47"/>
  <c r="F35"/>
  <c r="G35"/>
  <c r="F52"/>
  <c r="F58" s="1"/>
  <c r="G58"/>
  <c r="F57"/>
  <c r="D58"/>
  <c r="E58"/>
  <c r="F59"/>
  <c r="E66"/>
  <c r="F61"/>
  <c r="F62"/>
  <c r="D66"/>
  <c r="G66"/>
  <c r="E58" i="46"/>
  <c r="E31" i="45"/>
  <c r="E40"/>
  <c r="E49"/>
  <c r="D21" i="44"/>
  <c r="E21"/>
  <c r="D28"/>
  <c r="E28"/>
  <c r="D35"/>
  <c r="E35"/>
  <c r="D42"/>
  <c r="E42"/>
  <c r="D51"/>
  <c r="E51"/>
  <c r="D61"/>
  <c r="E61"/>
  <c r="H39" i="43"/>
  <c r="C39"/>
  <c r="G39"/>
  <c r="I39"/>
  <c r="J39"/>
  <c r="K39"/>
  <c r="L39"/>
  <c r="H60"/>
  <c r="C60"/>
  <c r="G60"/>
  <c r="I60"/>
  <c r="J60"/>
  <c r="K60"/>
  <c r="L60"/>
  <c r="A13" i="42"/>
  <c r="A14" s="1"/>
  <c r="A15" s="1"/>
  <c r="A16" s="1"/>
  <c r="A17" s="1"/>
  <c r="A18" s="1"/>
  <c r="A19" s="1"/>
  <c r="A20" s="1"/>
  <c r="A21" s="1"/>
  <c r="A22" s="1"/>
  <c r="A23" s="1"/>
  <c r="A24" s="1"/>
  <c r="A25" s="1"/>
  <c r="A26" s="1"/>
  <c r="A27" s="1"/>
  <c r="A28" s="1"/>
  <c r="A29" s="1"/>
  <c r="A30" s="1"/>
  <c r="A31" s="1"/>
  <c r="A32" s="1"/>
  <c r="A33" s="1"/>
  <c r="A34" s="1"/>
  <c r="A35" s="1"/>
  <c r="A36" s="1"/>
  <c r="A37" s="1"/>
  <c r="A38" s="1"/>
  <c r="A39" s="1"/>
  <c r="F29"/>
  <c r="E38"/>
  <c r="F38"/>
  <c r="C26" i="41"/>
  <c r="D26"/>
  <c r="F26"/>
  <c r="G26"/>
  <c r="G35"/>
  <c r="G36"/>
  <c r="G37"/>
  <c r="G38"/>
  <c r="G39"/>
  <c r="G40"/>
  <c r="F41"/>
  <c r="F63" s="1"/>
  <c r="G42"/>
  <c r="D63"/>
  <c r="F60" i="40"/>
  <c r="F19" i="39"/>
  <c r="F20"/>
  <c r="F21"/>
  <c r="F22"/>
  <c r="F23"/>
  <c r="F24"/>
  <c r="F25"/>
  <c r="F26"/>
  <c r="F27"/>
  <c r="F28"/>
  <c r="F29"/>
  <c r="F30"/>
  <c r="F31"/>
  <c r="C32"/>
  <c r="D32"/>
  <c r="E32"/>
  <c r="F32"/>
  <c r="G32"/>
  <c r="F33"/>
  <c r="F34"/>
  <c r="F35"/>
  <c r="F36"/>
  <c r="F37"/>
  <c r="F38"/>
  <c r="F39"/>
  <c r="F40"/>
  <c r="F41"/>
  <c r="F42"/>
  <c r="F43"/>
  <c r="F44"/>
  <c r="F45"/>
  <c r="F46"/>
  <c r="F47"/>
  <c r="F48"/>
  <c r="F49"/>
  <c r="F50"/>
  <c r="F51"/>
  <c r="F52"/>
  <c r="F53"/>
  <c r="F54"/>
  <c r="F55"/>
  <c r="F56"/>
  <c r="F57"/>
  <c r="F58"/>
  <c r="F59"/>
  <c r="F60"/>
  <c r="F61"/>
  <c r="F62"/>
  <c r="F63"/>
  <c r="F64"/>
  <c r="F65"/>
  <c r="D66"/>
  <c r="E66"/>
  <c r="G66"/>
  <c r="C40" i="38"/>
  <c r="C46" s="1"/>
  <c r="G41"/>
  <c r="G42"/>
  <c r="A43"/>
  <c r="G43"/>
  <c r="A44"/>
  <c r="A45" s="1"/>
  <c r="A46" s="1"/>
  <c r="A47" s="1"/>
  <c r="A48" s="1"/>
  <c r="A49" s="1"/>
  <c r="A50" s="1"/>
  <c r="A51" s="1"/>
  <c r="A52" s="1"/>
  <c r="A53" s="1"/>
  <c r="A54" s="1"/>
  <c r="A55" s="1"/>
  <c r="A56" s="1"/>
  <c r="A57" s="1"/>
  <c r="A58" s="1"/>
  <c r="G44"/>
  <c r="G45"/>
  <c r="D46"/>
  <c r="E46"/>
  <c r="F46"/>
  <c r="C24" i="37"/>
  <c r="C31"/>
  <c r="C38"/>
  <c r="C66"/>
  <c r="D62" i="36"/>
  <c r="E62"/>
  <c r="F62"/>
  <c r="E37" i="35"/>
  <c r="G37"/>
  <c r="H37"/>
  <c r="I37"/>
  <c r="E45"/>
  <c r="G45"/>
  <c r="H45"/>
  <c r="I45"/>
  <c r="C21" i="34"/>
  <c r="C24"/>
  <c r="C25"/>
  <c r="C26"/>
  <c r="C27"/>
  <c r="C28"/>
  <c r="C29"/>
  <c r="D30"/>
  <c r="C33"/>
  <c r="C34"/>
  <c r="C35"/>
  <c r="C37"/>
  <c r="C38"/>
  <c r="C39"/>
  <c r="C43"/>
  <c r="C44"/>
  <c r="C45"/>
  <c r="C46"/>
  <c r="C47"/>
  <c r="D48"/>
  <c r="E52" i="33"/>
  <c r="F50" s="1"/>
  <c r="J21" i="30"/>
  <c r="J22"/>
  <c r="J23"/>
  <c r="D24"/>
  <c r="E24"/>
  <c r="G24"/>
  <c r="H24"/>
  <c r="I24"/>
  <c r="J26"/>
  <c r="J27"/>
  <c r="J28"/>
  <c r="J29"/>
  <c r="J30"/>
  <c r="J31"/>
  <c r="J32"/>
  <c r="J33"/>
  <c r="D34"/>
  <c r="E34"/>
  <c r="G34"/>
  <c r="H34"/>
  <c r="I34"/>
  <c r="C359" i="95" s="1"/>
  <c r="J36" i="30"/>
  <c r="J37"/>
  <c r="J38"/>
  <c r="J39"/>
  <c r="J40"/>
  <c r="J41"/>
  <c r="J42"/>
  <c r="J43"/>
  <c r="J44"/>
  <c r="D45"/>
  <c r="E45"/>
  <c r="G45"/>
  <c r="H45"/>
  <c r="I45"/>
  <c r="C360" i="95" s="1"/>
  <c r="J47" i="30"/>
  <c r="J48"/>
  <c r="J49"/>
  <c r="D50"/>
  <c r="E50"/>
  <c r="G50"/>
  <c r="H50"/>
  <c r="I50"/>
  <c r="C361" i="95" s="1"/>
  <c r="J52" i="30"/>
  <c r="J53"/>
  <c r="J54"/>
  <c r="J55"/>
  <c r="J56"/>
  <c r="J57"/>
  <c r="J58"/>
  <c r="J59"/>
  <c r="J60"/>
  <c r="J61"/>
  <c r="D62"/>
  <c r="E62"/>
  <c r="G62"/>
  <c r="H62"/>
  <c r="I62"/>
  <c r="J74"/>
  <c r="J75"/>
  <c r="J76"/>
  <c r="J77"/>
  <c r="J78"/>
  <c r="J79"/>
  <c r="J80"/>
  <c r="J81"/>
  <c r="J82"/>
  <c r="J83"/>
  <c r="J84"/>
  <c r="D85"/>
  <c r="E85"/>
  <c r="G85"/>
  <c r="H85"/>
  <c r="I85"/>
  <c r="D11" i="29"/>
  <c r="D13"/>
  <c r="D14"/>
  <c r="D15"/>
  <c r="E16"/>
  <c r="G16"/>
  <c r="H16"/>
  <c r="I16"/>
  <c r="J16"/>
  <c r="K16"/>
  <c r="D17"/>
  <c r="D18"/>
  <c r="D19"/>
  <c r="D20"/>
  <c r="D21"/>
  <c r="D22"/>
  <c r="E23"/>
  <c r="G23"/>
  <c r="H23"/>
  <c r="I23"/>
  <c r="J23"/>
  <c r="K23"/>
  <c r="D29"/>
  <c r="D30"/>
  <c r="E31"/>
  <c r="G31"/>
  <c r="H31"/>
  <c r="I31"/>
  <c r="J31"/>
  <c r="K31"/>
  <c r="D33"/>
  <c r="D34"/>
  <c r="E35"/>
  <c r="G35"/>
  <c r="H35"/>
  <c r="I35"/>
  <c r="J35"/>
  <c r="K35"/>
  <c r="D37"/>
  <c r="D38"/>
  <c r="E39"/>
  <c r="G39"/>
  <c r="H39"/>
  <c r="I39"/>
  <c r="J39"/>
  <c r="K39"/>
  <c r="D40"/>
  <c r="E41"/>
  <c r="E24" s="1"/>
  <c r="C377" i="95" s="1"/>
  <c r="E48" i="27"/>
  <c r="C165" i="95" s="1"/>
  <c r="E102" i="27"/>
  <c r="E115" s="1"/>
  <c r="H31" i="26"/>
  <c r="H37"/>
  <c r="H44"/>
  <c r="C130" i="95" s="1"/>
  <c r="H51" i="26"/>
  <c r="C131" i="95" s="1"/>
  <c r="H80" i="26"/>
  <c r="C138" i="95" s="1"/>
  <c r="H109" i="26"/>
  <c r="A14" i="52"/>
  <c r="A15" s="1"/>
  <c r="A16" s="1"/>
  <c r="A17" s="1"/>
  <c r="A18" s="1"/>
  <c r="A19" s="1"/>
  <c r="A20" s="1"/>
  <c r="A21" s="1"/>
  <c r="A22" s="1"/>
  <c r="N14"/>
  <c r="N15" s="1"/>
  <c r="N16" s="1"/>
  <c r="N17" s="1"/>
  <c r="N18" s="1"/>
  <c r="N19" s="1"/>
  <c r="N20" s="1"/>
  <c r="N21" s="1"/>
  <c r="N22" s="1"/>
  <c r="M15"/>
  <c r="M16"/>
  <c r="M17"/>
  <c r="M18"/>
  <c r="M19"/>
  <c r="C20"/>
  <c r="C22" s="1"/>
  <c r="D20"/>
  <c r="D22" s="1"/>
  <c r="E20"/>
  <c r="G20"/>
  <c r="H20"/>
  <c r="H22" s="1"/>
  <c r="J20"/>
  <c r="J22" s="1"/>
  <c r="L20"/>
  <c r="M21"/>
  <c r="A26"/>
  <c r="A27" s="1"/>
  <c r="A28" s="1"/>
  <c r="A29" s="1"/>
  <c r="A30" s="1"/>
  <c r="A31" s="1"/>
  <c r="A32" s="1"/>
  <c r="A33" s="1"/>
  <c r="M26"/>
  <c r="N26"/>
  <c r="N27" s="1"/>
  <c r="N28" s="1"/>
  <c r="N29" s="1"/>
  <c r="N30" s="1"/>
  <c r="N31" s="1"/>
  <c r="N32" s="1"/>
  <c r="N33" s="1"/>
  <c r="M27"/>
  <c r="M28"/>
  <c r="M29"/>
  <c r="M30"/>
  <c r="C31"/>
  <c r="C33" s="1"/>
  <c r="D31"/>
  <c r="D33" s="1"/>
  <c r="E31"/>
  <c r="E33" s="1"/>
  <c r="G31"/>
  <c r="G33" s="1"/>
  <c r="H31"/>
  <c r="H33" s="1"/>
  <c r="J31"/>
  <c r="J33" s="1"/>
  <c r="L31"/>
  <c r="L33" s="1"/>
  <c r="M32"/>
  <c r="A36"/>
  <c r="A37" s="1"/>
  <c r="A38" s="1"/>
  <c r="A39" s="1"/>
  <c r="A40" s="1"/>
  <c r="A41" s="1"/>
  <c r="A42" s="1"/>
  <c r="A43" s="1"/>
  <c r="A44" s="1"/>
  <c r="A45" s="1"/>
  <c r="A46" s="1"/>
  <c r="A47" s="1"/>
  <c r="N36"/>
  <c r="N37" s="1"/>
  <c r="N38" s="1"/>
  <c r="N39" s="1"/>
  <c r="N40" s="1"/>
  <c r="N41" s="1"/>
  <c r="N42" s="1"/>
  <c r="N43" s="1"/>
  <c r="N44" s="1"/>
  <c r="N45" s="1"/>
  <c r="N46" s="1"/>
  <c r="N47" s="1"/>
  <c r="M37"/>
  <c r="M39"/>
  <c r="M40"/>
  <c r="M41"/>
  <c r="M42"/>
  <c r="M43"/>
  <c r="M44"/>
  <c r="E45"/>
  <c r="E47" s="1"/>
  <c r="G45"/>
  <c r="G47" s="1"/>
  <c r="H45"/>
  <c r="H47" s="1"/>
  <c r="J45"/>
  <c r="L45"/>
  <c r="L47" s="1"/>
  <c r="M46"/>
  <c r="J47"/>
  <c r="J50"/>
  <c r="J52" s="1"/>
  <c r="C51"/>
  <c r="D51"/>
  <c r="E51"/>
  <c r="G51"/>
  <c r="H51"/>
  <c r="J51"/>
  <c r="L51"/>
  <c r="G23" i="25"/>
  <c r="H23"/>
  <c r="G27"/>
  <c r="H27"/>
  <c r="G28"/>
  <c r="H28"/>
  <c r="G29"/>
  <c r="H29"/>
  <c r="G31"/>
  <c r="H31"/>
  <c r="G32"/>
  <c r="G33"/>
  <c r="H33"/>
  <c r="G34"/>
  <c r="H34"/>
  <c r="G35"/>
  <c r="H35"/>
  <c r="G36"/>
  <c r="H36"/>
  <c r="G37"/>
  <c r="H37"/>
  <c r="H38"/>
  <c r="G39"/>
  <c r="G40"/>
  <c r="H40"/>
  <c r="G41"/>
  <c r="H41"/>
  <c r="G42"/>
  <c r="H42"/>
  <c r="G43"/>
  <c r="H43"/>
  <c r="L44"/>
  <c r="L46" s="1"/>
  <c r="M44"/>
  <c r="N44"/>
  <c r="O44"/>
  <c r="M46"/>
  <c r="N46"/>
  <c r="O46"/>
  <c r="C100" i="95"/>
  <c r="C101"/>
  <c r="C28"/>
  <c r="C35"/>
  <c r="C37"/>
  <c r="C44"/>
  <c r="E92" i="24"/>
  <c r="C56" i="95"/>
  <c r="C58"/>
  <c r="C28" i="23"/>
  <c r="D28"/>
  <c r="E28"/>
  <c r="F28"/>
  <c r="G28"/>
  <c r="H28"/>
  <c r="I28"/>
  <c r="J28"/>
  <c r="L28"/>
  <c r="C51"/>
  <c r="D51"/>
  <c r="E51"/>
  <c r="F51"/>
  <c r="G51"/>
  <c r="H51"/>
  <c r="I51"/>
  <c r="J51"/>
  <c r="L51"/>
  <c r="C86"/>
  <c r="D86"/>
  <c r="E86"/>
  <c r="F86"/>
  <c r="G86"/>
  <c r="H86"/>
  <c r="I86"/>
  <c r="J86"/>
  <c r="L86"/>
  <c r="C132"/>
  <c r="C139" s="1"/>
  <c r="D132"/>
  <c r="E132"/>
  <c r="F132"/>
  <c r="G132"/>
  <c r="G139" s="1"/>
  <c r="H132"/>
  <c r="H139" s="1"/>
  <c r="I132"/>
  <c r="I139" s="1"/>
  <c r="J132"/>
  <c r="L132"/>
  <c r="L139" s="1"/>
  <c r="D139"/>
  <c r="E139"/>
  <c r="F139"/>
  <c r="J139"/>
  <c r="N19" i="19"/>
  <c r="N20"/>
  <c r="N21"/>
  <c r="N22"/>
  <c r="N23"/>
  <c r="N24"/>
  <c r="N25"/>
  <c r="N26"/>
  <c r="N27"/>
  <c r="N28"/>
  <c r="N29"/>
  <c r="N30"/>
  <c r="N31"/>
  <c r="N32"/>
  <c r="N33"/>
  <c r="N34"/>
  <c r="O34"/>
  <c r="O35" s="1"/>
  <c r="O36" s="1"/>
  <c r="O37" s="1"/>
  <c r="O38" s="1"/>
  <c r="O39" s="1"/>
  <c r="O40" s="1"/>
  <c r="O41" s="1"/>
  <c r="O42" s="1"/>
  <c r="O43" s="1"/>
  <c r="O44" s="1"/>
  <c r="O45" s="1"/>
  <c r="O46" s="1"/>
  <c r="O47" s="1"/>
  <c r="O48" s="1"/>
  <c r="O49" s="1"/>
  <c r="N35"/>
  <c r="N36"/>
  <c r="N37"/>
  <c r="N38"/>
  <c r="N39"/>
  <c r="N40"/>
  <c r="N41"/>
  <c r="N42"/>
  <c r="N43"/>
  <c r="N44"/>
  <c r="N45"/>
  <c r="N46"/>
  <c r="N47"/>
  <c r="N48"/>
  <c r="N49"/>
  <c r="B13" i="14"/>
  <c r="B17"/>
  <c r="B19"/>
  <c r="A45" i="13"/>
  <c r="A46"/>
  <c r="A47"/>
  <c r="A6" s="1"/>
  <c r="C95" i="95"/>
  <c r="G38" i="25"/>
  <c r="C85" i="95"/>
  <c r="C45" i="52"/>
  <c r="C50" s="1"/>
  <c r="C52" s="1"/>
  <c r="C58" i="47"/>
  <c r="G86" i="25"/>
  <c r="C102" i="95"/>
  <c r="C127"/>
  <c r="C57"/>
  <c r="D78" i="62" l="1"/>
  <c r="E28"/>
  <c r="E104"/>
  <c r="E60"/>
  <c r="D42"/>
  <c r="D116"/>
  <c r="C247" i="95" s="1"/>
  <c r="D104" i="62"/>
  <c r="E18"/>
  <c r="G93" i="26"/>
  <c r="G109" s="1"/>
  <c r="C106" i="95"/>
  <c r="L122" i="48"/>
  <c r="G138" i="58"/>
  <c r="E42" i="62"/>
  <c r="C133" i="95"/>
  <c r="D39" i="29"/>
  <c r="D35"/>
  <c r="H41"/>
  <c r="H24" s="1"/>
  <c r="H25" s="1"/>
  <c r="F39" i="42"/>
  <c r="G60" i="58"/>
  <c r="F23" i="38"/>
  <c r="F25" s="1"/>
  <c r="G54" i="58"/>
  <c r="D60" i="72"/>
  <c r="E52" i="75"/>
  <c r="C51" i="92"/>
  <c r="M51" i="52"/>
  <c r="G50"/>
  <c r="J41" i="29"/>
  <c r="J24" s="1"/>
  <c r="J25" s="1"/>
  <c r="J85" i="30"/>
  <c r="F51" i="33"/>
  <c r="L63" i="48"/>
  <c r="N65" i="49"/>
  <c r="E116" i="62"/>
  <c r="E93"/>
  <c r="E105" s="1"/>
  <c r="D60"/>
  <c r="D48"/>
  <c r="D49" s="1"/>
  <c r="C244" i="95" s="1"/>
  <c r="D28" i="62"/>
  <c r="D18"/>
  <c r="I36" i="85"/>
  <c r="I192" i="91"/>
  <c r="M93"/>
  <c r="M47"/>
  <c r="C189" i="95"/>
  <c r="H86" i="25"/>
  <c r="D23" i="68"/>
  <c r="D47" s="1"/>
  <c r="D58" s="1"/>
  <c r="G40" i="38"/>
  <c r="G46" s="1"/>
  <c r="C27" i="40"/>
  <c r="M62" i="73"/>
  <c r="E60" i="58"/>
  <c r="F60" s="1"/>
  <c r="F42"/>
  <c r="G19"/>
  <c r="C238" i="95"/>
  <c r="K63" i="48"/>
  <c r="C30" i="95"/>
  <c r="M22" i="49"/>
  <c r="M26" s="1"/>
  <c r="E59" i="65"/>
  <c r="C26" i="49"/>
  <c r="F83"/>
  <c r="C63" i="41"/>
  <c r="C41" i="49"/>
  <c r="E35" i="61"/>
  <c r="E41" i="69"/>
  <c r="D154" i="62"/>
  <c r="D93"/>
  <c r="E19" i="55"/>
  <c r="G19" s="1"/>
  <c r="M28" i="49"/>
  <c r="M41" s="1"/>
  <c r="C31" i="56"/>
  <c r="G31" s="1"/>
  <c r="C66" i="47"/>
  <c r="I28" i="49"/>
  <c r="I41" s="1"/>
  <c r="H81" i="25"/>
  <c r="K26" i="49"/>
  <c r="J43"/>
  <c r="J50" s="1"/>
  <c r="E21" i="24"/>
  <c r="H106" i="25"/>
  <c r="E77" i="24"/>
  <c r="E41"/>
  <c r="E11"/>
  <c r="H111" i="25"/>
  <c r="C19" i="95"/>
  <c r="D65" i="49"/>
  <c r="F97"/>
  <c r="F98" s="1"/>
  <c r="F66" i="39"/>
  <c r="C66"/>
  <c r="J40" i="49"/>
  <c r="J41" s="1"/>
  <c r="C21" i="95"/>
  <c r="K41" i="49"/>
  <c r="C25" i="95"/>
  <c r="C29"/>
  <c r="F11" i="24"/>
  <c r="C27" i="95"/>
  <c r="F100" i="49"/>
  <c r="F107" s="1"/>
  <c r="F41" i="24"/>
  <c r="F92"/>
  <c r="C73" i="95" s="1"/>
  <c r="F21" i="24"/>
  <c r="C26" i="95"/>
  <c r="C113"/>
  <c r="C46"/>
  <c r="C45"/>
  <c r="C416" s="1"/>
  <c r="C115"/>
  <c r="C20"/>
  <c r="C47"/>
  <c r="F85" i="24"/>
  <c r="F77"/>
  <c r="C47" i="52"/>
  <c r="G106" i="25"/>
  <c r="C31" i="95"/>
  <c r="C48"/>
  <c r="G23" i="38"/>
  <c r="G25" s="1"/>
  <c r="G111" i="25"/>
  <c r="C36" i="95"/>
  <c r="C38" s="1"/>
  <c r="C91"/>
  <c r="C346" s="1"/>
  <c r="C274" s="1"/>
  <c r="G81" i="25"/>
  <c r="C103" i="95"/>
  <c r="C104" s="1"/>
  <c r="J16" i="51"/>
  <c r="C122" i="49"/>
  <c r="I24"/>
  <c r="I26" s="1"/>
  <c r="E85" i="24"/>
  <c r="J33" i="51"/>
  <c r="C54"/>
  <c r="C62" i="95"/>
  <c r="C55"/>
  <c r="F107" i="24"/>
  <c r="C67" i="95"/>
  <c r="E115" i="24"/>
  <c r="J50" i="30"/>
  <c r="E86"/>
  <c r="E88" s="1"/>
  <c r="D31" i="29"/>
  <c r="E25"/>
  <c r="I37" i="85"/>
  <c r="J31"/>
  <c r="B25" i="14"/>
  <c r="M185" i="91"/>
  <c r="C89" i="95"/>
  <c r="C341" s="1"/>
  <c r="C343" s="1"/>
  <c r="C272" s="1"/>
  <c r="E89" i="27"/>
  <c r="E118" s="1"/>
  <c r="E122" s="1"/>
  <c r="K41" i="29"/>
  <c r="K24" s="1"/>
  <c r="K25" s="1"/>
  <c r="G41"/>
  <c r="G24" s="1"/>
  <c r="G86" i="30"/>
  <c r="G88" s="1"/>
  <c r="J24"/>
  <c r="D36" i="34"/>
  <c r="C36" s="1"/>
  <c r="G41" i="41"/>
  <c r="G63" s="1"/>
  <c r="E54" i="51"/>
  <c r="E40" i="57"/>
  <c r="G42" i="58"/>
  <c r="D26"/>
  <c r="C64" i="59"/>
  <c r="F49" i="75"/>
  <c r="M146" i="91"/>
  <c r="G52" i="52"/>
  <c r="G25" i="29"/>
  <c r="G43" i="68"/>
  <c r="D39" i="75"/>
  <c r="D52" s="1"/>
  <c r="M82" i="91"/>
  <c r="H50" i="52"/>
  <c r="H52" s="1"/>
  <c r="I41" i="29"/>
  <c r="I24" s="1"/>
  <c r="I25" s="1"/>
  <c r="D16"/>
  <c r="D23" s="1"/>
  <c r="D86" i="30"/>
  <c r="D88" s="1"/>
  <c r="F49" i="33"/>
  <c r="F52" s="1"/>
  <c r="E63" i="48"/>
  <c r="F26" i="49"/>
  <c r="F65" s="1"/>
  <c r="E26"/>
  <c r="E65" s="1"/>
  <c r="D39" i="57"/>
  <c r="C210" i="95" s="1"/>
  <c r="F138" i="58"/>
  <c r="G48"/>
  <c r="G27"/>
  <c r="G54" i="68"/>
  <c r="K25" i="79"/>
  <c r="N31" i="85"/>
  <c r="G22" i="52"/>
  <c r="F60" i="47"/>
  <c r="F66" s="1"/>
  <c r="G122" i="49"/>
  <c r="D122"/>
  <c r="E44" i="60"/>
  <c r="F49" i="64"/>
  <c r="I50"/>
  <c r="F47" i="68"/>
  <c r="F58" s="1"/>
  <c r="E58"/>
  <c r="E62" i="73"/>
  <c r="M184" i="91"/>
  <c r="M145"/>
  <c r="M126"/>
  <c r="G26" i="25"/>
  <c r="C88" i="95" s="1"/>
  <c r="C90"/>
  <c r="C349" s="1"/>
  <c r="C276" s="1"/>
  <c r="C68"/>
  <c r="C326"/>
  <c r="C60"/>
  <c r="G23" i="68"/>
  <c r="C69" i="95"/>
  <c r="F115" i="24"/>
  <c r="A65" i="13"/>
  <c r="A55"/>
  <c r="A63"/>
  <c r="A57"/>
  <c r="A1" i="42" s="1"/>
  <c r="A59" i="13"/>
  <c r="A61"/>
  <c r="A53"/>
  <c r="C66" i="95"/>
  <c r="C59"/>
  <c r="C61"/>
  <c r="H86" i="30"/>
  <c r="H88" s="1"/>
  <c r="J45"/>
  <c r="E62" i="32"/>
  <c r="M31" i="52"/>
  <c r="M33" s="1"/>
  <c r="J34" i="30"/>
  <c r="C48" i="34"/>
  <c r="D63" i="48"/>
  <c r="M38" i="52"/>
  <c r="M45" s="1"/>
  <c r="M47" s="1"/>
  <c r="D45"/>
  <c r="J62" i="30"/>
  <c r="C358" i="95"/>
  <c r="C366" s="1"/>
  <c r="C375" s="1"/>
  <c r="I86" i="30"/>
  <c r="I88" s="1"/>
  <c r="L22" i="52"/>
  <c r="L50"/>
  <c r="L52" s="1"/>
  <c r="E22"/>
  <c r="E50"/>
  <c r="E52" s="1"/>
  <c r="M20"/>
  <c r="C30" i="34"/>
  <c r="C177" i="95"/>
  <c r="C432"/>
  <c r="E58" i="45"/>
  <c r="E63" s="1"/>
  <c r="F34" i="58"/>
  <c r="E122" i="49"/>
  <c r="G65"/>
  <c r="G54" i="50"/>
  <c r="G34" i="58"/>
  <c r="E154" i="62"/>
  <c r="F39" i="75"/>
  <c r="O31" i="85"/>
  <c r="I34" s="1"/>
  <c r="E54" i="50"/>
  <c r="H54" i="51"/>
  <c r="I44" i="60"/>
  <c r="K26" i="79"/>
  <c r="K27" s="1"/>
  <c r="C224" i="95"/>
  <c r="C227" s="1"/>
  <c r="F27" i="58"/>
  <c r="C207" i="95"/>
  <c r="C26" i="58"/>
  <c r="M41" i="91"/>
  <c r="M21"/>
  <c r="C219" i="95"/>
  <c r="C262" s="1"/>
  <c r="C233"/>
  <c r="M40" i="91"/>
  <c r="E39" i="42"/>
  <c r="D31" i="85"/>
  <c r="I33" s="1"/>
  <c r="D192" i="91"/>
  <c r="M144"/>
  <c r="M81"/>
  <c r="M26"/>
  <c r="M22"/>
  <c r="C162" i="95"/>
  <c r="M181" i="91"/>
  <c r="M177"/>
  <c r="M72"/>
  <c r="M42"/>
  <c r="E192"/>
  <c r="E29" i="62" l="1"/>
  <c r="D79"/>
  <c r="C245" i="95" s="1"/>
  <c r="E107" i="24"/>
  <c r="E117" s="1"/>
  <c r="J65" i="49"/>
  <c r="G25" i="40"/>
  <c r="H21" s="1"/>
  <c r="D29" i="62"/>
  <c r="C243" i="95" s="1"/>
  <c r="D40" i="34"/>
  <c r="C40" s="1"/>
  <c r="D158" i="62"/>
  <c r="C249" i="95" s="1"/>
  <c r="M65" i="49"/>
  <c r="C65"/>
  <c r="K65"/>
  <c r="I65"/>
  <c r="G25" i="25"/>
  <c r="C36" i="40"/>
  <c r="C22" i="95"/>
  <c r="C52"/>
  <c r="C414" s="1"/>
  <c r="D105" i="62"/>
  <c r="C246" i="95" s="1"/>
  <c r="C32"/>
  <c r="C408" s="1"/>
  <c r="H96" i="25"/>
  <c r="H25" i="40"/>
  <c r="F122" i="49"/>
  <c r="E52" i="24"/>
  <c r="C420" i="95"/>
  <c r="F117" i="24"/>
  <c r="J54" i="51"/>
  <c r="H113" i="25"/>
  <c r="C16" i="95"/>
  <c r="C49"/>
  <c r="C418" s="1"/>
  <c r="C116"/>
  <c r="C424" s="1"/>
  <c r="G96" i="25"/>
  <c r="G113"/>
  <c r="F52" i="24"/>
  <c r="D41" i="29"/>
  <c r="D24" s="1"/>
  <c r="D25" s="1"/>
  <c r="C209" i="95"/>
  <c r="J86" i="30"/>
  <c r="J88" s="1"/>
  <c r="G47" i="68"/>
  <c r="G58" s="1"/>
  <c r="C70" i="95"/>
  <c r="H39" i="25"/>
  <c r="C266" i="95"/>
  <c r="C302" s="1"/>
  <c r="C335"/>
  <c r="H32" i="25"/>
  <c r="C63" i="95"/>
  <c r="C410" s="1"/>
  <c r="C430"/>
  <c r="C400" s="1"/>
  <c r="C191"/>
  <c r="C195" s="1"/>
  <c r="A1" i="96"/>
  <c r="A64" i="77"/>
  <c r="A1" i="76"/>
  <c r="A1" i="82"/>
  <c r="A1" i="80"/>
  <c r="A1" i="78"/>
  <c r="A80" i="76"/>
  <c r="A1" i="63"/>
  <c r="A1" i="84"/>
  <c r="A1" i="77"/>
  <c r="A1" i="61"/>
  <c r="A1" i="45"/>
  <c r="A1" i="38"/>
  <c r="A1" i="20"/>
  <c r="A60"/>
  <c r="G26" i="58"/>
  <c r="F26"/>
  <c r="C329" i="95"/>
  <c r="C331" s="1"/>
  <c r="F52" i="75"/>
  <c r="E158" i="62"/>
  <c r="C436" i="95"/>
  <c r="C402" s="1"/>
  <c r="C379"/>
  <c r="D50" i="52"/>
  <c r="D52" s="1"/>
  <c r="D47"/>
  <c r="A1" i="90"/>
  <c r="A1" i="87"/>
  <c r="A203" i="91"/>
  <c r="F1" i="74"/>
  <c r="G1" i="73"/>
  <c r="A1" i="64"/>
  <c r="G1" s="1"/>
  <c r="A1" i="67"/>
  <c r="A63" i="62"/>
  <c r="A1" i="59"/>
  <c r="A1" i="58"/>
  <c r="A1" i="57"/>
  <c r="A2" i="51"/>
  <c r="J2"/>
  <c r="A124" i="62"/>
  <c r="A1" i="34"/>
  <c r="A1" i="33"/>
  <c r="A1" i="32"/>
  <c r="A1" i="31"/>
  <c r="A1" i="30"/>
  <c r="G1" s="1"/>
  <c r="A1" i="29"/>
  <c r="G1" s="1"/>
  <c r="A66" i="30"/>
  <c r="G66" s="1"/>
  <c r="A1" i="36"/>
  <c r="B57" i="18"/>
  <c r="A1" i="73"/>
  <c r="A53" i="91"/>
  <c r="A53" i="94"/>
  <c r="A1" i="24"/>
  <c r="A58"/>
  <c r="A1" i="21"/>
  <c r="H1" i="19"/>
  <c r="A60" i="16"/>
  <c r="A1" i="91"/>
  <c r="A1" i="88"/>
  <c r="A1" i="74"/>
  <c r="A56" i="21"/>
  <c r="B1" i="18"/>
  <c r="A1" i="85"/>
  <c r="A1" i="92"/>
  <c r="A103" i="91"/>
  <c r="B1" i="17"/>
  <c r="A1" i="89"/>
  <c r="A1" i="93"/>
  <c r="A1" i="62"/>
  <c r="A1" i="22"/>
  <c r="A1" i="19"/>
  <c r="A1" i="16"/>
  <c r="A153" i="91"/>
  <c r="A1" i="94"/>
  <c r="A1" i="72"/>
  <c r="A1" i="71"/>
  <c r="A67"/>
  <c r="A127"/>
  <c r="A1" i="65"/>
  <c r="A1" i="75"/>
  <c r="A1" i="86"/>
  <c r="A139" i="87" s="1"/>
  <c r="A1" i="69"/>
  <c r="G1" i="48"/>
  <c r="G67"/>
  <c r="A1" i="47"/>
  <c r="F1" i="43"/>
  <c r="A1" i="40"/>
  <c r="A1" i="39"/>
  <c r="A1" i="60"/>
  <c r="A2" i="50"/>
  <c r="A1" i="44"/>
  <c r="A67" i="48"/>
  <c r="A1" i="43"/>
  <c r="A1" i="41"/>
  <c r="B1" i="26"/>
  <c r="B63"/>
  <c r="A1" i="52"/>
  <c r="A1" i="48"/>
  <c r="A1" i="37"/>
  <c r="A62" i="27"/>
  <c r="G1" i="52"/>
  <c r="A1" i="27"/>
  <c r="M22" i="52"/>
  <c r="M50"/>
  <c r="M52" s="1"/>
  <c r="A1" i="66"/>
  <c r="A1" i="68"/>
  <c r="A1" i="46"/>
  <c r="B1" i="28"/>
  <c r="A1" i="25"/>
  <c r="B66" i="28"/>
  <c r="J1" i="25"/>
  <c r="A60"/>
  <c r="J60"/>
  <c r="C308" i="95"/>
  <c r="C310"/>
  <c r="L192" i="91"/>
  <c r="M192" s="1"/>
  <c r="A1" i="70"/>
  <c r="A1" i="55"/>
  <c r="A1" i="49"/>
  <c r="I1"/>
  <c r="A1" i="56"/>
  <c r="A69" i="49"/>
  <c r="A1" i="35"/>
  <c r="A54" i="23"/>
  <c r="A1"/>
  <c r="A106"/>
  <c r="C312" i="95"/>
  <c r="H26" i="40" l="1"/>
  <c r="D162" i="62"/>
  <c r="C40" i="95"/>
  <c r="G44" i="25"/>
  <c r="G46" s="1"/>
  <c r="C87" i="95"/>
  <c r="C92" s="1"/>
  <c r="C93" s="1"/>
  <c r="C97" s="1"/>
  <c r="C422" s="1"/>
  <c r="C393" s="1"/>
  <c r="C250"/>
  <c r="C334" s="1"/>
  <c r="J44" i="25"/>
  <c r="J46" s="1"/>
  <c r="C383" i="95"/>
  <c r="E27" i="40"/>
  <c r="E36" s="1"/>
  <c r="E54" i="24"/>
  <c r="C412" i="95"/>
  <c r="C390" s="1"/>
  <c r="F54" i="24"/>
  <c r="C75" i="95"/>
  <c r="A716" i="89"/>
  <c r="A551"/>
  <c r="A221"/>
  <c r="A496"/>
  <c r="A166"/>
  <c r="A881"/>
  <c r="A661"/>
  <c r="A276"/>
  <c r="A606"/>
  <c r="A441"/>
  <c r="A56"/>
  <c r="A386"/>
  <c r="A1046"/>
  <c r="A1101"/>
  <c r="A331"/>
  <c r="A936"/>
  <c r="A826"/>
  <c r="A771"/>
  <c r="A111"/>
  <c r="A991"/>
  <c r="AJ1" i="88"/>
  <c r="AA1"/>
  <c r="H1"/>
  <c r="R1"/>
  <c r="A93" i="87"/>
  <c r="A47"/>
  <c r="H25" i="25"/>
  <c r="I1" i="59"/>
  <c r="A67"/>
  <c r="C268" i="95"/>
  <c r="C336"/>
  <c r="C206"/>
  <c r="C338" l="1"/>
  <c r="C270" s="1"/>
  <c r="C306" s="1"/>
  <c r="C110"/>
  <c r="C118" s="1"/>
  <c r="C122" s="1"/>
  <c r="C129" s="1"/>
  <c r="C134" s="1"/>
  <c r="C136" s="1"/>
  <c r="C140" s="1"/>
  <c r="E123" i="24"/>
  <c r="C385" i="95"/>
  <c r="C388"/>
  <c r="C389"/>
  <c r="C391"/>
  <c r="F123" i="24"/>
  <c r="G67" i="25"/>
  <c r="C237" i="95"/>
  <c r="C239"/>
  <c r="C304"/>
  <c r="C428" l="1"/>
  <c r="C397" s="1"/>
  <c r="G107" i="25"/>
  <c r="C205" i="95"/>
  <c r="D31" i="57"/>
  <c r="D40" s="1"/>
  <c r="C395" i="95" l="1"/>
  <c r="E78" i="62"/>
  <c r="E79" s="1"/>
  <c r="E48"/>
  <c r="G114" i="25"/>
  <c r="C234" i="95"/>
  <c r="C211"/>
  <c r="C260" s="1"/>
  <c r="C232"/>
  <c r="K44" i="25" l="1"/>
  <c r="K46" s="1"/>
  <c r="I16" i="67"/>
  <c r="I20" s="1"/>
  <c r="I30" s="1"/>
  <c r="I70" s="1"/>
  <c r="E49" i="62"/>
  <c r="E162" s="1"/>
  <c r="H38" i="26"/>
  <c r="H60" s="1"/>
  <c r="C280" i="95"/>
  <c r="C284"/>
  <c r="C292"/>
  <c r="C290"/>
  <c r="C294"/>
  <c r="C286"/>
  <c r="C288"/>
  <c r="I73" i="67" l="1"/>
  <c r="I76" s="1"/>
  <c r="I78" s="1"/>
  <c r="H26" i="25"/>
  <c r="C316" i="95"/>
  <c r="C278"/>
  <c r="I80" i="67" l="1"/>
  <c r="I84" s="1"/>
  <c r="I88" s="1"/>
  <c r="I92" s="1"/>
  <c r="H44" i="25"/>
  <c r="C314" i="95"/>
  <c r="C296"/>
  <c r="C298" s="1"/>
  <c r="H46" i="25" l="1"/>
  <c r="H67" l="1"/>
  <c r="H107" s="1"/>
  <c r="H114" l="1"/>
</calcChain>
</file>

<file path=xl/comments1.xml><?xml version="1.0" encoding="utf-8"?>
<comments xmlns="http://schemas.openxmlformats.org/spreadsheetml/2006/main">
  <authors>
    <author>oglesbma</author>
  </authors>
  <commentList>
    <comment ref="E10" authorId="0">
      <text>
        <r>
          <rPr>
            <b/>
            <sz val="8"/>
            <color indexed="81"/>
            <rFont val="Tahoma"/>
            <family val="2"/>
          </rPr>
          <t>oglesbma:</t>
        </r>
        <r>
          <rPr>
            <sz val="8"/>
            <color indexed="81"/>
            <rFont val="Tahoma"/>
            <family val="2"/>
          </rPr>
          <t xml:space="preserve">
added A110</t>
        </r>
      </text>
    </comment>
    <comment ref="F10" authorId="0">
      <text>
        <r>
          <rPr>
            <b/>
            <sz val="8"/>
            <color indexed="81"/>
            <rFont val="Tahoma"/>
            <family val="2"/>
          </rPr>
          <t>oglesbma:</t>
        </r>
        <r>
          <rPr>
            <sz val="8"/>
            <color indexed="81"/>
            <rFont val="Tahoma"/>
            <family val="2"/>
          </rPr>
          <t xml:space="preserve">
added A110</t>
        </r>
      </text>
    </comment>
    <comment ref="E79" authorId="0">
      <text>
        <r>
          <rPr>
            <b/>
            <sz val="8"/>
            <color indexed="81"/>
            <rFont val="Tahoma"/>
            <family val="2"/>
          </rPr>
          <t>oglesbma:</t>
        </r>
        <r>
          <rPr>
            <sz val="8"/>
            <color indexed="81"/>
            <rFont val="Tahoma"/>
            <family val="2"/>
          </rPr>
          <t xml:space="preserve">
added 221120 to formula
</t>
        </r>
      </text>
    </comment>
    <comment ref="F79" authorId="0">
      <text>
        <r>
          <rPr>
            <b/>
            <sz val="8"/>
            <color indexed="81"/>
            <rFont val="Tahoma"/>
            <family val="2"/>
          </rPr>
          <t>oglesbma:</t>
        </r>
        <r>
          <rPr>
            <sz val="8"/>
            <color indexed="81"/>
            <rFont val="Tahoma"/>
            <family val="2"/>
          </rPr>
          <t xml:space="preserve">
added 221120 to formula
</t>
        </r>
      </text>
    </comment>
  </commentList>
</comments>
</file>

<file path=xl/comments2.xml><?xml version="1.0" encoding="utf-8"?>
<comments xmlns="http://schemas.openxmlformats.org/spreadsheetml/2006/main">
  <authors>
    <author>weberc1</author>
  </authors>
  <commentList>
    <comment ref="AI15" authorId="0">
      <text>
        <r>
          <rPr>
            <b/>
            <sz val="9"/>
            <color indexed="81"/>
            <rFont val="Tahoma"/>
            <family val="2"/>
          </rPr>
          <t>weberc1:</t>
        </r>
        <r>
          <rPr>
            <sz val="9"/>
            <color indexed="81"/>
            <rFont val="Tahoma"/>
            <family val="2"/>
          </rPr>
          <t xml:space="preserve">
</t>
        </r>
      </text>
    </comment>
  </commentList>
</comments>
</file>

<file path=xl/sharedStrings.xml><?xml version="1.0" encoding="utf-8"?>
<sst xmlns="http://schemas.openxmlformats.org/spreadsheetml/2006/main" count="11786" uniqueCount="5347">
  <si>
    <t xml:space="preserve">      identifying the year in column (a).</t>
  </si>
  <si>
    <t>Contributions to the Fund:</t>
  </si>
  <si>
    <t xml:space="preserve">     Deposits of Company Funds</t>
  </si>
  <si>
    <t xml:space="preserve">     Transfers from Pension Related Funds</t>
  </si>
  <si>
    <t>****</t>
  </si>
  <si>
    <t>accounting entries for any applications of appropriated retained earnings during the year.</t>
  </si>
  <si>
    <t xml:space="preserve">   39</t>
  </si>
  <si>
    <t xml:space="preserve">   40</t>
  </si>
  <si>
    <t xml:space="preserve">   41</t>
  </si>
  <si>
    <t xml:space="preserve">   42</t>
  </si>
  <si>
    <t xml:space="preserve">   43</t>
  </si>
  <si>
    <t xml:space="preserve">   44</t>
  </si>
  <si>
    <t xml:space="preserve">   45</t>
  </si>
  <si>
    <t xml:space="preserve">       TOTAL Appropriated Retained Earnings (Account 215)</t>
  </si>
  <si>
    <t xml:space="preserve">  account and a total for the account.  Additional columns</t>
  </si>
  <si>
    <t>is shown.</t>
  </si>
  <si>
    <t>Report on Line 21 the net asset gain or loss deferred during the reporting year for later recognition.  Do not</t>
  </si>
  <si>
    <t>number of votes which each would have had the right to</t>
  </si>
  <si>
    <t xml:space="preserve">   3.  If any class or issue of security has any special </t>
  </si>
  <si>
    <t xml:space="preserve">cast on that date if a meeting were then in order.  If any </t>
  </si>
  <si>
    <t>privileges in the election of directors, trustees or managers, or</t>
  </si>
  <si>
    <t xml:space="preserve">                       (Here insert the official title of the deponent)       (Here insert exact name of the reporting company)</t>
  </si>
  <si>
    <t>I am familiar with the preparation of the foregoing report know generally the contents thereof.  The said report which</t>
  </si>
  <si>
    <t>1 - Quarterly, Monthly</t>
  </si>
  <si>
    <t>Page 300</t>
  </si>
  <si>
    <t>SALES OF WATER BY RATE SCHEDULES</t>
  </si>
  <si>
    <t xml:space="preserve">     1.    Report below for each rate schedule in effect during</t>
  </si>
  <si>
    <t xml:space="preserve">     Total PW, Fuel and Chemicals</t>
  </si>
  <si>
    <t>Policy Statement (issued January 15, 1993), in Case 92-M-1005.</t>
  </si>
  <si>
    <t xml:space="preserve">   2.  Provide name of the State under the laws of which respondent is incorporated, and</t>
  </si>
  <si>
    <t>9.     Insert the initials of the reporting utility and the year which the report covers in the space</t>
  </si>
  <si>
    <t>provided on each page.</t>
  </si>
  <si>
    <t>10.   Cents are to be omitted on all schedules except where they apply to averages and figures per unit</t>
  </si>
  <si>
    <t xml:space="preserve">complete and the amounts reported should be supported by information set forth in, or as part of the </t>
  </si>
  <si>
    <t>books of account.</t>
  </si>
  <si>
    <t>Transportation</t>
  </si>
  <si>
    <t>Group Insurance</t>
  </si>
  <si>
    <t>General Section</t>
  </si>
  <si>
    <t>Regulatory Commission Expenses</t>
  </si>
  <si>
    <t>350-351</t>
  </si>
  <si>
    <t>Accounts Payable</t>
  </si>
  <si>
    <t>Pg 115, L 31 (d)</t>
  </si>
  <si>
    <t>Payables to Associated Companies</t>
  </si>
  <si>
    <t>Note:  If any important change is made with respect to any such plan during the year, give brief particulars.</t>
  </si>
  <si>
    <t>Pension Plan</t>
  </si>
  <si>
    <t>The Plans cover both management and non-management employees and is funded.  All</t>
  </si>
  <si>
    <t>OPEB Plan</t>
  </si>
  <si>
    <t>Sinking Funds and Other Special Funds</t>
  </si>
  <si>
    <t>Pg 114, L 11, 12, 13 (d)</t>
  </si>
  <si>
    <t xml:space="preserve">          Total Other Property and Investments</t>
  </si>
  <si>
    <t>Formula</t>
  </si>
  <si>
    <t>Cash and Cash Equivalents</t>
  </si>
  <si>
    <t>Pg 114, L 16=&gt;21 (d)</t>
  </si>
  <si>
    <t>Notes and Accounts Receivables - Net</t>
  </si>
  <si>
    <t>Pg 114, L 22=&gt;24 (d) - L 25 (d)</t>
  </si>
  <si>
    <t xml:space="preserve">  during the year.  Report also support given to others during the</t>
  </si>
  <si>
    <t xml:space="preserve">  describing the specific area of R &amp; D (such as safety,</t>
  </si>
  <si>
    <t>NYS Jurisdiction Internal Reserve Balance Subject to Accrual of Interest (net of tax)</t>
  </si>
  <si>
    <t>Date of Valuation for Amounts Reported on Lines 1 - 12.</t>
  </si>
  <si>
    <t>Discount Rate</t>
  </si>
  <si>
    <t>Expected Long-Term Rate of Return on Assets (Exterior Fund)</t>
  </si>
  <si>
    <t>Fill in your name, address and appropriate dates in the designated area below so that this</t>
  </si>
  <si>
    <t xml:space="preserve">such holder held in trust, give in a footnote the known </t>
  </si>
  <si>
    <t xml:space="preserve">in determination of corporate action by any method, explain </t>
  </si>
  <si>
    <t xml:space="preserve">particulars of the trust (whether voting trust, etc.), </t>
  </si>
  <si>
    <t>Salaries</t>
  </si>
  <si>
    <t>Pg 354, L 26 (d)</t>
  </si>
  <si>
    <t>Pensions and Benefits</t>
  </si>
  <si>
    <t>Pg 309, L 100 (b)</t>
  </si>
  <si>
    <t xml:space="preserve">   - Subscribed</t>
  </si>
  <si>
    <t>Income from Non-Utility Operations</t>
  </si>
  <si>
    <t>TOTAL Account 190 (TOTAL of lines 18 and 27)</t>
  </si>
  <si>
    <t>Notes</t>
  </si>
  <si>
    <t>Page 217</t>
  </si>
  <si>
    <t>If applicable, see insert page below:</t>
  </si>
  <si>
    <t>Page 217-A</t>
  </si>
  <si>
    <t>PARTICULARS CONCERNING CERTAIN OTHER INCOME ACCOUNTS</t>
  </si>
  <si>
    <t xml:space="preserve">  Report the information specified below, in the order</t>
  </si>
  <si>
    <t>purely from the implementation of SFAS - 109, "Accounting for Income Taxes", and in accordance with the Commission's associated</t>
  </si>
  <si>
    <t xml:space="preserve">       (Less) Regulatory Credits</t>
  </si>
  <si>
    <t xml:space="preserve">  Insurance; 426.3, Penalties; 426.4, Expenditures for Certain</t>
  </si>
  <si>
    <t>Unamort. Debt Expense</t>
  </si>
  <si>
    <t>Pg 114, L 36 (d)</t>
  </si>
  <si>
    <t>Pg 118, L 36 (c)</t>
  </si>
  <si>
    <t>Other  Income</t>
  </si>
  <si>
    <t>Pg 118, L 28, 30, 32, 33, 37 - L 29, 31 (c)</t>
  </si>
  <si>
    <t xml:space="preserve">          Total Other Income</t>
  </si>
  <si>
    <t>227</t>
  </si>
  <si>
    <t>212</t>
  </si>
  <si>
    <t>Notes and Accounts Receivable</t>
  </si>
  <si>
    <t>228-229</t>
  </si>
  <si>
    <t>(In thousands)</t>
  </si>
  <si>
    <t>Life</t>
  </si>
  <si>
    <t>(Percent)</t>
  </si>
  <si>
    <t>Type</t>
  </si>
  <si>
    <t xml:space="preserve">  Merchandising, Jobbing and Contract Work</t>
  </si>
  <si>
    <t xml:space="preserve">  Other</t>
  </si>
  <si>
    <t>(valve</t>
  </si>
  <si>
    <t>At beginning of year</t>
  </si>
  <si>
    <t>At end of year</t>
  </si>
  <si>
    <t>opening),</t>
  </si>
  <si>
    <t>per</t>
  </si>
  <si>
    <t>to main</t>
  </si>
  <si>
    <t>Owned by</t>
  </si>
  <si>
    <t>Not owned</t>
  </si>
  <si>
    <t>Hydrant</t>
  </si>
  <si>
    <t>by company</t>
  </si>
  <si>
    <t>Public Fire Protection</t>
  </si>
  <si>
    <t>Village of Atlantic Beach</t>
  </si>
  <si>
    <t>Village of Cedarhurst</t>
  </si>
  <si>
    <t>Village of East Rockaway</t>
  </si>
  <si>
    <t>Village of Hewlett Bay Park</t>
  </si>
  <si>
    <t>Village of Hewlett Harbor</t>
  </si>
  <si>
    <t>Village of Hewlett Neck</t>
  </si>
  <si>
    <t>Village of Island Park</t>
  </si>
  <si>
    <t>Village of Lawrence</t>
  </si>
  <si>
    <t>Village of Lynbrook</t>
  </si>
  <si>
    <t>Village of Malverne</t>
  </si>
  <si>
    <t>Village of Valley Stream</t>
  </si>
  <si>
    <t>Village of Woodsburgh</t>
  </si>
  <si>
    <t>Page 411</t>
  </si>
  <si>
    <t>FIRE HYDRANTS (Continued)</t>
  </si>
  <si>
    <t>Private Fire Protection</t>
  </si>
  <si>
    <t>8x4</t>
  </si>
  <si>
    <t>6x3</t>
  </si>
  <si>
    <t>Various</t>
  </si>
  <si>
    <t>Page 412</t>
  </si>
  <si>
    <t>Public Service Commission</t>
  </si>
  <si>
    <t>5 Year Book Data - From FERC Form 1</t>
  </si>
  <si>
    <t>COMPARATIVE BALANCE SHEET</t>
  </si>
  <si>
    <t>Annual Report Source</t>
  </si>
  <si>
    <t>Page, Line (Column)</t>
  </si>
  <si>
    <t>Net Utility Plant</t>
  </si>
  <si>
    <t>Pg 114, L 4 (d)</t>
  </si>
  <si>
    <t>If the event qualified as a "small settlement" under SFAS 88, and the company elected not to recognize the gain or loss, state:</t>
  </si>
  <si>
    <t xml:space="preserve">   a. number of employees affected</t>
  </si>
  <si>
    <t xml:space="preserve">   b. the cost of the settlement</t>
  </si>
  <si>
    <t xml:space="preserve">       Nonoperating Rental Income (418)</t>
  </si>
  <si>
    <t>Stable customer base, no growth.</t>
  </si>
  <si>
    <t xml:space="preserve">Uniform Systems of Accounts prescribed by this Commission.  Whenever the term respondent is used, it </t>
  </si>
  <si>
    <t>shall be understood to mean the reporting utility.</t>
  </si>
  <si>
    <t>column (g).  Include in column (i) the average period over which the tax credits are amortized.</t>
  </si>
  <si>
    <t>Allocations to</t>
  </si>
  <si>
    <t>Adjustment Explanation</t>
  </si>
  <si>
    <t>Gross-up of above amounts for income</t>
  </si>
  <si>
    <t>tax effects; etc.</t>
  </si>
  <si>
    <t>Page 267</t>
  </si>
  <si>
    <t>Injuries and Damages Reserve (262)</t>
  </si>
  <si>
    <t>Pensions and Benefits Reserve (263)</t>
  </si>
  <si>
    <t>Misc Operating Reserves (265)</t>
  </si>
  <si>
    <t>Officers</t>
  </si>
  <si>
    <t>Utility</t>
  </si>
  <si>
    <t>Investment</t>
  </si>
  <si>
    <t>Of Year</t>
  </si>
  <si>
    <t>Disposed of</t>
  </si>
  <si>
    <t xml:space="preserve">  TOTAL Pumping Equipment  (Total of lines 17 thru 25)</t>
  </si>
  <si>
    <t xml:space="preserve">          4. WATER TREATMENT PLANT</t>
  </si>
  <si>
    <t>Miscellaneous Current and Accrued Liabilities (242)</t>
  </si>
  <si>
    <t>Obligations Under Capital Leases - Current</t>
  </si>
  <si>
    <t xml:space="preserve">     TOTAL Current and Accrued Liabilities ( Total of lines 30 thru 42)</t>
  </si>
  <si>
    <t>DEFERRED CREDITS</t>
  </si>
  <si>
    <t>Customer Advances for Construction (252)</t>
  </si>
  <si>
    <t>The Company's basic term life insurance policy covers management and non-management</t>
  </si>
  <si>
    <t xml:space="preserve">   </t>
  </si>
  <si>
    <t>OTHER DEFERRED CREDITS (Account 253)</t>
  </si>
  <si>
    <t>Report below the particulars (details) called for concerning other deferred credits.</t>
  </si>
  <si>
    <t>For any deferred credit being amortized, show the period of amortization.</t>
  </si>
  <si>
    <t xml:space="preserve">    Miscellaneous Amortization (425)</t>
  </si>
  <si>
    <t xml:space="preserve">    Miscellaneous Income Deductions (426)</t>
  </si>
  <si>
    <t>Page 203</t>
  </si>
  <si>
    <t>WATER  PLANT IN SERVICE (Accounts 101, 102, and 106) (Continued)</t>
  </si>
  <si>
    <t>Additions</t>
  </si>
  <si>
    <t xml:space="preserve">          6. GENERAL PLANT</t>
  </si>
  <si>
    <t xml:space="preserve">gent assets or liabilities existing at end of year, including a </t>
  </si>
  <si>
    <t>Description of Miscellaneous Deferred Debit</t>
  </si>
  <si>
    <t>Total Amount</t>
  </si>
  <si>
    <t>Costs</t>
  </si>
  <si>
    <t>NONE</t>
  </si>
  <si>
    <t>Sec 58, Block 61, Lots 5-11, 29-32, Beech St, Atlantic Beach</t>
  </si>
  <si>
    <t>If applicable, see insert pages below:</t>
  </si>
  <si>
    <t>Page 264-A</t>
  </si>
  <si>
    <t>Page 265-A</t>
  </si>
  <si>
    <t>others to purchase securities of the respondent or any securities</t>
  </si>
  <si>
    <t>or other assets owned by the respondent, including prices,</t>
  </si>
  <si>
    <t>Rate Proceedings</t>
  </si>
  <si>
    <t xml:space="preserve">   - Installments Received on</t>
  </si>
  <si>
    <t>Ground Water Supply, Sources of</t>
  </si>
  <si>
    <t xml:space="preserve">   - Liability for Conversion</t>
  </si>
  <si>
    <t xml:space="preserve">Income Accounts, Particulars Concerning </t>
  </si>
  <si>
    <t xml:space="preserve">   - Premium</t>
  </si>
  <si>
    <t xml:space="preserve">    Certain Other</t>
  </si>
  <si>
    <t xml:space="preserve">   - Reacquired, Gain on Resale or Cancelation</t>
  </si>
  <si>
    <t>Income Deductions, Miscellaneous</t>
  </si>
  <si>
    <t>4.  Show separately interest credits under a sinking fund or similar method of depreciation accounting.</t>
  </si>
  <si>
    <t>Section A. Balances and Changes During Year</t>
  </si>
  <si>
    <t xml:space="preserve">          TOTAL Plant Removal (Total of lines 33 thru 34)</t>
  </si>
  <si>
    <t>Other Accounts (Specify):</t>
  </si>
  <si>
    <t xml:space="preserve">          TOTAL Salaries and Wages</t>
  </si>
  <si>
    <t>Page 354</t>
  </si>
  <si>
    <t>CHARGES FOR OUTSIDE PROFESSIONAL AND OTHER CONSULTATIVE SERVICES</t>
  </si>
  <si>
    <t>Pg 114, L 6 (d) -  L 7 (d)</t>
  </si>
  <si>
    <t>United Water - New Rochelle</t>
  </si>
  <si>
    <t>Water service, general service, and private fire hydrant service.</t>
  </si>
  <si>
    <t xml:space="preserve">(2) ___    No. </t>
  </si>
  <si>
    <t>X</t>
  </si>
  <si>
    <t>Page 314_attachment</t>
  </si>
  <si>
    <t>office at the time of the filing of said report, and if  not made upon the knowledge of the person verifying the same shall</t>
  </si>
  <si>
    <t>INDEX TO WATER SCHEDULES</t>
  </si>
  <si>
    <t>Name of Schedule</t>
  </si>
  <si>
    <t>Control:</t>
  </si>
  <si>
    <t>Accounts Receivable</t>
  </si>
  <si>
    <t xml:space="preserve">separately advances on notes and advances on open accounts. </t>
  </si>
  <si>
    <t xml:space="preserve">9.  Furnish in a footnote particulars (details) regarding </t>
  </si>
  <si>
    <t>plan of disposition contemplated, giving reference to Com-</t>
  </si>
  <si>
    <t>Report on Line 10 the amount of unrecognized net gain or loss (including plan asset gains and losses not yet</t>
  </si>
  <si>
    <t>reflected in the market-related value of the plan assets).</t>
  </si>
  <si>
    <t>Average Annual Bill per Customer</t>
  </si>
  <si>
    <t xml:space="preserve">     (a) Miscellaneous Amortization (Account 425)-Describe</t>
  </si>
  <si>
    <t>debt was incurred during the year, indicate the amount and</t>
  </si>
  <si>
    <t xml:space="preserve">  the nature of items included in this account, the contra</t>
  </si>
  <si>
    <t xml:space="preserve">  support of research by others performed outside the company,</t>
  </si>
  <si>
    <t xml:space="preserve">  state the name of the person or organization to whom such</t>
  </si>
  <si>
    <t xml:space="preserve">  payments were made.</t>
  </si>
  <si>
    <t xml:space="preserve">  3.  Operating Activities -- Other:  Include gains and losses</t>
  </si>
  <si>
    <t>annual stockholders report are applicable to this statement,</t>
  </si>
  <si>
    <t xml:space="preserve">      pending transmittal of such taxes to the taxing authority.</t>
  </si>
  <si>
    <t>3.  Include in column (d) taxes charged during the year, taxes charged to operations and other accounts through (a) accruals credited to taxes</t>
  </si>
  <si>
    <t xml:space="preserve">     accrued, (b) amounts credited to proportions of prepaid taxes chargeable to current year, and (c) taxes paid and charged direct to operations or</t>
  </si>
  <si>
    <t>consent of stockholders</t>
  </si>
  <si>
    <t>Pg 123. L 44=&gt;46 (b)</t>
  </si>
  <si>
    <t xml:space="preserve">    1.  The period for which bills are rendered.</t>
  </si>
  <si>
    <t>472</t>
  </si>
  <si>
    <t>Rent from Water Property</t>
  </si>
  <si>
    <t xml:space="preserve">    2.  The period between the date meters are read and the date</t>
  </si>
  <si>
    <t>473</t>
  </si>
  <si>
    <t>Interdepartmental Rents</t>
  </si>
  <si>
    <t>Common Stock and Retained Earnings</t>
  </si>
  <si>
    <t>Pg 1, L 24 - 20</t>
  </si>
  <si>
    <t xml:space="preserve">    (Excl. Preferred Stock)</t>
  </si>
  <si>
    <t xml:space="preserve">RECONCILIATION BETWEEN FERC, PSC AND STOCKHOLDER'S </t>
  </si>
  <si>
    <t>Operating Activities</t>
  </si>
  <si>
    <t>Investing Activities</t>
  </si>
  <si>
    <t>Report on Line 5 items of income (e.g., dividends and interest).</t>
  </si>
  <si>
    <t xml:space="preserve">  and 45)</t>
  </si>
  <si>
    <t>Page 114</t>
  </si>
  <si>
    <t>Report the information specified below for all charges made during the year included in any account (including plant accounts) for outside</t>
  </si>
  <si>
    <t>Report on Line 11 the amount of unrecognized net asset gain or loss not yet reflected in the market-related value of</t>
  </si>
  <si>
    <t>plan assets.</t>
  </si>
  <si>
    <t>Interest on Debt to Assoc. Companies (430)</t>
  </si>
  <si>
    <t>Other Interest Expense (431)</t>
  </si>
  <si>
    <t>Pg 122, L 17 (b)</t>
  </si>
  <si>
    <t>Pg 122. L 18 (b)</t>
  </si>
  <si>
    <t>Pg 122, L 19=&gt;20 (b)</t>
  </si>
  <si>
    <t>2.  Number of customers, columns (h) and (i), should be reported on the number of meters, plus number of flat rate accounts, except that where separate meter readings are added for</t>
  </si>
  <si>
    <t>daily yield,</t>
  </si>
  <si>
    <t xml:space="preserve">and designation of </t>
  </si>
  <si>
    <t>ment</t>
  </si>
  <si>
    <t>ion</t>
  </si>
  <si>
    <t>each</t>
  </si>
  <si>
    <t>surface)</t>
  </si>
  <si>
    <t>dug</t>
  </si>
  <si>
    <t>of well</t>
  </si>
  <si>
    <t>surface not.</t>
  </si>
  <si>
    <t>static</t>
  </si>
  <si>
    <t>at G.P.M.</t>
  </si>
  <si>
    <t>DISTRIBUTION OF TAXES CHARGED (Show utility dept. where applicable and acct. charged.)</t>
  </si>
  <si>
    <t>Prepaid Taxes</t>
  </si>
  <si>
    <t>Comparative Statement of Income for the Year</t>
  </si>
  <si>
    <t>Receivable from Associated Companies, in addition to a total for the combined accounts.</t>
  </si>
  <si>
    <t>utility column (i, k, m, o) in a similar manner to a utility depart-</t>
  </si>
  <si>
    <t>Miscellaneous Current and Accrued Assets (174)</t>
  </si>
  <si>
    <t>Account 411.2</t>
  </si>
  <si>
    <t>Credited</t>
  </si>
  <si>
    <t>Debited</t>
  </si>
  <si>
    <t>Accelerated Amortization (Account 281)</t>
  </si>
  <si>
    <t>Pollution Control</t>
  </si>
  <si>
    <t>Defense Facilities</t>
  </si>
  <si>
    <t xml:space="preserve">    TOTAL  WATER (Enter Total of lines 3 thru 7)</t>
  </si>
  <si>
    <t>and extent of work, etc. the  overhead charges are intended</t>
  </si>
  <si>
    <t>Assessed by</t>
  </si>
  <si>
    <t>Expenses</t>
  </si>
  <si>
    <t>KWh Sold</t>
  </si>
  <si>
    <t>Total Billed</t>
  </si>
  <si>
    <t>Page 302-A</t>
  </si>
  <si>
    <t>on the specific sheet, or to delete some spaces on the combined string below.</t>
  </si>
  <si>
    <t>Please fill in the following:</t>
  </si>
  <si>
    <t>changes in accounting methods made during the year</t>
  </si>
  <si>
    <t>ment of income or any account thereof.</t>
  </si>
  <si>
    <t>respect to water purchases.</t>
  </si>
  <si>
    <t xml:space="preserve">     Investment Tax Credit Adj. -- Net (411.5)</t>
  </si>
  <si>
    <t xml:space="preserve">     (Less) Investment Tax Credits (420)</t>
  </si>
  <si>
    <t xml:space="preserve">1.  List in column (a) the kinds of overheads according to the titles used by the respondent.  Charges for outside professional services for </t>
  </si>
  <si>
    <t xml:space="preserve">      engineering fees and management or supervision fees capitalized should be shown as separate items.</t>
  </si>
  <si>
    <t xml:space="preserve">This is the excel file which makes up the annual report.   The file is called WATERAR.XLS and contains general corporate information, financial statements, and various financial and operating data. </t>
  </si>
  <si>
    <t>advanced during year, (b) interest added to principal</t>
  </si>
  <si>
    <t xml:space="preserve">     of an affiliated company, details shall be given in a note.</t>
  </si>
  <si>
    <t>securities give particulars (details) in a footnote</t>
  </si>
  <si>
    <t>concerning long-term debt included in Accounts 221, Bonds, 222,</t>
  </si>
  <si>
    <t>long-term debt originally issued.</t>
  </si>
  <si>
    <t>issues which were redeemed in prior years.</t>
  </si>
  <si>
    <t xml:space="preserve">          Total O &amp; M Expense</t>
  </si>
  <si>
    <t>DISTRIBUTION OF WATER REVENUES</t>
  </si>
  <si>
    <t>Sales (Thousands of Gallons)</t>
  </si>
  <si>
    <t>DOLLAR AMOUNTS</t>
  </si>
  <si>
    <t xml:space="preserve">Purchased Water, Fuel or Power for </t>
  </si>
  <si>
    <t xml:space="preserve">   Pumping, and Chemicals</t>
  </si>
  <si>
    <t>Wages and Benefits</t>
  </si>
  <si>
    <t>Other Operation and Maintenance Expense</t>
  </si>
  <si>
    <t xml:space="preserve">         Cash Outflows for Plant (Total of lines 24 thru 31)</t>
  </si>
  <si>
    <t xml:space="preserve">    Acquisition of Other Noncurrent Assets (d)</t>
  </si>
  <si>
    <t>Furnish a summary statement for each of the accounts listed here if a balance was carried over at any time</t>
  </si>
  <si>
    <t>*NOTE:  Do not include deferred Federal income taxes recorded purely from the implementation of FAS-109, Accounting for Income Taxes</t>
  </si>
  <si>
    <t>Page 266</t>
  </si>
  <si>
    <t>TEMPORARY INCOME TAX DIFFERENCES - SFAS 109</t>
  </si>
  <si>
    <t xml:space="preserve">income taxes of material amount, or of a claim for refund of </t>
  </si>
  <si>
    <t>Common Voting</t>
  </si>
  <si>
    <t>No Par</t>
  </si>
  <si>
    <t>Preferred noncumulative at a dividend rate of 4.5%</t>
  </si>
  <si>
    <t xml:space="preserve">     Other </t>
  </si>
  <si>
    <t>Property Insurance Reserve (261)</t>
  </si>
  <si>
    <t xml:space="preserve">  4.  Give a concise explanation of any retained earnings</t>
  </si>
  <si>
    <t xml:space="preserve">the total of Account 427, Interest on Long-Term Debt and </t>
  </si>
  <si>
    <t>Designate demand notes as such.  Include in column(a) names</t>
  </si>
  <si>
    <t>Depreciation</t>
  </si>
  <si>
    <t>Asset Base Difference (non - ITC)</t>
  </si>
  <si>
    <t xml:space="preserve">     maturity date, and specifying whether note is a renewal.  Designate any advances due from officers, directors, stockholders or employees.</t>
  </si>
  <si>
    <t xml:space="preserve">          including accounting and finance, human resources, field services and production</t>
  </si>
  <si>
    <t xml:space="preserve">     -Production - responsible for pumpage, treatment of water and testing water quality.</t>
  </si>
  <si>
    <t>SECURITY HOLDERS AND VOTING POWERS (Continued)</t>
  </si>
  <si>
    <t>Title and Department</t>
  </si>
  <si>
    <t>Term Expired</t>
  </si>
  <si>
    <t>Salary</t>
  </si>
  <si>
    <t>Page 355</t>
  </si>
  <si>
    <t>Pg 300, L 9 (h)</t>
  </si>
  <si>
    <t xml:space="preserve">  amortization of amounts deferred in previous years.</t>
  </si>
  <si>
    <t xml:space="preserve">  amortization.</t>
  </si>
  <si>
    <t>plant, or other accounts.</t>
  </si>
  <si>
    <t xml:space="preserve">  body, or cases in which such a body was a party.  </t>
  </si>
  <si>
    <t>Sold To</t>
  </si>
  <si>
    <t>Supplied</t>
  </si>
  <si>
    <t>Gallons (Cents)</t>
  </si>
  <si>
    <t>Purchased From</t>
  </si>
  <si>
    <t>Purchased</t>
  </si>
  <si>
    <t>Page 305</t>
  </si>
  <si>
    <t>diameter</t>
  </si>
  <si>
    <t>(Less) Accum. Prov. for Depr. and Amort. (122)</t>
  </si>
  <si>
    <t>Investments in Associated Companies (123)</t>
  </si>
  <si>
    <t>2. If any portion of the mains was held by respondent under any title other than full ownership, state that fact in a footnote and give the particulars</t>
  </si>
  <si>
    <t>concerning respondent's title.</t>
  </si>
  <si>
    <t>Length of Pipe to the nearest foot</t>
  </si>
  <si>
    <t>Total Length of Pipes</t>
  </si>
  <si>
    <t xml:space="preserve">Diameter </t>
  </si>
  <si>
    <t>Private</t>
  </si>
  <si>
    <t>--&gt;The stockholders or audited financial statements are not prepared at this time.</t>
  </si>
  <si>
    <t>Extraordinary Property Losses (182)</t>
  </si>
  <si>
    <t>Enter in the space provided the operation and maintenance expenses for the year and previous year.</t>
  </si>
  <si>
    <t>AMOUNT FOR</t>
  </si>
  <si>
    <t xml:space="preserve"> LINE</t>
  </si>
  <si>
    <t>ACCOUNT</t>
  </si>
  <si>
    <t>CURRENT YEAR</t>
  </si>
  <si>
    <t xml:space="preserve">  2.  Entries in column (b) should represent the number of shares authorized by the articles of incorporation as amended to end of year.</t>
  </si>
  <si>
    <t>2. If the respondent's payroll for the reporting period includes any special construction personnel, include such employees on line 3, and show the number of such special construction employees in a footnote.</t>
  </si>
  <si>
    <t>at the latest general meeting prior to</t>
  </si>
  <si>
    <t>place of such  meeting:</t>
  </si>
  <si>
    <t>end of year for election of directors of</t>
  </si>
  <si>
    <t xml:space="preserve">Angela M. Sedlacek makes oath and    </t>
  </si>
  <si>
    <t xml:space="preserve">the sources of my information and the grounds for my belief are as follows: </t>
  </si>
  <si>
    <t xml:space="preserve"> 7.  Do not include on this page entries with respect to deferred income taxes or taxes collected through payroll deductions or otherwise</t>
  </si>
  <si>
    <t>date when possession by receiver or trustee ceased.</t>
  </si>
  <si>
    <t>Totals (Account 146)</t>
  </si>
  <si>
    <t>Page 214</t>
  </si>
  <si>
    <t>Plant Acquisition Adjustments  (114)</t>
  </si>
  <si>
    <t>Other Plant Adjustments  (116)</t>
  </si>
  <si>
    <t>AFUDC</t>
  </si>
  <si>
    <t>1. Report below investments greater than or equal to $100,000 in Accounts 123, Investment in Associated Companies and 124, Other Investments.</t>
  </si>
  <si>
    <t>2. Provide a subheading for each account and list thereunder the information called for, observing the instructions below.</t>
  </si>
  <si>
    <t>6. If commission approval was required for any advance made or security acquired, designate such fact and in a  footnote give date of authorization and case number.</t>
  </si>
  <si>
    <t>7. Interest and dividend revenues from investments should be reported in column (g), including such revenues from securities disposed of during the year.</t>
  </si>
  <si>
    <t xml:space="preserve">  Public Authorities</t>
  </si>
  <si>
    <t xml:space="preserve">                                                         A.  Summary of Depreciation and Amortization Charges</t>
  </si>
  <si>
    <t>Amortization</t>
  </si>
  <si>
    <t>of Limited-Term</t>
  </si>
  <si>
    <t>Dues</t>
  </si>
  <si>
    <t>Deferred Maintenance</t>
  </si>
  <si>
    <t>Income Recorded on Books Not Included in Return</t>
  </si>
  <si>
    <t>Taxable Contributions</t>
  </si>
  <si>
    <t xml:space="preserve">  - Other</t>
  </si>
  <si>
    <t>Salaries and Wages, Distribution of</t>
  </si>
  <si>
    <t xml:space="preserve">  -  For Resale</t>
  </si>
  <si>
    <t xml:space="preserve">   - By Municipalities</t>
  </si>
  <si>
    <t xml:space="preserve">   - By Rate Schedules</t>
  </si>
  <si>
    <t>Sources of Ground Water Supply</t>
  </si>
  <si>
    <t>Sources of Surface Water Supply</t>
  </si>
  <si>
    <t>Standpipes and Reservoirs, Distribution</t>
  </si>
  <si>
    <t>Summary of Utility Plant</t>
  </si>
  <si>
    <t>B</t>
  </si>
  <si>
    <t xml:space="preserve">    operating revenues.  This information is requested in compliance with Section 89.3, Notification</t>
  </si>
  <si>
    <t>Pg 118, L 55=&gt;57 - L 58, 59 (c)</t>
  </si>
  <si>
    <t>Interest on Debt to Associated Co.</t>
  </si>
  <si>
    <t>Pg 118, L 60 (c)</t>
  </si>
  <si>
    <t>VIL. OF LYNBROOK</t>
  </si>
  <si>
    <t>3. If any unit listed hereunder was held at the end of the year under</t>
  </si>
  <si>
    <t xml:space="preserve">details for the reporting company.  If the reporting company has more than one pension plan, report each using separate </t>
  </si>
  <si>
    <t>Current</t>
  </si>
  <si>
    <t>forms.</t>
  </si>
  <si>
    <t xml:space="preserve">used during construction rate(s) used by the company </t>
  </si>
  <si>
    <t xml:space="preserve">          Total Sales of Water</t>
  </si>
  <si>
    <t xml:space="preserve">     was charged.  If the actual or estimated amounts of such taxes are known, show the amounts in a footnote and designate whether estimated or</t>
  </si>
  <si>
    <t xml:space="preserve">                                  3.  Entries with respect to officers and employees shall not include items for utility services.</t>
  </si>
  <si>
    <t xml:space="preserve">Fair Value of Plan Assets at End of the Period </t>
  </si>
  <si>
    <t>*  Specify the source of any amount reported on Line 4.</t>
  </si>
  <si>
    <t>** Specify the type and amount of any expenses reported on Line 8.</t>
  </si>
  <si>
    <t>Page 365</t>
  </si>
  <si>
    <t xml:space="preserve">If the utility is a member of a group which files a consolidated Federal tax return, reconcile reported net income with </t>
  </si>
  <si>
    <t xml:space="preserve">taxable net income as if a separate return were to be filed, indicating, however, intercompany amounts to be eliminated </t>
  </si>
  <si>
    <t xml:space="preserve">(b)  </t>
  </si>
  <si>
    <t xml:space="preserve">(c)  </t>
  </si>
  <si>
    <t>Notes Receivable (Account 141)</t>
  </si>
  <si>
    <t>Customer Accounts Receivable (Account 142):</t>
  </si>
  <si>
    <t xml:space="preserve">  General Customers</t>
  </si>
  <si>
    <t xml:space="preserve">  Other Water Companies</t>
  </si>
  <si>
    <t>Description and Location</t>
  </si>
  <si>
    <t>of salaries and wages originally charged to clearing accounts,</t>
  </si>
  <si>
    <t xml:space="preserve">  accounts to Utility Departments, Construction, Plant Removals,</t>
  </si>
  <si>
    <t xml:space="preserve">    that are not attributable to negotiation or to new legislation, adjudication, or rulemaking ( such as</t>
  </si>
  <si>
    <t>ings.  Follow by credit, then debit items in that order.</t>
  </si>
  <si>
    <t>pages 124-125.</t>
  </si>
  <si>
    <t>Contra</t>
  </si>
  <si>
    <t>Primary</t>
  </si>
  <si>
    <t>Item</t>
  </si>
  <si>
    <t>Amount</t>
  </si>
  <si>
    <t>Affected</t>
  </si>
  <si>
    <t>UNAPPROPRIATED RETAINED EARNINGS (Account 216)</t>
  </si>
  <si>
    <t>Balance -- Beginning of Year</t>
  </si>
  <si>
    <t xml:space="preserve">         (a) Net proceeds or payments.</t>
  </si>
  <si>
    <t xml:space="preserve">     other companies.  Provide a reconciliation of assets</t>
  </si>
  <si>
    <t>(OPEB).  For these schedules, the measurement date, calculation of the data requested, and separate reporting for</t>
  </si>
  <si>
    <t>different types of OPEB plans shall be consistent with the disclosure requirements specified in SFAS-106 (Paragraphs</t>
  </si>
  <si>
    <t>interest rate respectively for (a) advances on notes, (b)</t>
  </si>
  <si>
    <t xml:space="preserve">The paper copy of the annual report contains several blank pages throughout the report so that schedules on two pages can be viewed at one time.  This excel file does not contain those blank pages.  As a result, please use the paper copy of the annual report as a guide for placing blank pages into the paper copy submitted. </t>
  </si>
  <si>
    <t>WATERFORM.XLS File</t>
  </si>
  <si>
    <t>Show separately by footnote the total amount of notes and accounts receivable from directors, officers, and</t>
  </si>
  <si>
    <t>Short-Term Debt</t>
  </si>
  <si>
    <t>Accum. Gains &amp; Losses -</t>
  </si>
  <si>
    <t>SCWATER.XLS</t>
  </si>
  <si>
    <t>UWATERNR.XLS</t>
  </si>
  <si>
    <t>UWATERNY.XLS</t>
  </si>
  <si>
    <t>UWATEROS.XLS</t>
  </si>
  <si>
    <t>Hertitage Hills Waterworks</t>
  </si>
  <si>
    <t>HHWATER.XLS</t>
  </si>
  <si>
    <t xml:space="preserve">  Investments in Affiliated Companies</t>
  </si>
  <si>
    <t>Pg 122, L 40, 41 (b)</t>
  </si>
  <si>
    <t xml:space="preserve">  Other Debt &amp; Equity Investments</t>
  </si>
  <si>
    <t>Pg 122, L 42, 43 (b)</t>
  </si>
  <si>
    <t xml:space="preserve">  Other Non-Current Assets</t>
  </si>
  <si>
    <t xml:space="preserve">   The Public Service Law requires that "... it shall be the duty of every such person and corporation to file with the</t>
  </si>
  <si>
    <t>American Water Works Company, Inc</t>
  </si>
  <si>
    <t>131 Woodcrest Road</t>
  </si>
  <si>
    <t>Cherry Hill, NJ 08003</t>
  </si>
  <si>
    <t>Capital Stock Expense</t>
  </si>
  <si>
    <t>254</t>
  </si>
  <si>
    <t>Notes Payable</t>
  </si>
  <si>
    <t>Reconciliation Act of 1993) &amp; the deferred tax balances provided are greater/less than the enacted tax rate, all calculated on a</t>
  </si>
  <si>
    <t>Pension Costs, Analysis of</t>
  </si>
  <si>
    <t>Voting Powers</t>
  </si>
  <si>
    <t>reported net income with taxable net income as if a separate return were to be filed, indicating</t>
  </si>
  <si>
    <t>intercompany amounts to be eliminated in such consolidated return.  State name of group</t>
  </si>
  <si>
    <t>members, tax assigned to each group member, and basis of allocation, assignment, or</t>
  </si>
  <si>
    <t>PLANT #3, LAKEVIEW</t>
  </si>
  <si>
    <t xml:space="preserve">    "      "     "</t>
  </si>
  <si>
    <t>sharing of the consolidated tax among the group members.</t>
  </si>
  <si>
    <t>DESCRIPTION</t>
  </si>
  <si>
    <t>REF.</t>
  </si>
  <si>
    <t>Net income for the year</t>
  </si>
  <si>
    <t>Federal Income Tax Accrual</t>
  </si>
  <si>
    <t>State &amp; Local Income Tax Accrual</t>
  </si>
  <si>
    <t>Permanent Differences:</t>
  </si>
  <si>
    <t>Meal &amp; Enterainment</t>
  </si>
  <si>
    <t>OFFICERS AND DIRECTORS (Including Compensation - Continued)</t>
  </si>
  <si>
    <t>1.</t>
  </si>
  <si>
    <t>Furnish the indicated data with respect to each executive officer and director, whether or not they received any</t>
  </si>
  <si>
    <t xml:space="preserve">Pension Related or Other Funds or Credits this Commission Directed the Company </t>
  </si>
  <si>
    <t xml:space="preserve">stockholders are applicable and furnish the data required by </t>
  </si>
  <si>
    <t>Revenue Service involving possible assessment of additional</t>
  </si>
  <si>
    <t>(349)</t>
  </si>
  <si>
    <t>Page 315-A</t>
  </si>
  <si>
    <t>INCOME FROM MERCHANDISING, JOBBING AND CONTRACT WORK (Accounts 415 and 416)</t>
  </si>
  <si>
    <t>1. Report by utility departments the revenues, costs, expenses, and net income from merchandising, jobbing</t>
  </si>
  <si>
    <t>TAXES ACCRUED, PREPAID AND CHARGED DURING YEAR</t>
  </si>
  <si>
    <t>TAXES ACCRUED, PREPAID AND CHARGED DURING YEAR (Continued)</t>
  </si>
  <si>
    <t>1.  Give particulars (details) of the combined prepaid and accrued tax accounts and show the total taxes charged to operations and other</t>
  </si>
  <si>
    <t>Advance</t>
  </si>
  <si>
    <t>In.</t>
  </si>
  <si>
    <t>In Use</t>
  </si>
  <si>
    <t>Temporarily</t>
  </si>
  <si>
    <t>Cost of Service Study</t>
  </si>
  <si>
    <t>Incent Plan (Incen 3)</t>
  </si>
  <si>
    <t>Incent Plan (Incen 5)</t>
  </si>
  <si>
    <t>Regulatory Pension (Pension 2)</t>
  </si>
  <si>
    <t>Regulatory Pension (Pension 3)</t>
  </si>
  <si>
    <t>AFUDC (AFUDC 1)</t>
  </si>
  <si>
    <t>COMPARATIVE INCOME AND RETAINED EARNINGS STATEMENT</t>
  </si>
  <si>
    <t>TOTAL UTILITY OPERATING INCOME</t>
  </si>
  <si>
    <t>Pg 117, L 2 (e)</t>
  </si>
  <si>
    <t>Operating Expense:</t>
  </si>
  <si>
    <t xml:space="preserve">     Operation Expense</t>
  </si>
  <si>
    <t>Pg 117, L 4 (e)</t>
  </si>
  <si>
    <t xml:space="preserve">     Maintenance Expense</t>
  </si>
  <si>
    <t>Pg 117, L 5 (e)</t>
  </si>
  <si>
    <t>3.   The information to be shown below should be the same basis as provided in "Water Operating Revenues".</t>
  </si>
  <si>
    <t>Leaf #72 - Service Class #4 - Public Fire</t>
  </si>
  <si>
    <t xml:space="preserve">          TOTALS (Account 463)</t>
  </si>
  <si>
    <t xml:space="preserve">          TOTALS (Account 464)</t>
  </si>
  <si>
    <t xml:space="preserve">          TOTALS (Account 465)</t>
  </si>
  <si>
    <t>Page 301</t>
  </si>
  <si>
    <t>employees included in Notes Receivable (Account 141) and Other Accounts Receivable (Account 143).</t>
  </si>
  <si>
    <t>Miscellaneous Deferred Credits (Misc 2)</t>
  </si>
  <si>
    <t>4. In this report, the utility also shall either propose a method of distributing to its customers the</t>
  </si>
  <si>
    <t>Include in column (f) interest recorded as income during the year, including interest on accounts and notes held any time</t>
  </si>
  <si>
    <t>during the year.</t>
  </si>
  <si>
    <t>6.</t>
  </si>
  <si>
    <t>Give particulars of any notes pledged or discounted, also of any collateral held as guarantee of payment of any note or account.</t>
  </si>
  <si>
    <t>End of</t>
  </si>
  <si>
    <t>Interest</t>
  </si>
  <si>
    <t>Particulars</t>
  </si>
  <si>
    <t>Debits</t>
  </si>
  <si>
    <t>Disclose separately by footnote any capital stock subscriptions received included in  Account 143, Other</t>
  </si>
  <si>
    <t>Accounts Receivable.</t>
  </si>
  <si>
    <t>WATER OPERATING REVENUES (Account 400)</t>
  </si>
  <si>
    <t xml:space="preserve">           Net  Utility Operating Income (Enter Total of</t>
  </si>
  <si>
    <t>Pg 115, L 32, 33 (d)</t>
  </si>
  <si>
    <t>Pg 115, L 34 (d)</t>
  </si>
  <si>
    <t>Pg 115, L 35 (d)</t>
  </si>
  <si>
    <t>Interest Accrued</t>
  </si>
  <si>
    <t>Pg 115, L 36 (d)</t>
  </si>
  <si>
    <t>Matured Long-Term Debt</t>
  </si>
  <si>
    <t>Pg 115, L 38 (d)</t>
  </si>
  <si>
    <t>preceding the abbreviation "gals." the initial letter of Thousand,</t>
  </si>
  <si>
    <t>revenue included on page</t>
  </si>
  <si>
    <t>TOTAL SALES</t>
  </si>
  <si>
    <t>Page 302</t>
  </si>
  <si>
    <t>Page 303</t>
  </si>
  <si>
    <t>Page 304</t>
  </si>
  <si>
    <t>SALES FOR RESALE AND PURCHASED WATER (Account 466 and 602)</t>
  </si>
  <si>
    <t>Report below particulars of sales or purchases for redistribution during the year.</t>
  </si>
  <si>
    <t>Average per</t>
  </si>
  <si>
    <t xml:space="preserve">Thousand </t>
  </si>
  <si>
    <t>Report the particulars indicated concerning notes payable at end of year.</t>
  </si>
  <si>
    <t>Give particulars of collateral pledged, if any.</t>
  </si>
  <si>
    <t>Furnish particulars for any formal or informal compensating balance agreements covering open lines of credit.</t>
  </si>
  <si>
    <t>Page 263</t>
  </si>
  <si>
    <t xml:space="preserve">RECONCILIATION BETWEEN PSC AND STOCKHOLDER'S </t>
  </si>
  <si>
    <t>ANNUAL REPORT (Continued)</t>
  </si>
  <si>
    <t>($000s)</t>
  </si>
  <si>
    <t>PSC</t>
  </si>
  <si>
    <t>Consolidations</t>
  </si>
  <si>
    <t>Footnote</t>
  </si>
  <si>
    <t>Stockholder's</t>
  </si>
  <si>
    <t>Description</t>
  </si>
  <si>
    <t>USOA</t>
  </si>
  <si>
    <t>Adjustments</t>
  </si>
  <si>
    <t>Eliminations</t>
  </si>
  <si>
    <t>Ref</t>
  </si>
  <si>
    <t>Report</t>
  </si>
  <si>
    <t>Balance Sheet</t>
  </si>
  <si>
    <t>Assets</t>
  </si>
  <si>
    <t xml:space="preserve">  Total Net Utility Plant</t>
  </si>
  <si>
    <t xml:space="preserve">  Other Property &amp; Investments</t>
  </si>
  <si>
    <t xml:space="preserve">  Current Assets</t>
  </si>
  <si>
    <t>General Corporate Information and</t>
  </si>
  <si>
    <t>Financial Statements</t>
  </si>
  <si>
    <t>101</t>
  </si>
  <si>
    <t>12-78</t>
  </si>
  <si>
    <t>Company Profile</t>
  </si>
  <si>
    <t>102-103</t>
  </si>
  <si>
    <t>12-97</t>
  </si>
  <si>
    <t>N/A</t>
  </si>
  <si>
    <t>Interest to Construction</t>
  </si>
  <si>
    <t xml:space="preserve">   entire amount refunded, or show why it should not make such a distribution.</t>
  </si>
  <si>
    <t>Description of Item</t>
  </si>
  <si>
    <t>Page 367</t>
  </si>
  <si>
    <t>WATER PRODUCTION AND CONSUMPTION</t>
  </si>
  <si>
    <t xml:space="preserve">    TOTAL Current and Accrued Assets (Enter Total of lines 16 thru 33)</t>
  </si>
  <si>
    <t>DEFERRED DEBITS</t>
  </si>
  <si>
    <t xml:space="preserve">        Aggregate all other funds.</t>
  </si>
  <si>
    <t xml:space="preserve">               customers are billed.</t>
  </si>
  <si>
    <t xml:space="preserve">   Net Increase (Decrease) in Cash and Cash Equivalents</t>
  </si>
  <si>
    <t xml:space="preserve">          (Total of lines 21, 54 and 80)</t>
  </si>
  <si>
    <t>Cash and Cash Equivalents at Beginning of Year</t>
  </si>
  <si>
    <t>Cash and Cash Equivalents at End of Year</t>
  </si>
  <si>
    <t>Page 123</t>
  </si>
  <si>
    <t xml:space="preserve">NOTES TO FINANCIAL STATEMENTS </t>
  </si>
  <si>
    <t>(A/C 108)</t>
  </si>
  <si>
    <t>(A/C 111)</t>
  </si>
  <si>
    <t>Balance Beginning of Year</t>
  </si>
  <si>
    <t xml:space="preserve">Depreciation Provisions for Year, </t>
  </si>
  <si>
    <t xml:space="preserve">  Charged to</t>
  </si>
  <si>
    <t xml:space="preserve">  (403) Depreciation Expense</t>
  </si>
  <si>
    <t xml:space="preserve">  (413) Exp. of Plt. Leas. to Others</t>
  </si>
  <si>
    <t xml:space="preserve">  Transportation Expenses-Clearing</t>
  </si>
  <si>
    <t xml:space="preserve">  Other Clearing Accounts</t>
  </si>
  <si>
    <t>Amount or No.</t>
  </si>
  <si>
    <t>Book Costs *</t>
  </si>
  <si>
    <t>Uncollectible Accounts, Accumulated</t>
  </si>
  <si>
    <t>Payroll Distribution</t>
  </si>
  <si>
    <t xml:space="preserve">    Provision For</t>
  </si>
  <si>
    <t>The Commission's September 7, 1993 Policy Statement on pensions and OPEB stated that, except under certain circumstances, the</t>
  </si>
  <si>
    <t>difference between 1)  the rate allowance for OPEB expense, plus any pension related or other funds or credits the company is directed</t>
  </si>
  <si>
    <t xml:space="preserve">3. In determining whether a refund meets the criteria stated in Instruction 1 above, multiple refunds shall </t>
  </si>
  <si>
    <t>(b) To be fair, understanding , and responsive to customers' needs and requests.</t>
  </si>
  <si>
    <t xml:space="preserve">explanation of the capital change which gave rise to amounts reported under this caption including </t>
  </si>
  <si>
    <t>identification with the class and series of stock to which related.</t>
  </si>
  <si>
    <t xml:space="preserve">  (c) Gain on Resale or Cancellation of Reacquired Capital Stock (Account 210) - Report balance at</t>
  </si>
  <si>
    <t xml:space="preserve">    Allowance for Other Funds Used During Construction (419.1)</t>
  </si>
  <si>
    <t>Description of Investment</t>
  </si>
  <si>
    <t>Insert Pages</t>
  </si>
  <si>
    <t>Construction Work in Progress (107)</t>
  </si>
  <si>
    <t>pumps, give the information per station.</t>
  </si>
  <si>
    <t>2. Where quantities of water are requested, insert in col. (a)</t>
  </si>
  <si>
    <t>Lawrence</t>
  </si>
  <si>
    <t>Lynbrook</t>
  </si>
  <si>
    <t>Malverne</t>
  </si>
  <si>
    <t>Valley Stream</t>
  </si>
  <si>
    <t>Hewlett Neck</t>
  </si>
  <si>
    <t>Woodsburgh</t>
  </si>
  <si>
    <t xml:space="preserve">*allocation of stabilzation </t>
  </si>
  <si>
    <t>was based on the already</t>
  </si>
  <si>
    <t>known spread</t>
  </si>
  <si>
    <t>*does not include unbilled</t>
  </si>
  <si>
    <t>52</t>
  </si>
  <si>
    <t>53</t>
  </si>
  <si>
    <t xml:space="preserve">  Total Transmission &amp; Distribution Plant  (sum lines 33  thru 42)</t>
  </si>
  <si>
    <t>Page 202</t>
  </si>
  <si>
    <t>gravity, so state)</t>
  </si>
  <si>
    <t>Kinds of fuel used</t>
  </si>
  <si>
    <t>Unit of fuel</t>
  </si>
  <si>
    <t>Fuel on hand at beginning of year</t>
  </si>
  <si>
    <t>*Booster plant - All or part of the pumpage appearing on</t>
  </si>
  <si>
    <t>Quantity received during year</t>
  </si>
  <si>
    <t xml:space="preserve"> is boosted pumpage. This boosted pumpage is not included</t>
  </si>
  <si>
    <t xml:space="preserve"> line 5 is not included in the totals or average. Any excess</t>
  </si>
  <si>
    <t xml:space="preserve"> in the totals or average. The pumpage figures on line 6</t>
  </si>
  <si>
    <t xml:space="preserve"> of pumpage over backfill (into tank) will appear on line 6</t>
  </si>
  <si>
    <t>Average cost per unit</t>
  </si>
  <si>
    <t xml:space="preserve"> are the net to the distribution system</t>
  </si>
  <si>
    <t xml:space="preserve"> and be included in "Net to Distribution System".</t>
  </si>
  <si>
    <t>Quantity used for pumping</t>
  </si>
  <si>
    <t>employees.  The amount of coverage is determined by length of service and salary level.</t>
  </si>
  <si>
    <t>Upon retirement, coverage is reduced by half. All benefits payments are made by the</t>
  </si>
  <si>
    <t>contracts.  If they are participating, explain the terms and state the cost difference between the contract(s) purchased and</t>
  </si>
  <si>
    <t>Water Operation and Maintenance Expenses</t>
  </si>
  <si>
    <t>320-323</t>
  </si>
  <si>
    <t>307-309</t>
  </si>
  <si>
    <t>Number of Employees</t>
  </si>
  <si>
    <t>323</t>
  </si>
  <si>
    <t>309</t>
  </si>
  <si>
    <t>Fuel or Purchased Power for Pumping</t>
  </si>
  <si>
    <t>income taxes of a material amount initiated by the utility.</t>
  </si>
  <si>
    <t>Give also a brief explanation of any dividends in arrears</t>
  </si>
  <si>
    <t>on cumulative preferred stock.</t>
  </si>
  <si>
    <t>transactions which gave rise to the reported amounts.</t>
  </si>
  <si>
    <t>Donations Received from Stockholders (Account 208)</t>
  </si>
  <si>
    <t>Subtotal</t>
  </si>
  <si>
    <t>Reduction in Par or Stated Value of Common Stock (Account 209)</t>
  </si>
  <si>
    <t>Gain on Resale or Cancellation of Reacquired Capital Stock (Account 210)</t>
  </si>
  <si>
    <t>Incentive Pay</t>
  </si>
  <si>
    <t>Savings</t>
  </si>
  <si>
    <t>below.  Make the statements explicit and precise, and number</t>
  </si>
  <si>
    <t xml:space="preserve">     If customer count in the residential and commercial classifications includes customers counted more than once because of special services, indicate in a footnote the number</t>
  </si>
  <si>
    <t>Sec 55, Block k, Parts of Lot 382 and 60, Whitehouse Ave, Roosevelt</t>
  </si>
  <si>
    <t>Sec 37, Block 597, Part of Lot 13, Terrace Place, Valley Stream</t>
  </si>
  <si>
    <t>President</t>
  </si>
  <si>
    <t>Assistant Comptroller</t>
  </si>
  <si>
    <t>(Less) Accum. Prov. for Uncollectible Acct.-Credit (144)</t>
  </si>
  <si>
    <t xml:space="preserve">  account charged, the total of amortization charges for the</t>
  </si>
  <si>
    <t>advances on open account, (c) notes payable, (d) accounts</t>
  </si>
  <si>
    <t xml:space="preserve">  year, and the period of amortization.</t>
  </si>
  <si>
    <t>payable, and (e) other debt, and total interest.  Explain the</t>
  </si>
  <si>
    <t>Actual Return on Plan Assets [ (Gain) or Loss ]</t>
  </si>
  <si>
    <t xml:space="preserve">(a) Provide a safe and adequate water supply at a reasonable cost. </t>
  </si>
  <si>
    <t xml:space="preserve">   2.  In column (a), for new issues,  give Commission authorization</t>
  </si>
  <si>
    <t>originally issued.</t>
  </si>
  <si>
    <t xml:space="preserve">Discount and Expense, or credited to Account 429, </t>
  </si>
  <si>
    <t>Other (specify)</t>
  </si>
  <si>
    <t>ITC</t>
  </si>
  <si>
    <t>Section 46(f)(1) ITC</t>
  </si>
  <si>
    <t>Misc Current and Accrued Liabilities</t>
  </si>
  <si>
    <t>Pg 115, L 37, 39=&gt;42 (d)</t>
  </si>
  <si>
    <t xml:space="preserve">          Total Current and Accrued Liabilities</t>
  </si>
  <si>
    <t>Customer Advances for Construction</t>
  </si>
  <si>
    <t>Pg 115, L 45 (d)</t>
  </si>
  <si>
    <t>Pg 115, L 46 (d)</t>
  </si>
  <si>
    <t>Pg 115, L 47 (d)</t>
  </si>
  <si>
    <t>Pg 115, L 50 (d)</t>
  </si>
  <si>
    <t xml:space="preserve">          Total Deferred Credits</t>
  </si>
  <si>
    <t>Leased, Held for Future Use, or Nonutility.</t>
  </si>
  <si>
    <t>required but has not been received, give explanation following</t>
  </si>
  <si>
    <t xml:space="preserve">2. Individual gains or losses relating to property with an </t>
  </si>
  <si>
    <t>the item in column (a).  See Account 102, Utility Plant Purchased</t>
  </si>
  <si>
    <t>or Sold).</t>
  </si>
  <si>
    <t xml:space="preserve"> Plant Materials and Operating Supplies (Account 150.154)</t>
  </si>
  <si>
    <t>Pg 300, L 7, 8, 10 (h)</t>
  </si>
  <si>
    <t xml:space="preserve">          Total Customers</t>
  </si>
  <si>
    <t>Fair Value of Plan Assets at Beginning of Period</t>
  </si>
  <si>
    <t xml:space="preserve">       b. For parents of the utility, provide the extent of control that the parent has over the utility.</t>
  </si>
  <si>
    <t xml:space="preserve">       c. For subsidiaries of the utility, provide the extent of control that the utility has over the subsidiary.</t>
  </si>
  <si>
    <t>Page 102</t>
  </si>
  <si>
    <t>COMPANY PROFILE (Continued)</t>
  </si>
  <si>
    <t>Page 103</t>
  </si>
  <si>
    <t>Page 405    sheet 6 of 21</t>
  </si>
  <si>
    <t>Page 405    sheet 7 of 21</t>
  </si>
  <si>
    <t>Page 405    sheet 8 of 21</t>
  </si>
  <si>
    <t>Page 405    sheet 9 of 21</t>
  </si>
  <si>
    <t xml:space="preserve">                                  Total (Account 128)</t>
  </si>
  <si>
    <t>SPECIAL DEPOSITS (Accounts 132, 133, 134)</t>
  </si>
  <si>
    <t>information will carry to other sheets in the file.</t>
  </si>
  <si>
    <t>Net Income for the Year (Page 118)</t>
  </si>
  <si>
    <t>Reconciling Items for the Year</t>
  </si>
  <si>
    <t>Investment in Research and Development (188)</t>
  </si>
  <si>
    <t>Report the amount of gains or losses arising from employee termination benefits or settlements, partial settlements,</t>
  </si>
  <si>
    <t>22</t>
  </si>
  <si>
    <t>23</t>
  </si>
  <si>
    <t>24</t>
  </si>
  <si>
    <t>25</t>
  </si>
  <si>
    <t xml:space="preserve"> NOTES:</t>
  </si>
  <si>
    <t>NOTES:</t>
  </si>
  <si>
    <t>Description and purpose of deposit</t>
  </si>
  <si>
    <t xml:space="preserve">  No.</t>
  </si>
  <si>
    <t xml:space="preserve">Interest Special Deposits (Account 132)                </t>
  </si>
  <si>
    <t xml:space="preserve">       Maintenance Expenses (402)</t>
  </si>
  <si>
    <t xml:space="preserve">       Depreciation Expense (403)</t>
  </si>
  <si>
    <t xml:space="preserve">       Amort. Limited-term Water Plant (404)</t>
  </si>
  <si>
    <t xml:space="preserve">       Amort. of Other Water Plant (405)</t>
  </si>
  <si>
    <t xml:space="preserve">       Amort. of Water Plant Acquisition</t>
  </si>
  <si>
    <t>ANALYSIS OF PENSION COST</t>
  </si>
  <si>
    <t>ANALYSIS OF PENSION COST (Continued)</t>
  </si>
  <si>
    <t>On lines 1-21 report the terms of the Pension Plan for the holding company or parent company; on lines 22-32 report</t>
  </si>
  <si>
    <t xml:space="preserve">       lines 1, 9, 14, 15, and 16)</t>
  </si>
  <si>
    <t>Accumulated Deferred Income Taxes (281 - 283)</t>
  </si>
  <si>
    <t xml:space="preserve">     TOTAL Deferred Credits ( Total of lines 45 thru 50)</t>
  </si>
  <si>
    <t>Unamortized Debt Expense (181)</t>
  </si>
  <si>
    <t>Quantity used for other than pumping</t>
  </si>
  <si>
    <t xml:space="preserve">  - New York State Intrastate</t>
  </si>
  <si>
    <t xml:space="preserve">  - Operating</t>
  </si>
  <si>
    <t>Year End Audit Report is not completed yet. Data must be submitted at a later date.</t>
  </si>
  <si>
    <t>*</t>
  </si>
  <si>
    <t>data required by instructions 1 to 11 above, such notes may</t>
  </si>
  <si>
    <t>proximate number of customers added or lost and approximate</t>
  </si>
  <si>
    <t>be included on this page (Paper Copy Only).</t>
  </si>
  <si>
    <t>19</t>
  </si>
  <si>
    <t>20</t>
  </si>
  <si>
    <t>21</t>
  </si>
  <si>
    <t>for the Year</t>
  </si>
  <si>
    <t xml:space="preserve">         TOTAL Appropriations to Retained Earnings (Acct. 436) (Total of lines 18 thru 21)</t>
  </si>
  <si>
    <t xml:space="preserve">    Proceeds from Disposal of Noncurrent Assets (d)</t>
  </si>
  <si>
    <t>Pg 118, L 34 (c)</t>
  </si>
  <si>
    <t>Allowance for Funds Used During Construction</t>
  </si>
  <si>
    <t>Pg 118, L 35 (c)</t>
  </si>
  <si>
    <t>Miscellaneous Nonoperating Income</t>
  </si>
  <si>
    <t xml:space="preserve">     Other  *</t>
  </si>
  <si>
    <t>Capital Appreciation or (Depreciation) of Fund Assets</t>
  </si>
  <si>
    <t xml:space="preserve">      Production Plant (Estimated)</t>
  </si>
  <si>
    <t xml:space="preserve">      Transmission Plant (Estimated) </t>
  </si>
  <si>
    <t xml:space="preserve">      Distribution Plant (Estimated)</t>
  </si>
  <si>
    <t xml:space="preserve">    Assigned to - Other</t>
  </si>
  <si>
    <t>8.     All entries shall be made in black or dark blue except those of a contrary or opposite nature, which</t>
  </si>
  <si>
    <t xml:space="preserve">should be made in red or enclosed in parentheses.  Inserts, if any, should be appropriately identified </t>
  </si>
  <si>
    <t xml:space="preserve">    3.  The period between the billing date and the date on which</t>
  </si>
  <si>
    <t xml:space="preserve">       Total Other Operating Revenues</t>
  </si>
  <si>
    <t xml:space="preserve">               discounts are forfeited.</t>
  </si>
  <si>
    <t>Tax Collections Payable (241)</t>
  </si>
  <si>
    <t>John A. Hoffman</t>
  </si>
  <si>
    <t xml:space="preserve">          TOTAL In Service (Enter Total of lines  21 thru 22) </t>
  </si>
  <si>
    <t>Leased to Others</t>
  </si>
  <si>
    <t xml:space="preserve">   Depreciation  (109, 119.1,  119.2)</t>
  </si>
  <si>
    <t xml:space="preserve">  $5,000 by classifications and indicate the number of</t>
  </si>
  <si>
    <t>of costs of projects.  This total must equal the balance</t>
  </si>
  <si>
    <t>DCA - Refund to Customers</t>
  </si>
  <si>
    <t>Other Expenses (List items of $1,000 or more in this column showing the (1) purpose, (2) recipient</t>
  </si>
  <si>
    <t xml:space="preserve">which have been nominally issued and are nominally  </t>
  </si>
  <si>
    <t xml:space="preserve">Executive officers include a company's president, secretary, treasurer and vice president in charge of a principal business unit, </t>
  </si>
  <si>
    <t>INJURIES AND DAMAGES</t>
  </si>
  <si>
    <t>EMPLOYEE PENSIONS AND BENEFITS</t>
  </si>
  <si>
    <t>FRANCHISE REQUIREMENTS</t>
  </si>
  <si>
    <t>MAINTENANCE OF GENERAL PLANT</t>
  </si>
  <si>
    <t xml:space="preserve">     TOTAL ADMINISTRATIVE AND GENERAL EXPENSES</t>
  </si>
  <si>
    <t xml:space="preserve"> TOTAL WATER  O&amp;M EXPENSES  -  SUM OF 7 CATEGORIES ABOVE</t>
  </si>
  <si>
    <t>NUMBER OF WATER DEPARTMENT EMPLOYEES</t>
  </si>
  <si>
    <t>3.  the total cost for the year.</t>
  </si>
  <si>
    <t>Account 411.1</t>
  </si>
  <si>
    <t>Account 410.2</t>
  </si>
  <si>
    <t>4.  If assets other than cash comprise any fund, furnish a list of the securities or other assets, giving interest or dividend</t>
  </si>
  <si>
    <t>Report on line 27 the dollar amount included on line 26 which has been capitalized.</t>
  </si>
  <si>
    <t>Amortization of Unrecognized Prior Service Cost</t>
  </si>
  <si>
    <t>For each plan, specify and explain in the space below any accounting changes or changes in assumptions or elected</t>
  </si>
  <si>
    <t>Total Pension Cost</t>
  </si>
  <si>
    <t>options made during the reporting year.  Quantify the effects of each such revision on each of the amounts reported on</t>
  </si>
  <si>
    <t xml:space="preserve">         TOTAL Account 150.154 (Enter Total of lines 5 thru 10)</t>
  </si>
  <si>
    <t xml:space="preserve"> Merchandise (Account 150.155)</t>
  </si>
  <si>
    <t xml:space="preserve"> Other Material and Supplies (Account 150.156)</t>
  </si>
  <si>
    <t>Pg 114, L 37=&gt;43 (d)</t>
  </si>
  <si>
    <t>Pg 114, L 44 (d)</t>
  </si>
  <si>
    <t xml:space="preserve">          Total Deferred Debits</t>
  </si>
  <si>
    <t xml:space="preserve">       Total Assets and Other Debits</t>
  </si>
  <si>
    <t>Common Stock Issued</t>
  </si>
  <si>
    <t>Pg 115, L 2, (d)</t>
  </si>
  <si>
    <t>Preferred Stock Issued</t>
  </si>
  <si>
    <t>Pg 115, L 3, (d)</t>
  </si>
  <si>
    <t>Other Paid-in Capital</t>
  </si>
  <si>
    <t>Pg 115, L 4=&gt;8 - L 9=&gt;10 (d)</t>
  </si>
  <si>
    <t xml:space="preserve"> Stores Expense Undistributed (Account 150.163)</t>
  </si>
  <si>
    <t xml:space="preserve">         TOTAL Materials and Supplies (per Balance Sheet)</t>
  </si>
  <si>
    <t>Prepaid taxes</t>
  </si>
  <si>
    <t xml:space="preserve">   3.  Purchase or sale of an operating unit or system:  Give a </t>
  </si>
  <si>
    <t>or projects, submit estimates for columns (c), (d), and (f) with</t>
  </si>
  <si>
    <t xml:space="preserve">  (R &amp; D) project initiated, continued, or concluded</t>
  </si>
  <si>
    <t xml:space="preserve">       general class. Show separate totals for common and preferred stock.  If information to meet the stock exchange reporting requirement outlined in </t>
  </si>
  <si>
    <t xml:space="preserve">    or noncumulative.</t>
  </si>
  <si>
    <t>Page 256-A</t>
  </si>
  <si>
    <t>Page 257-A</t>
  </si>
  <si>
    <t>willing seller, other than in a forced or liquidation sale.</t>
  </si>
  <si>
    <t>107, Construction Work in Progress, first.  Show in column (f)</t>
  </si>
  <si>
    <t>IMPORTANT CHANGES DURING THE YEAR (Continued)</t>
  </si>
  <si>
    <t>Page 109</t>
  </si>
  <si>
    <t xml:space="preserve">RECONCILIATION BETWEEN PSC AND STOCKHOLDER'S ANNUAL REPORT </t>
  </si>
  <si>
    <t>(Account 408.2,409.2)</t>
  </si>
  <si>
    <t>(Account 409.3)</t>
  </si>
  <si>
    <t>(Account 439)</t>
  </si>
  <si>
    <t>(m)</t>
  </si>
  <si>
    <t>(n)</t>
  </si>
  <si>
    <t>(o)</t>
  </si>
  <si>
    <t>(p)</t>
  </si>
  <si>
    <t>(q)</t>
  </si>
  <si>
    <t>NYSPSC347-97</t>
  </si>
  <si>
    <t>Page 260</t>
  </si>
  <si>
    <t>System of Accounts were submitted to the Commission.</t>
  </si>
  <si>
    <t>Page 107</t>
  </si>
  <si>
    <t>IMPORTANT CHANGES DURING THE YEAR</t>
  </si>
  <si>
    <t>(6)</t>
  </si>
  <si>
    <t>(7)</t>
  </si>
  <si>
    <t>(8)</t>
  </si>
  <si>
    <t>(9)</t>
  </si>
  <si>
    <t>(10)</t>
  </si>
  <si>
    <t>(11) *</t>
  </si>
  <si>
    <t>(12)</t>
  </si>
  <si>
    <t>(13) *</t>
  </si>
  <si>
    <t>(14)</t>
  </si>
  <si>
    <t>(16)</t>
  </si>
  <si>
    <t>5.  In column (d) specify short tons gallons, or other unit in which quantities of</t>
  </si>
  <si>
    <t>3.  Insert the heading of column (b) preceding the abbreviation "gals." the initial</t>
  </si>
  <si>
    <t>PLANT #2, LAKEVIEW</t>
  </si>
  <si>
    <t>1995</t>
  </si>
  <si>
    <t>1994</t>
  </si>
  <si>
    <t>3. Report all available information called for in section C every fifth year beginning with report year 1972, reporting annually only</t>
  </si>
  <si>
    <t>Non-Utility Property</t>
  </si>
  <si>
    <t>221</t>
  </si>
  <si>
    <t>211</t>
  </si>
  <si>
    <t>Special Funds and Deposits</t>
  </si>
  <si>
    <t>Galv.</t>
  </si>
  <si>
    <t>Steel</t>
  </si>
  <si>
    <t>Transite</t>
  </si>
  <si>
    <t>Concrete</t>
  </si>
  <si>
    <t>Copper</t>
  </si>
  <si>
    <t xml:space="preserve">    Miscellaneous Nonoperating Income (421)</t>
  </si>
  <si>
    <t xml:space="preserve">    Gain in Disposition of Property (421.1)</t>
  </si>
  <si>
    <t xml:space="preserve">          TOTAL Other Income (Enter Total of lines 28 thru 37)</t>
  </si>
  <si>
    <t>Other Income Deductions</t>
  </si>
  <si>
    <t xml:space="preserve">    Loss on Disposition of Property (421.2)</t>
  </si>
  <si>
    <t>1987</t>
  </si>
  <si>
    <t>29-31</t>
  </si>
  <si>
    <t>changes to columns (c) through (g) from the complete report of the preceding year.</t>
  </si>
  <si>
    <t>314.A</t>
  </si>
  <si>
    <t>Average Remaining Amortization Period for:</t>
  </si>
  <si>
    <t>Protected Excess Deferred FIT Balance</t>
  </si>
  <si>
    <t>Amort. of Debt Disc. and Expense (428)</t>
  </si>
  <si>
    <t xml:space="preserve"> (j)</t>
  </si>
  <si>
    <t>MANAGEMENT, OPERATIONAL, OFFICE SALARIES</t>
  </si>
  <si>
    <t>Accumulated Deferred Income Taxes</t>
  </si>
  <si>
    <t>234</t>
  </si>
  <si>
    <t>3.  The provisions of Account 108 in the Uniform System of Accounts require that retirements of depreciable plant be recorded when such</t>
  </si>
  <si>
    <t>Include in Column (f) the amount of any interest expense during the year on notes or accounts that</t>
  </si>
  <si>
    <t xml:space="preserve">  5.  Give concise explanations concerning significant</t>
  </si>
  <si>
    <t>amount of any refunds made or received during the year</t>
  </si>
  <si>
    <t>(Ref.)</t>
  </si>
  <si>
    <t xml:space="preserve">112 Accumulated Provision for Amortization of </t>
  </si>
  <si>
    <t>116 Other Water Plant Adjustments</t>
  </si>
  <si>
    <t xml:space="preserve">113 Accumulated Provision for Amortization of </t>
  </si>
  <si>
    <t>117 Accumulated Gains and Losses from</t>
  </si>
  <si>
    <t xml:space="preserve">          Disposition of Utility Plant and Land</t>
  </si>
  <si>
    <t xml:space="preserve">          Rights</t>
  </si>
  <si>
    <t xml:space="preserve">115 Accumulated Provision for Amortization of </t>
  </si>
  <si>
    <t xml:space="preserve">    Plant Acquisition Adjustments</t>
  </si>
  <si>
    <t>118.2 Other Utility Plant</t>
  </si>
  <si>
    <t>119.2 Accumulated Provision for Depreciation and</t>
  </si>
  <si>
    <t xml:space="preserve">            Amortization of Other Utility Plant</t>
  </si>
  <si>
    <t>Page 204</t>
  </si>
  <si>
    <t>settlement or curtailment, (2) date of occurrence, (3) amount of gain or loss originally deferred, (4) period of amortization</t>
  </si>
  <si>
    <t xml:space="preserve">  1.  Give date of the latest closing of the stock book prior</t>
  </si>
  <si>
    <t>Cash Flows From Financing Activities</t>
  </si>
  <si>
    <t xml:space="preserve">   OUTSTANDING PER BALANCE SHEET</t>
  </si>
  <si>
    <t xml:space="preserve">               HELD BY RESPONDENT</t>
  </si>
  <si>
    <t xml:space="preserve"> Fuel Stock Expenses Undistributed (Account 150.152)</t>
  </si>
  <si>
    <t xml:space="preserve"> Residuals and Extracted Products</t>
  </si>
  <si>
    <t>Current Year's Income</t>
  </si>
  <si>
    <t>Average Period</t>
  </si>
  <si>
    <t>of Allocation</t>
  </si>
  <si>
    <t>Subdivisions</t>
  </si>
  <si>
    <t>to Income</t>
  </si>
  <si>
    <t xml:space="preserve">      SUBTOTAL</t>
  </si>
  <si>
    <t xml:space="preserve">    ALT MACRS, MACRS, ACRS Normalization</t>
  </si>
  <si>
    <t xml:space="preserve">    ADR Normalization</t>
  </si>
  <si>
    <t>Deferred Income Tax - Other</t>
  </si>
  <si>
    <t>(322)  Boiler Plant  Equipment</t>
  </si>
  <si>
    <t>(322)</t>
  </si>
  <si>
    <t>(323)  Other Power Production Equipment</t>
  </si>
  <si>
    <t>(323)</t>
  </si>
  <si>
    <t>(324)  Steam  Pumping Equipment</t>
  </si>
  <si>
    <t>(324)</t>
  </si>
  <si>
    <t>(325)  Electric Pumping Equipment</t>
  </si>
  <si>
    <t>(325)</t>
  </si>
  <si>
    <t>(326)  Diesel Pumping Equipment</t>
  </si>
  <si>
    <t>(326)</t>
  </si>
  <si>
    <t>(327)  Hydraulic Pumping Equipment</t>
  </si>
  <si>
    <t>(327)</t>
  </si>
  <si>
    <t>(328)  Other Power Pumping Equipment</t>
  </si>
  <si>
    <t>(328)</t>
  </si>
  <si>
    <t>Pg 121, L 45 (b)</t>
  </si>
  <si>
    <t>14.  If the respondent has any long-term debt securities</t>
  </si>
  <si>
    <t>and 224, Other Long-Term Debt.</t>
  </si>
  <si>
    <t xml:space="preserve">  4.  List first account 439, Adjustments to Retained Earnings,</t>
  </si>
  <si>
    <t>Method</t>
  </si>
  <si>
    <t>of Operation</t>
  </si>
  <si>
    <t>(A)</t>
  </si>
  <si>
    <t>(B)</t>
  </si>
  <si>
    <t>(C)</t>
  </si>
  <si>
    <t>(D)</t>
  </si>
  <si>
    <t>(E)</t>
  </si>
  <si>
    <t>(F)</t>
  </si>
  <si>
    <t>(G)</t>
  </si>
  <si>
    <t>(H)</t>
  </si>
  <si>
    <t>Maximum safe daily capacity</t>
  </si>
  <si>
    <t>*Prefix the initial letter of thousands, million or billion to indicate in which entries are expressed.</t>
  </si>
  <si>
    <t>Account 430, Interest on Debt to Associated Companies.</t>
  </si>
  <si>
    <t xml:space="preserve">     State</t>
  </si>
  <si>
    <t>amount capitalized, (c) the method of distribution to construc-</t>
  </si>
  <si>
    <t>tion jobs, (d) whether different rates are applied to different</t>
  </si>
  <si>
    <t xml:space="preserve">     3. Where a net-of-tax rate for borrowed funds is used,</t>
  </si>
  <si>
    <t xml:space="preserve">types of construction, (e) basis of differentiation in rates for      </t>
  </si>
  <si>
    <t>Amortization of Previous Deferrals</t>
  </si>
  <si>
    <t>- -&gt;Termination notice sent 10 days after overdue notice for $90 or more.</t>
  </si>
  <si>
    <t>- -&gt;Shut off 18 days after termination notice sent.</t>
  </si>
  <si>
    <t xml:space="preserve">                                  Total (Account 125)</t>
  </si>
  <si>
    <t>PLANT #17, LAKEVIEW</t>
  </si>
  <si>
    <t xml:space="preserve">     "      "     "</t>
  </si>
  <si>
    <t>1975,88</t>
  </si>
  <si>
    <t>PLANT #18, S.HEMPSTEAD</t>
  </si>
  <si>
    <t xml:space="preserve">     at which carried in the books of account if different from cost) and the selling price therefor, not including any dividend or interest adjustment includible in column (g).</t>
  </si>
  <si>
    <t xml:space="preserve">Principal </t>
  </si>
  <si>
    <t>4. Investment Advances - Report separately for each person or company the amounts of loans or investment advances which are subject to repayment but which are not</t>
  </si>
  <si>
    <t>FAS 112</t>
  </si>
  <si>
    <t xml:space="preserve">   Net Increase in Short-Term Debt (c)</t>
  </si>
  <si>
    <t xml:space="preserve">Provide separate totals for Accounts 233, Notes Payable to Associated Companies, and 234, Accounts </t>
  </si>
  <si>
    <t xml:space="preserve">          TOTALS (Accounts 460.1, 461.1)</t>
  </si>
  <si>
    <t>Leaf #69 - Service Class #1a - Comm &amp; Ind</t>
  </si>
  <si>
    <t>commercial customers.</t>
  </si>
  <si>
    <t xml:space="preserve">          TOTALS (Accounts 460.2, 461.2)</t>
  </si>
  <si>
    <t xml:space="preserve">          TOTALS (Accounts 460.3, 461.3)</t>
  </si>
  <si>
    <t>Private Fire:</t>
  </si>
  <si>
    <t>Leaf #70 - Service Class #2 - Hydrant</t>
  </si>
  <si>
    <t>Leaf #75 - Service Class #6 - Protection</t>
  </si>
  <si>
    <t xml:space="preserve">          TOTALS (Account 462)</t>
  </si>
  <si>
    <t>each credit and debit identified by the class and series of stock to which related.</t>
  </si>
  <si>
    <t xml:space="preserve">  (d)  Miscellaneous Paid-In Capital (Account 211) - Classify amounts included in this account </t>
  </si>
  <si>
    <t>according to captions which, together with brief explanations, disclose the general nature of the</t>
  </si>
  <si>
    <t>4.  List the aggregate of each kind of tax under the appropriate heading of "Federal," "State," and "Local" in such manner that the total tax for</t>
  </si>
  <si>
    <t>Sales of Water by Rate Schedule</t>
  </si>
  <si>
    <t>301</t>
  </si>
  <si>
    <t>Sales of Water by Municipality</t>
  </si>
  <si>
    <t>304</t>
  </si>
  <si>
    <t>302-304</t>
  </si>
  <si>
    <t>Sales for Resale and Purchased Water</t>
  </si>
  <si>
    <t>310-311</t>
  </si>
  <si>
    <t>305</t>
  </si>
  <si>
    <t>Construction Services</t>
  </si>
  <si>
    <t>OBSERV.</t>
  </si>
  <si>
    <t>1946</t>
  </si>
  <si>
    <t>151</t>
  </si>
  <si>
    <t>---</t>
  </si>
  <si>
    <t>196</t>
  </si>
  <si>
    <t>--</t>
  </si>
  <si>
    <t>584</t>
  </si>
  <si>
    <t>Report on line 14 the net asset gain or loss deferred during the reporting year for later recognition.  Do not include in this</t>
  </si>
  <si>
    <t>Date of Valuation Reported on Lines 1 through 6</t>
  </si>
  <si>
    <t>Miscellaneous Service Revenues and Other Water Revenues</t>
  </si>
  <si>
    <t>306</t>
  </si>
  <si>
    <t xml:space="preserve">      NYSPSC 347-97</t>
  </si>
  <si>
    <t>Page 311</t>
  </si>
  <si>
    <t>Page 312</t>
  </si>
  <si>
    <t>MISCELLANEOUS GENERAL EXPENSES  (Account 930)</t>
  </si>
  <si>
    <t>Industry Association Dues</t>
  </si>
  <si>
    <t>Experimental and general research expenses</t>
  </si>
  <si>
    <t>Publishing and Distributing Information and Reports to Stockholders; Trustee, Registrar, and Transfer</t>
  </si>
  <si>
    <t>exercise of the options, warrants, or rights.  Specify the amount</t>
  </si>
  <si>
    <t xml:space="preserve">security holders as of the close of the year.  Arrange the </t>
  </si>
  <si>
    <t>make suitable deduction on line 33.</t>
  </si>
  <si>
    <t>separately for each plant.</t>
  </si>
  <si>
    <t>Plastic</t>
  </si>
  <si>
    <t>right of way</t>
  </si>
  <si>
    <t>Streets</t>
  </si>
  <si>
    <t>Iron</t>
  </si>
  <si>
    <t xml:space="preserve">    (c)</t>
  </si>
  <si>
    <t>Transmission and</t>
  </si>
  <si>
    <t xml:space="preserve">  Distribution Mains</t>
  </si>
  <si>
    <t>Page 407</t>
  </si>
  <si>
    <t>MAINS (Continued)</t>
  </si>
  <si>
    <t>Page 407A</t>
  </si>
  <si>
    <t>Lynbrook (con't)</t>
  </si>
  <si>
    <t>Page 407B</t>
  </si>
  <si>
    <t>Town of Hempstead</t>
  </si>
  <si>
    <t>Page 407C</t>
  </si>
  <si>
    <t>Fire Mains</t>
  </si>
  <si>
    <t>Page 408</t>
  </si>
  <si>
    <t>SERVICE PIPES</t>
  </si>
  <si>
    <t>persons was a party or in which any such person had a material</t>
  </si>
  <si>
    <t>required.  Give date journal entries called for by the Uniform</t>
  </si>
  <si>
    <t>interest.</t>
  </si>
  <si>
    <t>Loss From</t>
  </si>
  <si>
    <t>Acquired</t>
  </si>
  <si>
    <t>Maturity</t>
  </si>
  <si>
    <t xml:space="preserve">Beginning </t>
  </si>
  <si>
    <t>Of Shares</t>
  </si>
  <si>
    <t>End</t>
  </si>
  <si>
    <t>For</t>
  </si>
  <si>
    <t>vintage year basis.</t>
  </si>
  <si>
    <t>Account 190</t>
  </si>
  <si>
    <t xml:space="preserve">   Net Cash Provided by (Used in) Financing Activities</t>
  </si>
  <si>
    <t xml:space="preserve">          (Total of lines 67 thru 78)</t>
  </si>
  <si>
    <t>Page 262</t>
  </si>
  <si>
    <t>Interest Special Deposits (132)</t>
  </si>
  <si>
    <t>general classes of material and supplies and the various accounts (operating expenses, clearing accounts,</t>
  </si>
  <si>
    <t>12-86</t>
  </si>
  <si>
    <t>255</t>
  </si>
  <si>
    <t>Long-Term Debt</t>
  </si>
  <si>
    <t>256-257</t>
  </si>
  <si>
    <t>Taxes Accrued, Prepaid and Charged During the Year</t>
  </si>
  <si>
    <t>258-260</t>
  </si>
  <si>
    <t xml:space="preserve">     TOTAL Other Property and Investments (Total of lines 6 thru 13)</t>
  </si>
  <si>
    <t>CURRENT AND ACCRUED ASSETS</t>
  </si>
  <si>
    <t>Cash (131)</t>
  </si>
  <si>
    <t xml:space="preserve">   Depreciation  (108, 119.1, 119.2) </t>
  </si>
  <si>
    <t>TOTALS</t>
  </si>
  <si>
    <t xml:space="preserve">  if being amortized) relating to formal cases before a regulatory</t>
  </si>
  <si>
    <t>2. Minor items may be grouped by classes, showing number of such items.</t>
  </si>
  <si>
    <t xml:space="preserve">End of Year </t>
  </si>
  <si>
    <t>Nature of Prepayment</t>
  </si>
  <si>
    <t>tingency relates and the tax effects together with an explana-</t>
  </si>
  <si>
    <t xml:space="preserve">  Cash and cash equivalents,</t>
  </si>
  <si>
    <t xml:space="preserve">      Beginning of Year</t>
  </si>
  <si>
    <t xml:space="preserve">      End of Year</t>
  </si>
  <si>
    <t>Page 113</t>
  </si>
  <si>
    <t>COMPARATIVE BALANCE SHEET (ASSETS AND OTHER DEBITS)</t>
  </si>
  <si>
    <t>Ref.</t>
  </si>
  <si>
    <t>Balance at</t>
  </si>
  <si>
    <t>Beg. of Year</t>
  </si>
  <si>
    <t>110 Accumulated Provision for Depreciation of</t>
  </si>
  <si>
    <t>105 Plant Held for Future Use</t>
  </si>
  <si>
    <t xml:space="preserve">    Plant Held for Future Use</t>
  </si>
  <si>
    <t>114 Plant Acquisition Adjustments</t>
  </si>
  <si>
    <t>72-89).  If the reporting company's OPEB benefits are provided through a joint plan with its parent company or holding</t>
  </si>
  <si>
    <t>ACCUMULATED DEFERRED INCOME TAXES  (Accounts 281, 282, and 283)</t>
  </si>
  <si>
    <t>Beg of Year</t>
  </si>
  <si>
    <t xml:space="preserve">     subject to current settlement.  With respect to each advance show whether the advance is a note or open account.  Each note should be listed giving date of issuance, </t>
  </si>
  <si>
    <t>show the appropriate tax effect adjustment to the computa-</t>
  </si>
  <si>
    <t>different types of construction, and (f) whether the overhead</t>
  </si>
  <si>
    <t>If any note was received in satisfaction of an open account, state the period covered by such open account.</t>
  </si>
  <si>
    <t>5.</t>
  </si>
  <si>
    <t xml:space="preserve">   amounts properly chargeable to the functional group of Production Operation and Maintenance expense</t>
  </si>
  <si>
    <t>the treatment of unamortized debt expense, premium or discount</t>
  </si>
  <si>
    <t xml:space="preserve">amount, and (c) principal repaid during year.  Give </t>
  </si>
  <si>
    <t>an officer, director, security holder reported on page 106, voting</t>
  </si>
  <si>
    <t>brief description of the property, and of the transactions relating</t>
  </si>
  <si>
    <t>trustee, associated company or known associate of any of these</t>
  </si>
  <si>
    <t xml:space="preserve">1.   For each fund at the end of the year, report the balance below.  </t>
  </si>
  <si>
    <t>Accumulated Pension Asset/(Liability) at Close of Year</t>
  </si>
  <si>
    <t>Total Number of Company Employees at Beginning of Policy Year</t>
  </si>
  <si>
    <t xml:space="preserve"> *  Specify in the space below the reason(s) for any difference between the amounts reported</t>
  </si>
  <si>
    <t>Other Net of Tax Items (specify)</t>
  </si>
  <si>
    <t>Prior Flow-Through Items</t>
  </si>
  <si>
    <t xml:space="preserve">   Net (Increase) Decrease in Receivables</t>
  </si>
  <si>
    <t xml:space="preserve">       (Less) Provision for Deferred Income Taxes -Cr. (411.1)</t>
  </si>
  <si>
    <t xml:space="preserve">       Investment Tax Credit Adj. -- Net (411.4)</t>
  </si>
  <si>
    <t xml:space="preserve">       Misc. Adjustments of Income Taxes (411.8)</t>
  </si>
  <si>
    <t>STATEMENT OF CASH FLOWS</t>
  </si>
  <si>
    <t xml:space="preserve">  1.  If the notes to the cash flow statement in the respondents</t>
  </si>
  <si>
    <t>Page 265</t>
  </si>
  <si>
    <t xml:space="preserve">  c. amortization period for the deferred amount (specify beginning and ending dates).</t>
  </si>
  <si>
    <t>Convert the basis points and percentages reported on line 7 and 8 to their decimal equivalents before entering them in the</t>
  </si>
  <si>
    <t>For PSC Use Only (Do not include with Paper Copy of PSC Report)</t>
  </si>
  <si>
    <t xml:space="preserve">2. For Account 202, Common Stock Subscribed, and Account 205,    </t>
  </si>
  <si>
    <t>year.</t>
  </si>
  <si>
    <t>Below the line:</t>
  </si>
  <si>
    <t>Unappropriated (BOP)</t>
  </si>
  <si>
    <t>Pg 120, L 1 (c)</t>
  </si>
  <si>
    <t>Balance Transferred from Income</t>
  </si>
  <si>
    <t>Pg 120, L 16 (c)</t>
  </si>
  <si>
    <t>Appropriated</t>
  </si>
  <si>
    <t>Pg 120. L 22 (c) (-)</t>
  </si>
  <si>
    <t>Dividends Declared-Preferred Stock</t>
  </si>
  <si>
    <t>Pg 120, L 29 (c) (-)</t>
  </si>
  <si>
    <t>Dividends Declared-Common Stock</t>
  </si>
  <si>
    <t>Pg 120, L 36 (c) (-)</t>
  </si>
  <si>
    <t>Adjustments to Retained Earnings</t>
  </si>
  <si>
    <t>Pg 120, L -9, 15, -37 (c)</t>
  </si>
  <si>
    <t xml:space="preserve">     Net Change</t>
  </si>
  <si>
    <t>Unappropriated (EOP)</t>
  </si>
  <si>
    <t>58</t>
  </si>
  <si>
    <t>3.  If any property was held at the end of the year under any title other than full</t>
  </si>
  <si>
    <t>for storage of water in connection with the distribution system.</t>
  </si>
  <si>
    <t>owner-ship, state the fact in a footnote, and give full particulars concerning</t>
  </si>
  <si>
    <t>respondent's title.</t>
  </si>
  <si>
    <t xml:space="preserve">2. In column (i) indicate whether some is high pressure, low pressure, </t>
  </si>
  <si>
    <t>or other characteristics.</t>
  </si>
  <si>
    <t>Open</t>
  </si>
  <si>
    <t>Dimensions</t>
  </si>
  <si>
    <t xml:space="preserve">   3.  For bonds assumed by the respondent, include in column(a)</t>
  </si>
  <si>
    <t>Report on lines 19 through 21 and lines 29 through 32 the number of persons covered by the plan at the beginning of the policy</t>
  </si>
  <si>
    <t>Expected Long-Term Rate of Return on Assets</t>
  </si>
  <si>
    <t xml:space="preserve">charges during the year.  With respect to long-term </t>
  </si>
  <si>
    <t>include such interest expense in column (i).  Explain in a</t>
  </si>
  <si>
    <t>Line</t>
  </si>
  <si>
    <t>Over Which Jurisdiction</t>
  </si>
  <si>
    <t>or Current</t>
  </si>
  <si>
    <t>Rate at</t>
  </si>
  <si>
    <t>Paid During</t>
  </si>
  <si>
    <t>Deferred</t>
  </si>
  <si>
    <t>TOTAL</t>
  </si>
  <si>
    <t>Water Utility</t>
  </si>
  <si>
    <t>Other Utility</t>
  </si>
  <si>
    <t>Other  Utility</t>
  </si>
  <si>
    <t>Account</t>
  </si>
  <si>
    <t>Page</t>
  </si>
  <si>
    <t>Current Year</t>
  </si>
  <si>
    <t>annual revenues of each class of service.</t>
  </si>
  <si>
    <t>Page 108</t>
  </si>
  <si>
    <t>company, report under the columnar heading "Total Company" the data applicable to the total plan (i.e., that of the</t>
  </si>
  <si>
    <t xml:space="preserve">          Amortization of (Specify)</t>
  </si>
  <si>
    <t xml:space="preserve">          Deferred Income Taxes (Net)</t>
  </si>
  <si>
    <t>Totals (Account 123)</t>
  </si>
  <si>
    <t>Totals (Account 124)</t>
  </si>
  <si>
    <t>Amortization of Gains or Losses</t>
  </si>
  <si>
    <t>Professional Fees</t>
  </si>
  <si>
    <t>Trustee Fees</t>
  </si>
  <si>
    <t>Financial Fees</t>
  </si>
  <si>
    <t>Investment in Subsidiary Companies (123.1)</t>
  </si>
  <si>
    <t>Other Investments (124)</t>
  </si>
  <si>
    <t xml:space="preserve">If the respondent's name is long, the "Year ended December 31, 19__" may over pass </t>
  </si>
  <si>
    <t>Excess/Deficient Deferred Federal Income Taxes</t>
  </si>
  <si>
    <t>266</t>
  </si>
  <si>
    <t>Temporary Income Tax Differences</t>
  </si>
  <si>
    <t>267</t>
  </si>
  <si>
    <t>Income Account Supporting Schedules</t>
  </si>
  <si>
    <t>Water Operating Revenues</t>
  </si>
  <si>
    <t>300-301</t>
  </si>
  <si>
    <t>300</t>
  </si>
  <si>
    <t>NET PERIODIC OPEB COST</t>
  </si>
  <si>
    <t>ANALYSIS OF PENSION SETTLEMENTS, CURTAILMENTS AND TERMINATIONS</t>
  </si>
  <si>
    <t xml:space="preserve">  1.  Use the space below for important notes regarding the </t>
  </si>
  <si>
    <t>Deferred in</t>
  </si>
  <si>
    <t>Charged Currently to</t>
  </si>
  <si>
    <t>the docket or case number, and a description</t>
  </si>
  <si>
    <t>Regulatory</t>
  </si>
  <si>
    <t>Expenses for</t>
  </si>
  <si>
    <t>Account 186</t>
  </si>
  <si>
    <t>Deferred to</t>
  </si>
  <si>
    <t>of the case.)</t>
  </si>
  <si>
    <t>Commission</t>
  </si>
  <si>
    <t>Department</t>
  </si>
  <si>
    <t>(b) + (c)</t>
  </si>
  <si>
    <t>Page 350</t>
  </si>
  <si>
    <t>Page 351</t>
  </si>
  <si>
    <t>RESEARCH AND DEVELOPMENT ACTIVITIES</t>
  </si>
  <si>
    <t>RESEARCH AND DEVELOPMENT ACTIVITIES(Continued)</t>
  </si>
  <si>
    <t xml:space="preserve">  1.  Describe and show below costs incurred and accounts charged</t>
  </si>
  <si>
    <t>2. If any property was held at the end of the year under any title other than full ownership,</t>
  </si>
  <si>
    <t xml:space="preserve">D A M S </t>
  </si>
  <si>
    <t xml:space="preserve">       in column (e) list the amounts in columns (f) through (k) with the footnotes necessary to explain the essentials of the plan,</t>
  </si>
  <si>
    <t>were paid before the end of the year.</t>
  </si>
  <si>
    <t>If collateral has been pledged as security to the payment of any note or account, describe such collateral.</t>
  </si>
  <si>
    <t>BALANCE</t>
  </si>
  <si>
    <t>TOTAL FOR YEAR</t>
  </si>
  <si>
    <t>BEGINNING</t>
  </si>
  <si>
    <t>END OF</t>
  </si>
  <si>
    <t xml:space="preserve">INTEREST </t>
  </si>
  <si>
    <t>PARTICULARS</t>
  </si>
  <si>
    <t>OF YEAR</t>
  </si>
  <si>
    <t>DEBITS</t>
  </si>
  <si>
    <t>CREDITS</t>
  </si>
  <si>
    <t>YEAR</t>
  </si>
  <si>
    <t>FOR YEAR</t>
  </si>
  <si>
    <t>TOTALS (ACCOUNT 233)</t>
  </si>
  <si>
    <t>TOTALS (ACCOUNT 234)</t>
  </si>
  <si>
    <t>Page 255</t>
  </si>
  <si>
    <t>at End of Year" with related amounts on the balance sheet.</t>
  </si>
  <si>
    <t xml:space="preserve">  2.  Under "Other" specify significant amounts and group</t>
  </si>
  <si>
    <t>others.</t>
  </si>
  <si>
    <t>1975,81</t>
  </si>
  <si>
    <t xml:space="preserve">       Amort. of Property Losses (407)</t>
  </si>
  <si>
    <t>Is Exercised</t>
  </si>
  <si>
    <t>411-412</t>
  </si>
  <si>
    <t>Tab "314_attachment"</t>
  </si>
  <si>
    <t>RECONCILIATION OF REPORTED NET INCOME</t>
  </si>
  <si>
    <t xml:space="preserve">       Provision for Deferred Income Taxes (410.1)</t>
  </si>
  <si>
    <t xml:space="preserve">    "      "    "</t>
  </si>
  <si>
    <t>PLANT #23, MALVERNE</t>
  </si>
  <si>
    <t>designate the department or departments which use the class of material.</t>
  </si>
  <si>
    <t>Transfers, etc.</t>
  </si>
  <si>
    <t>Minor Items-Other Nonutility Property</t>
  </si>
  <si>
    <t>(Accounts 433, 436 - 439 inclusive).  Show the contra primary</t>
  </si>
  <si>
    <t>financial, valuation, legal, accounting, purchasing, advertising, labor relations, and public relations, rendered the respondent under</t>
  </si>
  <si>
    <t xml:space="preserve">Miscellaneous Non Utility Income (417) </t>
  </si>
  <si>
    <t>4. TRANSMISSION AND DISTRIBUTION  EXPENSES</t>
  </si>
  <si>
    <t>STORAGE FACILITIES EXPENSE</t>
  </si>
  <si>
    <t>TRANSMISSION AND DISTRIBUTION LINE EXPENSES</t>
  </si>
  <si>
    <t>METER EXPENSES</t>
  </si>
  <si>
    <t xml:space="preserve">       Taxes Other Than Income Taxes (408.1)</t>
  </si>
  <si>
    <t xml:space="preserve">       Income Taxes -- Federal (409.1)</t>
  </si>
  <si>
    <t xml:space="preserve">                                    -- Other (409.1)</t>
  </si>
  <si>
    <t>a method of approximation giving substantially correct results</t>
  </si>
  <si>
    <t xml:space="preserve">  and Other Accounts, and enter such amounts in the appropriate</t>
  </si>
  <si>
    <t>Interest on Debt to Associated Companies (Account 430)</t>
  </si>
  <si>
    <t xml:space="preserve">     Credit:   Net rounding effect of prior year audit adjustments</t>
  </si>
  <si>
    <t>Total Plant in Service</t>
  </si>
  <si>
    <t>Plant Leased To Others</t>
  </si>
  <si>
    <t>Pg 200, L 9 (c)</t>
  </si>
  <si>
    <t>Construction Work In Progress</t>
  </si>
  <si>
    <t>Miscellaneous Non Utility Expense (417)</t>
  </si>
  <si>
    <t>resulting from settlement of any rate proceeding affecting</t>
  </si>
  <si>
    <t>which had an effect on net income, including the basis of</t>
  </si>
  <si>
    <t>The file includes a tab called a Data Sheet.  The completion of the Data Sheet will automatically transfer your company's name and year of the  report to each page of the annual report.  The file has not been protected.  Therefore, please refrain from inserting or deleting rows or columns.</t>
  </si>
  <si>
    <t>included on page 124-125.</t>
  </si>
  <si>
    <t>Income, in the same manner as accounts 412 and 413 above.</t>
  </si>
  <si>
    <t>Other Interest Expense</t>
  </si>
  <si>
    <t>Pg 118, L 61 - L 62 (c)</t>
  </si>
  <si>
    <t>Pg 118, L 70 (c)</t>
  </si>
  <si>
    <t>RETAINED EARNINGS</t>
  </si>
  <si>
    <t>Pg 300, L 2 (h)</t>
  </si>
  <si>
    <t>Pg 300, L 3, 4 (h)</t>
  </si>
  <si>
    <t>Pg 300, L 5, 6 (h)</t>
  </si>
  <si>
    <t>Pg 308, L 51 (b)</t>
  </si>
  <si>
    <t>Pg 308, L 74 (b)</t>
  </si>
  <si>
    <t>Customer Accounting and Collecting</t>
  </si>
  <si>
    <t>Pg 308, L 87 (b)</t>
  </si>
  <si>
    <t>Sales</t>
  </si>
  <si>
    <t>Pg 309, L 90 (b)</t>
  </si>
  <si>
    <t xml:space="preserve">    TOTAL (Account 282)(Total of 17 and 18)</t>
  </si>
  <si>
    <t>Other (Account 283)</t>
  </si>
  <si>
    <t xml:space="preserve">    TOTAL  WATER (Enter Total of lines 22 thru 29)</t>
  </si>
  <si>
    <t xml:space="preserve">    TOTAL (Account 283)(Total of 30 and 31)</t>
  </si>
  <si>
    <t>instructions above and on pages 108-109, such notes may</t>
  </si>
  <si>
    <t>SUMMARY OF UTILITY PLANT AND ACCUMULATED PROVISIONS</t>
  </si>
  <si>
    <t>Cash Outflows for Construction</t>
  </si>
  <si>
    <t xml:space="preserve">        (For new issue, give Commission Authorization numbers and dates)</t>
  </si>
  <si>
    <t>Receivables and Inventory</t>
  </si>
  <si>
    <t>Pg 122, L 10=&gt;11 (b)</t>
  </si>
  <si>
    <t>Payables and Accrued Expenses</t>
  </si>
  <si>
    <t>Pg 122, L 12 (b)</t>
  </si>
  <si>
    <t>Capitalized AFUDC - Equity Funds</t>
  </si>
  <si>
    <t>Pg 122, L 15 (b)  (-)</t>
  </si>
  <si>
    <t>Equity In Loss (Earnings) Of Affiliates</t>
  </si>
  <si>
    <t>Pg 122, L 16 (b)  (-)</t>
  </si>
  <si>
    <t>Other Adjustments</t>
  </si>
  <si>
    <t>(Less) Extraordinary Deductions (435)</t>
  </si>
  <si>
    <t xml:space="preserve">       Net Extraordinary Items (Enter Total of line 66 less line 67)</t>
  </si>
  <si>
    <t>The amount reported on Line 24 is to include the amortization of gains and losses arising from changes in</t>
  </si>
  <si>
    <t>assumptions.</t>
  </si>
  <si>
    <t xml:space="preserve">If the respondent's annual report to stockholders or audited annual financial statements are prepared on a calendar year basis, the major financial statements contained therein, i.e., Balance Sheet, Income and Retained Earnings Statement and Statement of </t>
  </si>
  <si>
    <t>If reports to stockholders or audited annual financial statements are not prepared, so state below:</t>
  </si>
  <si>
    <t>Page 110</t>
  </si>
  <si>
    <t xml:space="preserve">                                     Class and Series of Obligation, Coupon Rate</t>
  </si>
  <si>
    <t>Principal</t>
  </si>
  <si>
    <t xml:space="preserve">    Total Expense,</t>
  </si>
  <si>
    <t>Nominal Date</t>
  </si>
  <si>
    <t>(Total amount</t>
  </si>
  <si>
    <t>Interest for Year</t>
  </si>
  <si>
    <t>2.  If any deposit consists of assets other than cash, give a brief description of such assets.</t>
  </si>
  <si>
    <t>DRILLED</t>
  </si>
  <si>
    <t>1080</t>
  </si>
  <si>
    <t>1483</t>
  </si>
  <si>
    <t>TURBINE</t>
  </si>
  <si>
    <t>Water Treatment System/Treatment Process</t>
  </si>
  <si>
    <t>405</t>
  </si>
  <si>
    <t>Distribution Reservoirs and Stand Pipes</t>
  </si>
  <si>
    <t>406</t>
  </si>
  <si>
    <t>Mains</t>
  </si>
  <si>
    <t>407-408</t>
  </si>
  <si>
    <t>Service Pipes</t>
  </si>
  <si>
    <t xml:space="preserve">  3.  State the purpose and amount of each reservation or ap-</t>
  </si>
  <si>
    <t>of allocation, assignment, or sharing of the consolidated tax among group members.</t>
  </si>
  <si>
    <t xml:space="preserve">used, the bases thereof should be set forth in a footnote. </t>
  </si>
  <si>
    <t>Amortization of (Gains) or Losses from Earlier Periods</t>
  </si>
  <si>
    <t>Account 281</t>
  </si>
  <si>
    <t>(1) _____Yes……..Enter the date when such independent accountant was initially enagaged: ________</t>
  </si>
  <si>
    <t>8.  For column (c) the total expenses should be listed first</t>
  </si>
  <si>
    <t>Amortization of Premium on Debt - Credit.</t>
  </si>
  <si>
    <t>a footnote.</t>
  </si>
  <si>
    <t>Gain or</t>
  </si>
  <si>
    <t>RECONCILIATION OF REPORTED NET INCOME WITH TAXABLE INCOME FOR FEDERAL INCOME TAXES</t>
  </si>
  <si>
    <t>6.  In column(b) show the principal amount of bonds or other</t>
  </si>
  <si>
    <t>10.  Identify separate indisposed amounts applicable to</t>
  </si>
  <si>
    <t xml:space="preserve">     (Less) Provision  for Deferred Income Taxes -- Cr. (411.2)</t>
  </si>
  <si>
    <t>Adjustments (Explain)</t>
  </si>
  <si>
    <t xml:space="preserve">   Proceeds from Issuance of:</t>
  </si>
  <si>
    <t xml:space="preserve">          Long-Term Debt (b)</t>
  </si>
  <si>
    <t xml:space="preserve">         Preferred Stock</t>
  </si>
  <si>
    <t xml:space="preserve">         Common Stock</t>
  </si>
  <si>
    <t>The pages in WATERAR.XLS are separated by Tabs.  The names of the Tabs are arranged by page number.  The Table of Contents in the file (Tab called Schedules) provides the Description of each Schedule and Page Number of the Schedule.</t>
  </si>
  <si>
    <t xml:space="preserve">     TOTAL  Operating Reserves (Total lines 23 thru 27)</t>
  </si>
  <si>
    <t>CURRENT AND ACCRUED LIABILITIES</t>
  </si>
  <si>
    <t>4. Current and projected customer growth patterns.</t>
  </si>
  <si>
    <t>New York</t>
  </si>
  <si>
    <t>Incorporated under Transportation Corporation Law on May 4, 1925.</t>
  </si>
  <si>
    <t>Retained Earnings</t>
  </si>
  <si>
    <t xml:space="preserve">   TOTAL Liabilities and Other Credits( Total of lines 13, 21, 28, 43</t>
  </si>
  <si>
    <t>and 51)</t>
  </si>
  <si>
    <t>Page 115</t>
  </si>
  <si>
    <t>STATEMENT OF INCOME FOR THE YEAR</t>
  </si>
  <si>
    <t>5. Provide an organizational chart that shows all parents and subsidiaries of the utility.</t>
  </si>
  <si>
    <t>APPROPRIATED RETAINED EARNINGS (Account 215)</t>
  </si>
  <si>
    <t>2.  If any change occurred during the year in the balance with respect to any class or series of stock, attach a statement giving particulars</t>
  </si>
  <si>
    <t xml:space="preserve">2.  Explain in a footnote any difference between the amount for book cost of plant retired, line 11, column (c), and that reported for </t>
  </si>
  <si>
    <t>OTHER PBOP CHARGES</t>
  </si>
  <si>
    <t>Cash Flows from Investment Activities:</t>
  </si>
  <si>
    <t xml:space="preserve">    Construction and Acquisition of Plant (including Land):</t>
  </si>
  <si>
    <t xml:space="preserve">         Gross Additions to Utility Plant</t>
  </si>
  <si>
    <t xml:space="preserve">         Gross Additions to Common Utility Plant</t>
  </si>
  <si>
    <t>footnote any difference between the total of column (i) and</t>
  </si>
  <si>
    <t>holders.</t>
  </si>
  <si>
    <t>Page 356</t>
  </si>
  <si>
    <t xml:space="preserve">    Previous Year</t>
  </si>
  <si>
    <t xml:space="preserve"> Current Year</t>
  </si>
  <si>
    <t>Previous Year</t>
  </si>
  <si>
    <t>Stock book not closed.</t>
  </si>
  <si>
    <t xml:space="preserve">          TOTAL Other Income  Deductions (Total of lines 40 thru 42)</t>
  </si>
  <si>
    <t>THIS PAGE LEFT BLANK INTENTIONALLY</t>
  </si>
  <si>
    <t>Taxes Applic. to Other Income and Deductions</t>
  </si>
  <si>
    <t xml:space="preserve">                                  Total (Account 126)</t>
  </si>
  <si>
    <t xml:space="preserve">particulars (details) for  Accounts 223 and 224 of net </t>
  </si>
  <si>
    <t>any obligations retired or reacquired before end of year,</t>
  </si>
  <si>
    <t>the bonds.</t>
  </si>
  <si>
    <t>Miscellaneous Paid-In Capital (Account 211)</t>
  </si>
  <si>
    <t>Page 253</t>
  </si>
  <si>
    <t>CAPITAL STOCK EXPENSE (Account 214)</t>
  </si>
  <si>
    <t>1.  Report the balance at end of year of capital stock expenses for each class and series of capital stock.</t>
  </si>
  <si>
    <t xml:space="preserve">     of the change.     State the reason for any charge-off of capital stock expense and specify the account charged.</t>
  </si>
  <si>
    <t>Class and Series of Stock</t>
  </si>
  <si>
    <t>Page 254</t>
  </si>
  <si>
    <t>NOTES PAYABLE (Account 231)</t>
  </si>
  <si>
    <t xml:space="preserve">     Pumping</t>
  </si>
  <si>
    <t xml:space="preserve">     Water Treatment</t>
  </si>
  <si>
    <t xml:space="preserve">     Transmission and Distribution</t>
  </si>
  <si>
    <t xml:space="preserve">     Customer Accounts</t>
  </si>
  <si>
    <t xml:space="preserve">     Sales</t>
  </si>
  <si>
    <t xml:space="preserve">     Administrative and General</t>
  </si>
  <si>
    <t xml:space="preserve">          TOTAL Operation (Enter Total of lines 3 thru 9)</t>
  </si>
  <si>
    <t>Maintenance</t>
  </si>
  <si>
    <t xml:space="preserve">          TOTAL Maint. (Total of lines 12 thru 16)</t>
  </si>
  <si>
    <t>Total Operation and Maintenance</t>
  </si>
  <si>
    <t>Deductions, of the Uniform System of Accounts.  Amounts</t>
  </si>
  <si>
    <t xml:space="preserve">  given, for the respective income deduction and interest</t>
  </si>
  <si>
    <t xml:space="preserve">of less than $1,000 may be grouped by classes within the </t>
  </si>
  <si>
    <t>(311)  Structures and Improvements</t>
  </si>
  <si>
    <t>(311)</t>
  </si>
  <si>
    <t>(312)  Collecting and Impounding Reservoirs</t>
  </si>
  <si>
    <t>(312)</t>
  </si>
  <si>
    <t>Minor items may be grouped by classes showing the number of items in each class.</t>
  </si>
  <si>
    <t>Description of Other</t>
  </si>
  <si>
    <t>Deferred Credits</t>
  </si>
  <si>
    <t>Page 261</t>
  </si>
  <si>
    <t>POWER PRODUCTION LABOR AND EXPENSES</t>
  </si>
  <si>
    <t xml:space="preserve">  1.  Report the information called for below concerning the respondent's accounting for deferred income taxes.</t>
  </si>
  <si>
    <t>to cover,  (b) the general procedure for determining the</t>
  </si>
  <si>
    <t>during the reporting year.</t>
  </si>
  <si>
    <t xml:space="preserve">(separately by accounts) the operating revenues from sources within this State, the operating revenue </t>
  </si>
  <si>
    <t>deductions applicable thereto and the plant investment as of the end of the year within this State.</t>
  </si>
  <si>
    <t>Accr Revenue Prop Tax Stabilization</t>
  </si>
  <si>
    <t>RSU National Dividends</t>
  </si>
  <si>
    <t>8. In column (h) report for each investment disposed of during the year the gain or loss represented by the difference between cost of the investment ( or the other amount</t>
  </si>
  <si>
    <t>7.  In column (c) show the expense, premium or discount with</t>
  </si>
  <si>
    <t>MAINTENANCE OF LAKE, RIVER &amp; OTHER INTAKES</t>
  </si>
  <si>
    <t>MAINTENANCE OF WELLS &amp; SPRINGS</t>
  </si>
  <si>
    <t>MAINTENANCE OF INFILTRATION GALLERIES &amp; TUNNELS</t>
  </si>
  <si>
    <t>MAINTENANCE OF SUPPLY MAINS</t>
  </si>
  <si>
    <t>MAINTENANCE OF MISCELLANEOUS WATER RESOURCE PLANT</t>
  </si>
  <si>
    <t>TOTAL MAINTENANCE</t>
  </si>
  <si>
    <t>TOTAL SOURCE OF SUPPLY EXPENSE</t>
  </si>
  <si>
    <t>2.  PUMPING  EXPENSES</t>
  </si>
  <si>
    <t>OPERATIONS SUPERVISION AND ENGINEERING</t>
  </si>
  <si>
    <t>FUEL FOR POWER PRODUCTION</t>
  </si>
  <si>
    <t>A substitute page, designed to meet a particular need of a company, may be used as long as the data is consistent and</t>
  </si>
  <si>
    <t>PLANT #12, BALDWIN</t>
  </si>
  <si>
    <t>2005</t>
  </si>
  <si>
    <t xml:space="preserve">   "   "     "</t>
  </si>
  <si>
    <t>Page 405    sheet 14 of 21</t>
  </si>
  <si>
    <t>Page 405    sheet 15 of 21</t>
  </si>
  <si>
    <t>Page 405    sheet 16 of 21</t>
  </si>
  <si>
    <t>Page 405    sheet 17 of 21</t>
  </si>
  <si>
    <t>Page 405    sheet 18 of 21</t>
  </si>
  <si>
    <t>Page 405    sheet 19 of 21</t>
  </si>
  <si>
    <t>Page 405    sheet 20 of 21</t>
  </si>
  <si>
    <t>Page 405    sheet 21 of 21</t>
  </si>
  <si>
    <t xml:space="preserve">       (Less) Expenses of Nonutility Operations (417.1)</t>
  </si>
  <si>
    <t xml:space="preserve">           and eliminates significant risks related to the obligation and assets.</t>
  </si>
  <si>
    <t xml:space="preserve">     Actual return</t>
  </si>
  <si>
    <t>tion of the major factors which affect the rights of the utility</t>
  </si>
  <si>
    <t xml:space="preserve">         Gross Additions to Nonutility Plant</t>
  </si>
  <si>
    <t xml:space="preserve">           Income Before Extraordinary Items</t>
  </si>
  <si>
    <t>Page 405    sheet 10 of 21</t>
  </si>
  <si>
    <t>Page 405    sheet 11 of 21</t>
  </si>
  <si>
    <t>Page 405    sheet 12 of 21</t>
  </si>
  <si>
    <t>Page 405    sheet 13 of 21</t>
  </si>
  <si>
    <t>PUMPING AND LABOR EXPENSES</t>
  </si>
  <si>
    <t>Prepaid audit fees</t>
  </si>
  <si>
    <t xml:space="preserve">6.00% Senior Notes </t>
  </si>
  <si>
    <t>Service Company</t>
  </si>
  <si>
    <t>AWCC Intercompany</t>
  </si>
  <si>
    <t xml:space="preserve">Report the reconciliation of reported net income for the year with taxable income used in computing Federal income </t>
  </si>
  <si>
    <t xml:space="preserve">tax accruals and show computation of such tax accruals.  Include in the reconciliation, as far as practicable, the </t>
  </si>
  <si>
    <t xml:space="preserve">same detail as furnished on Schedule M-1 of the tax return for the year.  Submit a reconciliation even though there </t>
  </si>
  <si>
    <t xml:space="preserve">                        respondent.)</t>
  </si>
  <si>
    <t xml:space="preserve">                           (Account 217)</t>
  </si>
  <si>
    <t xml:space="preserve">                   OTHER FUNDS</t>
  </si>
  <si>
    <t xml:space="preserve">  Other Noncurrent Liabilities</t>
  </si>
  <si>
    <t xml:space="preserve">  Current &amp; Accrued Liabilities</t>
  </si>
  <si>
    <t xml:space="preserve">  Deferred Credits</t>
  </si>
  <si>
    <t>DEPRECIATION AND AMORTIZATION OF WATER PLANT (Continued)</t>
  </si>
  <si>
    <t>(Except amortization of acquisition adjustments)</t>
  </si>
  <si>
    <t>C. Factors Used in Estimating Depreciation Charges</t>
  </si>
  <si>
    <t xml:space="preserve">MAINS </t>
  </si>
  <si>
    <t>1. Show the requested information concerning mains in service of the respondent at the end of the year</t>
  </si>
  <si>
    <t>of Other</t>
  </si>
  <si>
    <t>Research and Development</t>
  </si>
  <si>
    <t xml:space="preserve">Retained Earnings, Statement of </t>
  </si>
  <si>
    <t xml:space="preserve">  - Miscellaneous Service Revenues</t>
  </si>
  <si>
    <t>NY State Environmental:</t>
  </si>
  <si>
    <t xml:space="preserve">1. Show quantities of water produced and purchased and the quantities delivered </t>
  </si>
  <si>
    <t xml:space="preserve">Land - Austin Blvd, Island Park - 14 Acres for general storage </t>
  </si>
  <si>
    <t>tank and booster station</t>
  </si>
  <si>
    <t>OFFICERS AND DIRECTORS (Including Compensation)</t>
  </si>
  <si>
    <t>PRESSURE FILTERS</t>
  </si>
  <si>
    <t>Filtration - PRESSURE FILTER</t>
  </si>
  <si>
    <t xml:space="preserve">     Taxes Other than Income Taxes</t>
  </si>
  <si>
    <t>Pg 117, L 13 (e)</t>
  </si>
  <si>
    <t xml:space="preserve">      Income Taxes</t>
  </si>
  <si>
    <t>Pg 117, L 14=&gt;16, 18, 19,  - L 17 (e)</t>
  </si>
  <si>
    <t xml:space="preserve">         Total Operating Expenses</t>
  </si>
  <si>
    <t xml:space="preserve">          Net Operating Revenues</t>
  </si>
  <si>
    <t>Other Utility Operating Income</t>
  </si>
  <si>
    <t>Pg 117, L 23 (g), (i)</t>
  </si>
  <si>
    <t xml:space="preserve">           Total Utility Operating Income</t>
  </si>
  <si>
    <t>OTHER INCOME</t>
  </si>
  <si>
    <t>Interest and Dividend Income</t>
  </si>
  <si>
    <t>proceedings where a contingency exists such that refunds</t>
  </si>
  <si>
    <t>Page 205</t>
  </si>
  <si>
    <t>CONSTRUCTION WORK IN PROGRESS (Account 107)</t>
  </si>
  <si>
    <t xml:space="preserve">1. For each department and common plant in service, report below descriptions and balances at </t>
  </si>
  <si>
    <t>Notes Receivable (141)</t>
  </si>
  <si>
    <t>Customer Accounts Receivable (142)</t>
  </si>
  <si>
    <t>Other Accounts Receivable (143)</t>
  </si>
  <si>
    <t xml:space="preserve">   Amortization  (111, 119.1, 119.2)</t>
  </si>
  <si>
    <t>distributed to bondholders, banking institutions or security analysts, submit that.</t>
  </si>
  <si>
    <t>202-203</t>
  </si>
  <si>
    <t>202-205</t>
  </si>
  <si>
    <t>COMPANY PROFILE</t>
  </si>
  <si>
    <t>1. Brief company history and description of service territory.</t>
  </si>
  <si>
    <t>identical contracts without the participating feature.</t>
  </si>
  <si>
    <t xml:space="preserve">  charges accounts.  Provide a subheading for each</t>
  </si>
  <si>
    <t>above subaccounts if the number of items so grouped</t>
  </si>
  <si>
    <t>***</t>
  </si>
  <si>
    <t>Less respondent use before Distribution</t>
  </si>
  <si>
    <t>Gross to Distribution</t>
  </si>
  <si>
    <t>Backwashing Filters, Pumping Wells to Waste, Etc., (Water Used Before Distribution)</t>
  </si>
  <si>
    <t xml:space="preserve">   Give particulars (details) concerning the matters indicated</t>
  </si>
  <si>
    <t xml:space="preserve">   6.  Obligations incurred as a result of issuance of securities</t>
  </si>
  <si>
    <t xml:space="preserve">  1. Give a brief description and state the location of nonutility property included in Account 121.</t>
  </si>
  <si>
    <t>(Less) Amort. of Premium on Debt-Credit (429)</t>
  </si>
  <si>
    <t>(Less) Amortization of Gain on Reacquired Debt-Credit</t>
  </si>
  <si>
    <t>Pg 115, L 28 (d)</t>
  </si>
  <si>
    <t>Name of Stock Exchange</t>
  </si>
  <si>
    <t>Authorized</t>
  </si>
  <si>
    <t>Value</t>
  </si>
  <si>
    <t>Officers and Directors and Compensation</t>
  </si>
  <si>
    <t>Recognized</t>
  </si>
  <si>
    <t>THE YEAR</t>
  </si>
  <si>
    <t>the date of Commission authorization to use Account 182</t>
  </si>
  <si>
    <t>of Loss</t>
  </si>
  <si>
    <t xml:space="preserve">restrictions and state the amount of retained earnings </t>
  </si>
  <si>
    <t>one statement.</t>
  </si>
  <si>
    <t>affected by such restrictions.</t>
  </si>
  <si>
    <t xml:space="preserve">   "    "      "</t>
  </si>
  <si>
    <t>PLANT #5, HEWLETT</t>
  </si>
  <si>
    <t>RAPID SAND FILTER</t>
  </si>
  <si>
    <t>Mech. Gravity</t>
  </si>
  <si>
    <t>compensation from the respondent.</t>
  </si>
  <si>
    <t>STATEMENT OF INCOME FOR THE YEAR (Continued)</t>
  </si>
  <si>
    <t xml:space="preserve">  1.  Report amounts for accounts 412 and 413, Revenue </t>
  </si>
  <si>
    <t>yet used</t>
  </si>
  <si>
    <t>feet</t>
  </si>
  <si>
    <t>Unamortized Debt Discount and Expense</t>
  </si>
  <si>
    <t>Outside and Professional Services</t>
  </si>
  <si>
    <t>Unamortized Premium on Debt</t>
  </si>
  <si>
    <t>Payable to Associated Companies</t>
  </si>
  <si>
    <t>Other Paid In Capital</t>
  </si>
  <si>
    <t>253</t>
  </si>
  <si>
    <t>Debited To</t>
  </si>
  <si>
    <t>Credited To</t>
  </si>
  <si>
    <t>to end of year, and state the purpose of such closing:</t>
  </si>
  <si>
    <t>SALES OF ELECTRICITY BY RATE SCHEDULES</t>
  </si>
  <si>
    <t>Average Number</t>
  </si>
  <si>
    <t>KWh of Sales</t>
  </si>
  <si>
    <t>Revenue per</t>
  </si>
  <si>
    <t>MWh Sold</t>
  </si>
  <si>
    <t>of Customers</t>
  </si>
  <si>
    <t>RELATED</t>
  </si>
  <si>
    <t>the case of a Class B company or $5,000 in the case of a Class A company, including payments for legislative services, except those which</t>
  </si>
  <si>
    <t>Interest on Long-Term Debt</t>
  </si>
  <si>
    <t>Avg.</t>
  </si>
  <si>
    <t>respective other paid-in capital accounts.  Provide a subheading for each account and show a total</t>
  </si>
  <si>
    <t>for the account, as well as total of all accounts for reconciliation with the balance sheet.</t>
  </si>
  <si>
    <t>If these amounts differ from the corresponding revenue figures in the income statement , each such difference should</t>
  </si>
  <si>
    <t xml:space="preserve"> ACCUMULATED PROVISION FOR UNCOLLECTIBLE ACCOUNTS-CR. (Account 144)</t>
  </si>
  <si>
    <t>PUMPING STATION &amp; FIRE SERVICE (Continued)</t>
  </si>
  <si>
    <t>Pg 123, L 47=&gt;49 (b)</t>
  </si>
  <si>
    <t>Pg 123, L 50=&gt;52 (b)</t>
  </si>
  <si>
    <t>Unamortized Loss on Reacquired Debt</t>
  </si>
  <si>
    <t>Accumulated Deferred Income Taxes (190)</t>
  </si>
  <si>
    <t>Pg 123, L 58, 61, 62, 70, 73, 74 (b)</t>
  </si>
  <si>
    <t xml:space="preserve">  Common Stock</t>
  </si>
  <si>
    <t>Pg 123, L 60+72 (b)</t>
  </si>
  <si>
    <t xml:space="preserve">  Preferred Stock</t>
  </si>
  <si>
    <t>Pg 123, L 59+71 (b)</t>
  </si>
  <si>
    <t xml:space="preserve">  Short-Term Debt</t>
  </si>
  <si>
    <t>Pg 123, L 63, 75 (b)</t>
  </si>
  <si>
    <t>Dividends Paid</t>
  </si>
  <si>
    <t>Pg 123, L 77, 78 (b)</t>
  </si>
  <si>
    <t>Balance Sheet, Statement of Income for the year, Statement</t>
  </si>
  <si>
    <t xml:space="preserve"> 6.  Enter all adjustments of the accrued and prepaid tax accounts in column (f) and explain each adjustment in a footnote.  Designate</t>
  </si>
  <si>
    <t>Section 46(f)(2) ITC</t>
  </si>
  <si>
    <t>Other Items</t>
  </si>
  <si>
    <t xml:space="preserve">     TOTAL Proprietary Capital ( Total of lines 2 thru 12)</t>
  </si>
  <si>
    <t>LONG-TERM DEBT</t>
  </si>
  <si>
    <t>Bonds (221)</t>
  </si>
  <si>
    <t>(Less) Reacquired Bonds (222)</t>
  </si>
  <si>
    <t>each such account and, except to the extent that the information is shown elsewhere in this report, opening</t>
  </si>
  <si>
    <t xml:space="preserve">  1.  Report below the particulars (details) called for concerning  common and preferred stock at end of year, distinguishing  separate series of any</t>
  </si>
  <si>
    <t>4.  The identification of each class of preferred stock should show the dividend rate and whether the dividends are cumulative</t>
  </si>
  <si>
    <t>Residential</t>
  </si>
  <si>
    <t>Commercial</t>
  </si>
  <si>
    <t>Industrial</t>
  </si>
  <si>
    <t>Name of</t>
  </si>
  <si>
    <t>Operating</t>
  </si>
  <si>
    <t>Number of</t>
  </si>
  <si>
    <t>Municipality</t>
  </si>
  <si>
    <t xml:space="preserve"> (d)</t>
  </si>
  <si>
    <t xml:space="preserve"> (g)</t>
  </si>
  <si>
    <t>* &amp; ** &amp; ***</t>
  </si>
  <si>
    <t xml:space="preserve">       4.   The average number of customers should be the</t>
  </si>
  <si>
    <t>operating revenue account in the sequence followed in</t>
  </si>
  <si>
    <t>number of bills rendered during the year divided by the</t>
  </si>
  <si>
    <t>"Water Operating Revenues," page 300. If the sales</t>
  </si>
  <si>
    <t>number of billing periods during the year (12 if all billings</t>
  </si>
  <si>
    <t>under any rate schedule are classified in more than one</t>
  </si>
  <si>
    <t>Net Utility Operating Income (Carried forward from page 116)</t>
  </si>
  <si>
    <t>Other Income</t>
  </si>
  <si>
    <t>409</t>
  </si>
  <si>
    <t>Customer Meters</t>
  </si>
  <si>
    <t>410</t>
  </si>
  <si>
    <t>Fire Hydrants</t>
  </si>
  <si>
    <t>Pavement Repairs</t>
  </si>
  <si>
    <t xml:space="preserve">       Equity in Earnings of Subsidiary Companies</t>
  </si>
  <si>
    <t xml:space="preserve">    Interest and Dividend Income (419)</t>
  </si>
  <si>
    <t>Contributions &amp;  Advances from Affiliates</t>
  </si>
  <si>
    <t>Pg 122, L 38 (b)</t>
  </si>
  <si>
    <t>Net Proceeds - Sale Or Disposition Of:</t>
  </si>
  <si>
    <t>1. The data on number of employees should be reported for the payroll period ending December 31, or any payroll period ending 60 days before December 31.</t>
  </si>
  <si>
    <t xml:space="preserve">Formula </t>
  </si>
  <si>
    <t>Pg 114, L 30, 31, 33 (d)</t>
  </si>
  <si>
    <t>PLANT #4, BALDWIN</t>
  </si>
  <si>
    <t>is true and correct to the best of my knowledge and belief.   As to matters not actually stated upon my knowledge,</t>
  </si>
  <si>
    <t>Adjustment to</t>
  </si>
  <si>
    <t>and Deductions</t>
  </si>
  <si>
    <t>Items</t>
  </si>
  <si>
    <t>Ret. Earnings</t>
  </si>
  <si>
    <t>Page 101</t>
  </si>
  <si>
    <t>Other Cash Flows - Financing Activities</t>
  </si>
  <si>
    <t>Pg 123, L 64=&gt;66, 76 (b)</t>
  </si>
  <si>
    <t xml:space="preserve">   Net Cash From Financing Activities</t>
  </si>
  <si>
    <t>Net Increase/(Decrease) In Cash Equivalents</t>
  </si>
  <si>
    <t>Cash &amp; Cash Equivalents At Beginning Of Year</t>
  </si>
  <si>
    <t>Pg 123, L 85 (b)</t>
  </si>
  <si>
    <t>Cash &amp; Cash Equivalents At End Of Year</t>
  </si>
  <si>
    <t>STATEMENT OF REVENUE AND OPERATION AND MAINTENANCE</t>
  </si>
  <si>
    <t>REVENUES</t>
  </si>
  <si>
    <t>Pg 300, L 2 (d)</t>
  </si>
  <si>
    <t>Commercial and Industrial  Sales</t>
  </si>
  <si>
    <t xml:space="preserve">      d. an event that significantly reduces the expected of years future service for present employees who are entitled</t>
  </si>
  <si>
    <t xml:space="preserve">     Expected return   </t>
  </si>
  <si>
    <t xml:space="preserve">           to receive benefits from that plan or that  eliminates the accrual of benefits for some or all of the future services</t>
  </si>
  <si>
    <t>For notes receivable list each note separately and state purpose for which received.  Show also in column (a) date of note, date</t>
  </si>
  <si>
    <t xml:space="preserve">   Show the amount of gross operating revenues derived from New York intrastate utility operations during the year.</t>
  </si>
  <si>
    <t>plant, etc.) affected - debited or credited.  Show separately debits or credits to stores expense-clearing,</t>
  </si>
  <si>
    <t>if applicable.</t>
  </si>
  <si>
    <t>Department or</t>
  </si>
  <si>
    <t>Beginning of</t>
  </si>
  <si>
    <t>Departments</t>
  </si>
  <si>
    <t xml:space="preserve">distribution system:  State territory added or relinquished and </t>
  </si>
  <si>
    <t>respondent company appearing in the annual report to</t>
  </si>
  <si>
    <t xml:space="preserve">NOTE - CERTAIN LINE ITEMS AND BREAKDOWNS ABOVE ARE NOT AVAILABLE ON </t>
  </si>
  <si>
    <t xml:space="preserve">INDIVIDUAL COMPANY BASIS.  THE FAIR VALUE OF ASSETS REPRESENTS NON-MANAGEMENT </t>
  </si>
  <si>
    <t>PLAN.</t>
  </si>
  <si>
    <t>(394)  Tools Shop &amp; Garage Equipment</t>
  </si>
  <si>
    <t>(394)</t>
  </si>
  <si>
    <t>(395)  Laboratory Equipment</t>
  </si>
  <si>
    <t>(395)</t>
  </si>
  <si>
    <t>(396)  Power Operated Equipment</t>
  </si>
  <si>
    <t>(396)</t>
  </si>
  <si>
    <t>(397)  Communications Equipment</t>
  </si>
  <si>
    <t>(397)</t>
  </si>
  <si>
    <t>(398)  Misc Equipment</t>
  </si>
  <si>
    <t>(398)</t>
  </si>
  <si>
    <t>AVERAGE CUSTOMERS PER MONTH</t>
  </si>
  <si>
    <t>plicable.  If information which answers an inquiry is given</t>
  </si>
  <si>
    <t xml:space="preserve">authorization, as appropriate, and the amount of obligation or </t>
  </si>
  <si>
    <t>elsewhere in the report, make a reference to the schedule in</t>
  </si>
  <si>
    <t>guarantee.</t>
  </si>
  <si>
    <t>which it appears.</t>
  </si>
  <si>
    <t xml:space="preserve">   7.  Changes in articles of incorporation or amendments to</t>
  </si>
  <si>
    <t xml:space="preserve">   1.  Changes in and important additions to franchise rights:</t>
  </si>
  <si>
    <t>charter:  Explain the nature and purpose of such changes or</t>
  </si>
  <si>
    <t>Notes Payable to Associated Companies (233)</t>
  </si>
  <si>
    <t>(Address of principal business office at end of year)</t>
  </si>
  <si>
    <t>FOR THE</t>
  </si>
  <si>
    <t>TO THE</t>
  </si>
  <si>
    <t>Transfer from unclassified water plant purchased in 1925,</t>
  </si>
  <si>
    <t>see PSC Case NO. 14538</t>
  </si>
  <si>
    <t xml:space="preserve">   Collections on Loans</t>
  </si>
  <si>
    <t>Held for Future Use</t>
  </si>
  <si>
    <t xml:space="preserve">   Depreciation  (110, 119.1, 119.2)</t>
  </si>
  <si>
    <t>The reconciliation should include the same detail as furnished on Schedule M-1 of the Federal</t>
  </si>
  <si>
    <t>Other Credits)</t>
  </si>
  <si>
    <t>Capital Stock</t>
  </si>
  <si>
    <t>250-251</t>
  </si>
  <si>
    <t>12-91</t>
  </si>
  <si>
    <t>Capital Stock Subscribed, Capital Stock Liability for</t>
  </si>
  <si>
    <t xml:space="preserve">Preferred Stock Subscribed, show the subscription price and      </t>
  </si>
  <si>
    <t>4. For Premium on Account 207, Capital Stock, designate</t>
  </si>
  <si>
    <t>Page **.  Use a separate insert sheet if more space is required.</t>
  </si>
  <si>
    <t>Number of Active Employees Covered by Plan</t>
  </si>
  <si>
    <t>Number of Retired Employees Covered by Plan</t>
  </si>
  <si>
    <t>Taxes Accrued (236)</t>
  </si>
  <si>
    <t>Interest Accrued (237)</t>
  </si>
  <si>
    <t>Dividends Declared (238)</t>
  </si>
  <si>
    <t>Matured Long-Term Debt (239)</t>
  </si>
  <si>
    <t>Matured Interest (240)</t>
  </si>
  <si>
    <t xml:space="preserve">         (Less) Undistributed Earnings from Subsidiary Companies</t>
  </si>
  <si>
    <t xml:space="preserve">         Other:</t>
  </si>
  <si>
    <t>Public</t>
  </si>
  <si>
    <t>of pipe</t>
  </si>
  <si>
    <t>Ductile</t>
  </si>
  <si>
    <t>tax return for the year.  The reconciliation shall be submitted even though there is no taxable</t>
  </si>
  <si>
    <t xml:space="preserve">income for the year.  Descriptions should clearly indicate the nature of each reconciling </t>
  </si>
  <si>
    <t>amount and show the computation of all tax accruals.</t>
  </si>
  <si>
    <t>If the utility is a member of a group which files a consolidated Federal tax return, reconcile</t>
  </si>
  <si>
    <t>Federal Tax Rate</t>
  </si>
  <si>
    <t>State only Temporary adjustments</t>
  </si>
  <si>
    <t>State Current Taxable Income</t>
  </si>
  <si>
    <t xml:space="preserve">State Current Taxable Income before Net Operating Loss </t>
  </si>
  <si>
    <t xml:space="preserve">     (c) Interest on Debt to Associated Companies (Account</t>
  </si>
  <si>
    <t>430)-For each associated company to which interest on</t>
  </si>
  <si>
    <t xml:space="preserve">      statement showing subaccount classification of such plant conforming to the requirements of these pages.</t>
  </si>
  <si>
    <t xml:space="preserve">    Assigned to - Construction (Estimated)</t>
  </si>
  <si>
    <t>- -&gt;Written off.</t>
  </si>
  <si>
    <t xml:space="preserve">INDIVIDUAL COMPANY BASIS.  </t>
  </si>
  <si>
    <t>Note: Information on page 365 has not been included  because such information is not</t>
  </si>
  <si>
    <t xml:space="preserve">  3.  For Account 116, Utility Plant Adjustments, explain the </t>
  </si>
  <si>
    <t xml:space="preserve">origin of such amount, debits and credits during the year, and </t>
  </si>
  <si>
    <t>Page 124</t>
  </si>
  <si>
    <t>NOTES TO FINANCIAL STATEMENTS (Continued)</t>
  </si>
  <si>
    <t>Page 125</t>
  </si>
  <si>
    <t xml:space="preserve">ACCUMULATED DEFERRED INVESTMENT TAX CREDITS (Account 255) </t>
  </si>
  <si>
    <t xml:space="preserve">  * Briefly explain any amounts reported on Line 8.</t>
  </si>
  <si>
    <t>Page 366</t>
  </si>
  <si>
    <t>Plant 15 Pleminary Studies</t>
  </si>
  <si>
    <t>1987 to Current Vintage Yr. Assets/Liabs.</t>
  </si>
  <si>
    <t>Excess/deficient deferred taxes result when there is a reduction/increase in the statutory income tax rate (e.g.. TRA-86 &amp; Revenue</t>
  </si>
  <si>
    <t xml:space="preserve">    which is pledged, stating name of pledgee and purposes of pledge.</t>
  </si>
  <si>
    <t xml:space="preserve">  3.  Give particulars (details) concerning shares of any class and series of stock authorized to be issued by a regulatory commission which have</t>
  </si>
  <si>
    <t xml:space="preserve">       not yet been issued.</t>
  </si>
  <si>
    <t>Number</t>
  </si>
  <si>
    <t>Par</t>
  </si>
  <si>
    <t>Call</t>
  </si>
  <si>
    <t xml:space="preserve">   Special Franchise</t>
  </si>
  <si>
    <t xml:space="preserve">   Municipal Gross Income</t>
  </si>
  <si>
    <t xml:space="preserve">   NYC Special Franchise</t>
  </si>
  <si>
    <t xml:space="preserve">   Public Utility Excise</t>
  </si>
  <si>
    <t>Other (list):</t>
  </si>
  <si>
    <t>Page 258</t>
  </si>
  <si>
    <t>Extraordinary</t>
  </si>
  <si>
    <t xml:space="preserve">the balance due on each class at the end of year.              </t>
  </si>
  <si>
    <t>with a double asterisk any amounts representing the excess</t>
  </si>
  <si>
    <t xml:space="preserve">3. Describe in a footnote the agreement and transactions          </t>
  </si>
  <si>
    <t>Kind of Tax</t>
  </si>
  <si>
    <t>Taxes Accrued</t>
  </si>
  <si>
    <t>Taxes Charged</t>
  </si>
  <si>
    <t>Taxes Paid</t>
  </si>
  <si>
    <t xml:space="preserve">outstanding at end of year, describe such securities in </t>
  </si>
  <si>
    <t>numbers and dates.</t>
  </si>
  <si>
    <t>trustee, give (a) name of receiver or trustee, (b) date such receiver or trustee took</t>
  </si>
  <si>
    <t xml:space="preserve">      sent 10 days after that.</t>
  </si>
  <si>
    <t xml:space="preserve">  corrosion control, pollution, automation, measurement,</t>
  </si>
  <si>
    <t>the amounts related to the account charged in column (e).</t>
  </si>
  <si>
    <t>facilities operated by the respondent.</t>
  </si>
  <si>
    <t xml:space="preserve">  of affiliation.)  For any R &amp; D work carried on by the respondent</t>
  </si>
  <si>
    <t xml:space="preserve">  insulation, type of appliance, etc.).  Group items under</t>
  </si>
  <si>
    <t>5.  Show in column (g) the total unamortized accumulation</t>
  </si>
  <si>
    <t>should be adjusted by the year-to-date amortization.</t>
  </si>
  <si>
    <t>Settlement ratio: (10)/(6)</t>
  </si>
  <si>
    <t>14.</t>
  </si>
  <si>
    <t xml:space="preserve">      plant retired.  In addition, include all costs included in retirement work in progress at year end in the appropriate functional classifications.</t>
  </si>
  <si>
    <t>CAPITAL STOCK (Accounts 201 and 204) (Continued)</t>
  </si>
  <si>
    <t xml:space="preserve">    refunds for overpayment of estimated taxes, and carrybacks of net operating losses and investment tax</t>
  </si>
  <si>
    <t xml:space="preserve">    credits).</t>
  </si>
  <si>
    <t>Please complete the information on this schedule for all copies (paper and electronic version)</t>
  </si>
  <si>
    <t>of the report.</t>
  </si>
  <si>
    <t>NYPSC 347-95</t>
  </si>
  <si>
    <t>Page 104</t>
  </si>
  <si>
    <t>Page 105</t>
  </si>
  <si>
    <t xml:space="preserve">          TOTAL Held for Future Use (Enter Total of lines 29 and 30)</t>
  </si>
  <si>
    <t>chemicals in column (c) are expressed..</t>
  </si>
  <si>
    <t>Chemicals used</t>
  </si>
  <si>
    <t>Process</t>
  </si>
  <si>
    <t xml:space="preserve">     Percentage decrease in PBO for each 100 basis-point increase in the discount rate</t>
  </si>
  <si>
    <t xml:space="preserve">     Liability gain or (loss): {(6) x (7) x (8)} x 100 -- see instructions</t>
  </si>
  <si>
    <t>willing buyer  and a willing seller, other than in a forced or liquidation sale.</t>
  </si>
  <si>
    <t>Report on Lines 5 and 6 , the amounts applicable to OPEB that are recorded in internal reserves, net of their related deferred</t>
  </si>
  <si>
    <t xml:space="preserve">2. If respondent has two or more treatment plants, show the information </t>
  </si>
  <si>
    <t>costs, over the Pension Benefit Obligation), if any, from when the company first complied with SFAS-87.  The amount</t>
  </si>
  <si>
    <t>income tax effect.   For New York State Jurisdictional Operations, creation of an internal reserve was required by the</t>
  </si>
  <si>
    <t xml:space="preserve">   Net Increase (Decrease) in  Payables and Accrued Expenses</t>
  </si>
  <si>
    <t>in.</t>
  </si>
  <si>
    <t>surface</t>
  </si>
  <si>
    <t>Impounding Reservoirs</t>
  </si>
  <si>
    <t>Draft during year</t>
  </si>
  <si>
    <t>Draft during reservoir service</t>
  </si>
  <si>
    <t>and by a double asterisk (**) the chairman, if any, of that committee, at the end of the year.</t>
  </si>
  <si>
    <t xml:space="preserve">                         i.  Recreation, fish, and wildlife</t>
  </si>
  <si>
    <t>If this is the first year the company is subject to the reporting requirements of this schedule, complete separate forms for</t>
  </si>
  <si>
    <t xml:space="preserve">                                            (Here insert exact identification of the sections and pages comprising this report)</t>
  </si>
  <si>
    <t>officer, director, associated company, or any of the ten largest</t>
  </si>
  <si>
    <t xml:space="preserve">     -Administrative and General - responsible for oversight of the company's operations </t>
  </si>
  <si>
    <t>case, a portion of the reserve may have been used as a rate base reduction).  Report on Line 12 the balance of the reserve, net of its</t>
  </si>
  <si>
    <t>related deferred income tax effect, which is subject to the accrual of interest.</t>
  </si>
  <si>
    <t>Balance of Deferred Income Tax Applicable to Deferred OPEB Expense at the End of Period</t>
  </si>
  <si>
    <t>Description (See Instructions for Explanations of Codes)</t>
  </si>
  <si>
    <t>3.  Include in column (c) or (d), as appropriate, corrections of additions and retirements for the current or preceding year.</t>
  </si>
  <si>
    <t xml:space="preserve">  taxes from operations.  Give the basis of any allocation of </t>
  </si>
  <si>
    <t xml:space="preserve">interests in the trust.  If the stock book was not closed or a </t>
  </si>
  <si>
    <t xml:space="preserve">       Regulatory Debits</t>
  </si>
  <si>
    <t>PREPAYMENTS (ACCOUNT 165)</t>
  </si>
  <si>
    <t>1. Give below the particulars called for concerning each prepayment.</t>
  </si>
  <si>
    <t>Financing Activities</t>
  </si>
  <si>
    <t xml:space="preserve">   Net Cash From Investing Activities</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</si>
  <si>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</si>
  <si>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</si>
  <si>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</si>
  <si>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</si>
  <si>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</si>
  <si>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</si>
  <si>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</si>
  <si>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</si>
  <si>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</si>
  <si>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</si>
  <si>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</si>
  <si>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</si>
  <si>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</si>
  <si>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</si>
  <si>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</si>
  <si>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</si>
  <si>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</si>
  <si>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</si>
  <si>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</si>
  <si>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</si>
  <si>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</si>
  <si>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</si>
  <si>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</si>
  <si>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</si>
  <si>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</si>
  <si>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Cost Rate</t>
  </si>
  <si>
    <t>Title</t>
  </si>
  <si>
    <t>Ratio (Percent)</t>
  </si>
  <si>
    <t>Percentage</t>
  </si>
  <si>
    <t xml:space="preserve">(a) </t>
  </si>
  <si>
    <t>Average Short-Term Debt</t>
  </si>
  <si>
    <t>Short-Term Interest</t>
  </si>
  <si>
    <t>Preferred Stock</t>
  </si>
  <si>
    <t>Common Equity</t>
  </si>
  <si>
    <t>Total Capitalization</t>
  </si>
  <si>
    <t>Water Plant</t>
  </si>
  <si>
    <t>(c+d)</t>
  </si>
  <si>
    <t>Nondeductible Penalties</t>
  </si>
  <si>
    <t>Medicare Subsidy</t>
  </si>
  <si>
    <t>Total Permanent Differences</t>
  </si>
  <si>
    <t>Financial Taxable Income</t>
  </si>
  <si>
    <t>Temporary Differences:</t>
  </si>
  <si>
    <t>Vacation Pay</t>
  </si>
  <si>
    <t>Taxable Advances</t>
  </si>
  <si>
    <t>In  some plants containing multiple pumping units (plts. 1 &amp; 4)</t>
  </si>
  <si>
    <t>date of incorporation.  If incorporated under a special law, give reference to such law.  If</t>
  </si>
  <si>
    <t xml:space="preserve">    Nonutility Operating Income</t>
  </si>
  <si>
    <t>The Company's Medical Plans cover both management and non-management active employees and</t>
  </si>
  <si>
    <t xml:space="preserve">retirees who qualify through a PPO, POS and HMO Plans.  Dental coverage is provided to  </t>
  </si>
  <si>
    <t>management and non-management employees.  All benefit plans are unfunded.</t>
  </si>
  <si>
    <t>Vision</t>
  </si>
  <si>
    <t>Compound</t>
  </si>
  <si>
    <t>Fire Service</t>
  </si>
  <si>
    <t>Page 410</t>
  </si>
  <si>
    <t>FIRE HYDRANTS</t>
  </si>
  <si>
    <t>1. Show the requested information concerning fire hydrants used in furnishing</t>
  </si>
  <si>
    <t xml:space="preserve">   8.  Explain in a footnote if the previous year's figures are</t>
  </si>
  <si>
    <t>1.  Explain in a footnote any important adjustments during year.</t>
  </si>
  <si>
    <t>Federal:</t>
  </si>
  <si>
    <t>- -&gt;Sent to collection agency if no response to letters.</t>
  </si>
  <si>
    <t>PUBLIC SERVICE COMMISSION</t>
  </si>
  <si>
    <t>ANNUAL REPORT</t>
  </si>
  <si>
    <t>OF WATERWORKS CORPORATIONS</t>
  </si>
  <si>
    <t>Instructions for this sheet:</t>
  </si>
  <si>
    <t>warrants, or rights outstanding at the end of the year for</t>
  </si>
  <si>
    <t>list of stockholders was not compiled within one year prior</t>
  </si>
  <si>
    <t>1. Report in section A for the year amounts of depreciation expense (account 403) according to plant functional</t>
  </si>
  <si>
    <t>3/31/97</t>
  </si>
  <si>
    <t>ACCUMULATED DEFERRED INVESTMENT TAX CREDITS (Account 255) (Continued)</t>
  </si>
  <si>
    <t>be included herein.</t>
  </si>
  <si>
    <t>outstanding</t>
  </si>
  <si>
    <t>Debt Issued</t>
  </si>
  <si>
    <t xml:space="preserve">          Discount</t>
  </si>
  <si>
    <t xml:space="preserve">     TOTAL  Long-Term Debt ( Total of Lines 16 thru 20)</t>
  </si>
  <si>
    <t xml:space="preserve">        (Total amount outstanding without</t>
  </si>
  <si>
    <t xml:space="preserve">                                                ______________________________________________</t>
  </si>
  <si>
    <t>(u)</t>
  </si>
  <si>
    <t>(v)</t>
  </si>
  <si>
    <t>(w)</t>
  </si>
  <si>
    <t>(x)</t>
  </si>
  <si>
    <t>(y)</t>
  </si>
  <si>
    <t>(z)</t>
  </si>
  <si>
    <t>Page 401</t>
  </si>
  <si>
    <t>1. Show the requested information concerning surface water supply.  In column (b) indicate</t>
  </si>
  <si>
    <t>Pg 3, (L 12)</t>
  </si>
  <si>
    <t>CWIP</t>
  </si>
  <si>
    <t>Pg 6, L 10</t>
  </si>
  <si>
    <t>Pg 6, L 14</t>
  </si>
  <si>
    <t xml:space="preserve">A/R - Pg 309, L 4 </t>
  </si>
  <si>
    <t>VERIFICATION</t>
  </si>
  <si>
    <t>Acct.</t>
  </si>
  <si>
    <t xml:space="preserve">  pression seal ]                                     (Signature of officer authorized to administer oaths)</t>
  </si>
  <si>
    <t>(This space for use of the Public Service Commission)</t>
  </si>
  <si>
    <t>Computed    ...............      ............</t>
  </si>
  <si>
    <t>Examined    ...............      ............</t>
  </si>
  <si>
    <t>Reviewed    ...............       ............</t>
  </si>
  <si>
    <t xml:space="preserve">such as (P) or (D).  The expenses, premium or discount should </t>
  </si>
  <si>
    <t xml:space="preserve">       a. The chart must show the relationship between the utility and the affiliates.</t>
  </si>
  <si>
    <t>Installments Received on Capital Stock (212)</t>
  </si>
  <si>
    <t>(Less) Discount on Capital Stock</t>
  </si>
  <si>
    <t xml:space="preserve">     Provision for Deferred Inc. Taxes (410.2)</t>
  </si>
  <si>
    <t>Net Income (Enter Total of lines 64 and 70)</t>
  </si>
  <si>
    <t xml:space="preserve">     -Networking  - responsible for installation and maintenance of water mains, services, and </t>
  </si>
  <si>
    <t>purified</t>
  </si>
  <si>
    <t>Units</t>
  </si>
  <si>
    <t>Number of Units</t>
  </si>
  <si>
    <t>Total  Cost</t>
  </si>
  <si>
    <t>262-263</t>
  </si>
  <si>
    <t>264-265</t>
  </si>
  <si>
    <t>Other Credits) (Continued)</t>
  </si>
  <si>
    <t>12-94</t>
  </si>
  <si>
    <t>116-119</t>
  </si>
  <si>
    <t>Comparative Statement of Retained Earnings for the Year</t>
  </si>
  <si>
    <t>118-119</t>
  </si>
  <si>
    <t>120-121</t>
  </si>
  <si>
    <t>New York State Intrastate Revenue</t>
  </si>
  <si>
    <t>121</t>
  </si>
  <si>
    <t>and Expenses from Utility Plant Leased to Others, in another</t>
  </si>
  <si>
    <t xml:space="preserve">  Other Accounts (Specify):</t>
  </si>
  <si>
    <t xml:space="preserve">   TOTAL Deprec. Prov. for Year </t>
  </si>
  <si>
    <t xml:space="preserve">       (Total of lines 3 thru 8)</t>
  </si>
  <si>
    <t>Net Charges for Plant Retired:</t>
  </si>
  <si>
    <t xml:space="preserve">  Book Cost of Plant Retired</t>
  </si>
  <si>
    <t xml:space="preserve">  Salvage (Credit)</t>
  </si>
  <si>
    <t xml:space="preserve">   TOTAL Net Chrgs. for Plant Ret.</t>
  </si>
  <si>
    <t xml:space="preserve">       (Enter Total of lines 11 thru 13)</t>
  </si>
  <si>
    <t xml:space="preserve">   Balance End of Year (Enter Total of</t>
  </si>
  <si>
    <t>5.     Every inquiry must be definitely answered.  If "none" or "not applicable" states the fact, such an</t>
  </si>
  <si>
    <t xml:space="preserve">       associated company.</t>
  </si>
  <si>
    <t xml:space="preserve">  3. Furnish particulars (details) concerning sales, purchases, or transfers of Nonutility Property during the year.</t>
  </si>
  <si>
    <t xml:space="preserve">   Dividends on Common Stock</t>
  </si>
  <si>
    <t>account and address of office where the general corporate books are kept, and address</t>
  </si>
  <si>
    <t>Expenses Incurred During Year</t>
  </si>
  <si>
    <t>Amortized During Year</t>
  </si>
  <si>
    <t>(Furnish name of regulatory commission or body</t>
  </si>
  <si>
    <t xml:space="preserve">In certain instances, a portion of the New York State Jurisdiction OPEB internal reserve may not be subject to the </t>
  </si>
  <si>
    <t>Notes Payable (231)</t>
  </si>
  <si>
    <t>Accounts Payable (232)</t>
  </si>
  <si>
    <t xml:space="preserve">  the individual pumps are not metered.</t>
  </si>
  <si>
    <t>electric **</t>
  </si>
  <si>
    <t>electric</t>
  </si>
  <si>
    <t>electric**</t>
  </si>
  <si>
    <t>diesel</t>
  </si>
  <si>
    <t>electric &amp; oil</t>
  </si>
  <si>
    <t>oil</t>
  </si>
  <si>
    <t>KWH &amp; gallons</t>
  </si>
  <si>
    <t>KWH</t>
  </si>
  <si>
    <t>gallons</t>
  </si>
  <si>
    <t xml:space="preserve">  8.  If any notes appearing in the report to stock- </t>
  </si>
  <si>
    <t>reflecting adjustments to the opening balance of retained earn-</t>
  </si>
  <si>
    <t>expiration dates, and other material information relating to</t>
  </si>
  <si>
    <t>Total Water Operating Revenues</t>
  </si>
  <si>
    <t xml:space="preserve">  TOTAL</t>
  </si>
  <si>
    <t>Page 211</t>
  </si>
  <si>
    <t>Aug</t>
  </si>
  <si>
    <t>Sep</t>
  </si>
  <si>
    <t>Oct</t>
  </si>
  <si>
    <t>Nov</t>
  </si>
  <si>
    <t>Dec</t>
  </si>
  <si>
    <t>Totals</t>
  </si>
  <si>
    <t>Revenue</t>
  </si>
  <si>
    <t xml:space="preserve">Number of </t>
  </si>
  <si>
    <t>Sold</t>
  </si>
  <si>
    <t>Per Customer</t>
  </si>
  <si>
    <t>Leaf #68-Service Class #1 - Residential</t>
  </si>
  <si>
    <t xml:space="preserve">  Amortization of Water Plant</t>
  </si>
  <si>
    <t>Administrative Salaries</t>
  </si>
  <si>
    <t>Beginning</t>
  </si>
  <si>
    <t>LINE</t>
  </si>
  <si>
    <t>of Year</t>
  </si>
  <si>
    <t>NO.</t>
  </si>
  <si>
    <t xml:space="preserve">  6.  If any notes appearing in the report to stockholders are</t>
  </si>
  <si>
    <t>different from that reported in prior reports.</t>
  </si>
  <si>
    <t>totals.</t>
  </si>
  <si>
    <t>year affected the gross revenues or costs to which the con-</t>
  </si>
  <si>
    <t>GENERAL INFORMATION</t>
  </si>
  <si>
    <t>Payable to Associated Companies.</t>
  </si>
  <si>
    <t>(Less) Unamortized Discount on Long-Term Debt-Debit (226)</t>
  </si>
  <si>
    <t>loss.  Include name of party acquiring the property (when</t>
  </si>
  <si>
    <t xml:space="preserve">   "          "</t>
  </si>
  <si>
    <t>FILT. B/W WATER DISP. PUMPS</t>
  </si>
  <si>
    <t>Filtration - RAPID SAND</t>
  </si>
  <si>
    <t xml:space="preserve">classifications as indicated in column (a); estimates of amounts by function are acceptable.  In column (d), </t>
  </si>
  <si>
    <t xml:space="preserve">         (d) Identify separately such items as investments,</t>
  </si>
  <si>
    <t xml:space="preserve">               fixed assets, intangibles, etc.</t>
  </si>
  <si>
    <t xml:space="preserve">  6.  Enter on pages 124-125 clarifications and explanations.</t>
  </si>
  <si>
    <t>Description of Services</t>
  </si>
  <si>
    <t>Basis</t>
  </si>
  <si>
    <t>Total Charges</t>
  </si>
  <si>
    <t>Management Services</t>
  </si>
  <si>
    <t>Pg 118, L 43 (c)</t>
  </si>
  <si>
    <t>Taxes-Other Income and Deductions</t>
  </si>
  <si>
    <t>Pg 118, L 52 (c)</t>
  </si>
  <si>
    <t xml:space="preserve">          Income Available</t>
  </si>
  <si>
    <t>INTEREST CHARGES</t>
  </si>
  <si>
    <t>Taxable Income Not Reported on Books</t>
  </si>
  <si>
    <t>Customer Deposits</t>
  </si>
  <si>
    <t>1.  Report below water operating revenues for the year for each account.</t>
  </si>
  <si>
    <t>Cash Flows Statement</t>
  </si>
  <si>
    <t>Investments:</t>
  </si>
  <si>
    <t>Changes, Important During the Year</t>
  </si>
  <si>
    <t xml:space="preserve">   - Investment Advances</t>
  </si>
  <si>
    <t>Civic, Political and Related Activies, Expenditures for</t>
  </si>
  <si>
    <t xml:space="preserve">   - In Associated Companies</t>
  </si>
  <si>
    <t>Commission Expenses, Regulatory</t>
  </si>
  <si>
    <t xml:space="preserve">   - In Securities</t>
  </si>
  <si>
    <t xml:space="preserve">   - Other</t>
  </si>
  <si>
    <t>Compensation, Officers and Directors</t>
  </si>
  <si>
    <t xml:space="preserve">     2.  At Other (Specify), include deferrals relating to other income and deductions.</t>
  </si>
  <si>
    <t xml:space="preserve">   Balance at</t>
  </si>
  <si>
    <t>Account Subdivisions</t>
  </si>
  <si>
    <t>and contract work during the year.  Report also the applicable taxes included in Accounts 408 and</t>
  </si>
  <si>
    <t>409 and income after such taxes.  Give the bases of any allocation of expenses between utility</t>
  </si>
  <si>
    <t>and merchandising, jobbing and contract work activities.</t>
  </si>
  <si>
    <t>WATER</t>
  </si>
  <si>
    <t>ITEM</t>
  </si>
  <si>
    <t>4.  Enclose in parentheses credit adjustments of plant accounts to indicate the negative effect of such accounts.</t>
  </si>
  <si>
    <t>8.  For each amount comprising the reported balance and changes in Account 102, state the property purchased or sold, name of vendor</t>
  </si>
  <si>
    <t>thousand</t>
  </si>
  <si>
    <t>system</t>
  </si>
  <si>
    <t>type</t>
  </si>
  <si>
    <t>ft.)*</t>
  </si>
  <si>
    <t>etc.)</t>
  </si>
  <si>
    <t>operating - ft.</t>
  </si>
  <si>
    <t>PUMPING STATION &amp; FIRE SERVICE</t>
  </si>
  <si>
    <t xml:space="preserve">                line 2 less 22)  (Carry forward to page 118)</t>
  </si>
  <si>
    <t>Page 116</t>
  </si>
  <si>
    <t>Page 117</t>
  </si>
  <si>
    <t>(Ref).</t>
  </si>
  <si>
    <t xml:space="preserve">    Taxes Other Than Income Taxes (408.2)</t>
  </si>
  <si>
    <t>Other Deferred Debits</t>
  </si>
  <si>
    <t>Capacity</t>
  </si>
  <si>
    <t>elevation</t>
  </si>
  <si>
    <t>yield</t>
  </si>
  <si>
    <t xml:space="preserve">  Long-Term Debt</t>
  </si>
  <si>
    <t>Report on line 8 the discount rate which was used to calculate the obligations reported on Lines 1 and 2.</t>
  </si>
  <si>
    <t xml:space="preserve">   (b) description of services received during year and project or case to which services relate,</t>
  </si>
  <si>
    <t xml:space="preserve">   (c) basis of charges,</t>
  </si>
  <si>
    <t xml:space="preserve">   (d) total charges for the year detailing utility department..</t>
  </si>
  <si>
    <t>Designate with an asterisk associated companies.</t>
  </si>
  <si>
    <t>Vendor</t>
  </si>
  <si>
    <t>here shall represent the revenues subject to assessment under Section 18a of the Public Service Law.</t>
  </si>
  <si>
    <t>Revenues</t>
  </si>
  <si>
    <t xml:space="preserve">    Beginning</t>
  </si>
  <si>
    <t xml:space="preserve">    of Year</t>
  </si>
  <si>
    <t xml:space="preserve">  Water</t>
  </si>
  <si>
    <t xml:space="preserve">     TOTAL</t>
  </si>
  <si>
    <t>Page 264</t>
  </si>
  <si>
    <t xml:space="preserve">           Adjustment (406)</t>
  </si>
  <si>
    <t>the gross income and applicable expenses (suitably subdivided) should be reported.</t>
  </si>
  <si>
    <t>103 Water Plant in Process of Reclassification</t>
  </si>
  <si>
    <t>109 Accumulated Provision for Depreciation of</t>
  </si>
  <si>
    <t xml:space="preserve">    Plant Leased to Others</t>
  </si>
  <si>
    <t>9</t>
  </si>
  <si>
    <t>10</t>
  </si>
  <si>
    <t>11</t>
  </si>
  <si>
    <t>12</t>
  </si>
  <si>
    <t>13</t>
  </si>
  <si>
    <t>14</t>
  </si>
  <si>
    <t>15</t>
  </si>
  <si>
    <t xml:space="preserve"> TOTAL (Enter Total of lines 18 thru 22)</t>
  </si>
  <si>
    <t>Page 209</t>
  </si>
  <si>
    <t>Investments (Account 123 and 124)</t>
  </si>
  <si>
    <t>propriate.  Include these amounts in columns (c) and (d)</t>
  </si>
  <si>
    <t>ity with respect to water purchases.  State for each</t>
  </si>
  <si>
    <t>MISCELLANEOUS SERVICE REVENUES AND OTHER WATER REVENUES (ACCOUNT 471, 474)</t>
  </si>
  <si>
    <t>1. Report particulars concerning other water revenues derived from water utility operations during the year.</t>
  </si>
  <si>
    <t xml:space="preserve">    Provide a subheading and amount for each classification of Account 474. </t>
  </si>
  <si>
    <t>2. Designate associated companies.</t>
  </si>
  <si>
    <t>3. Minor items may be grouped by classes.</t>
  </si>
  <si>
    <t>DESCRIPTION OF SERVICE</t>
  </si>
  <si>
    <t>Plant Base</t>
  </si>
  <si>
    <t>Avg. Service</t>
  </si>
  <si>
    <t>Net Salvage</t>
  </si>
  <si>
    <t>Depr. Rates</t>
  </si>
  <si>
    <t>Mortality Curve</t>
  </si>
  <si>
    <t>Remaining</t>
  </si>
  <si>
    <t>to compute charges and whether any changes have been made in the basis or rates used from the preceding report year.</t>
  </si>
  <si>
    <t>State of ..…New Jersey....................................)</t>
  </si>
  <si>
    <t xml:space="preserve">                                                         )    ss.:</t>
  </si>
  <si>
    <t xml:space="preserve">     Income Taxes -- Other (409.2)</t>
  </si>
  <si>
    <t>of associated companies from which advances were received.</t>
  </si>
  <si>
    <t>allocations and apportionments from those used in the preceding</t>
  </si>
  <si>
    <t>Net Negative Salvage-Current Year</t>
  </si>
  <si>
    <t>Net Negative Salvage-Prior Yr Adj</t>
  </si>
  <si>
    <t xml:space="preserve">  5.  Show dividends for each class and series of capital stock.</t>
  </si>
  <si>
    <t>unappropriated retained earnings, and unappropriated un-</t>
  </si>
  <si>
    <t xml:space="preserve">  6.  Show separately the State and Federal income tax effect</t>
  </si>
  <si>
    <t xml:space="preserve">     Other</t>
  </si>
  <si>
    <t xml:space="preserve">          TOTAL Construction (Total of lines 29 thru 30)</t>
  </si>
  <si>
    <t>Plant Removal (By Utility Departments)</t>
  </si>
  <si>
    <t xml:space="preserve">   Property Under Capital Leases  </t>
  </si>
  <si>
    <t xml:space="preserve">   Plant Purchased or Sold   (102)</t>
  </si>
  <si>
    <t>Bonds (Account 221)</t>
  </si>
  <si>
    <t>Reacquired Bonds (Account 222)</t>
  </si>
  <si>
    <t>From Insert Page</t>
  </si>
  <si>
    <t>Advances from Associated Companies (Account 223)</t>
  </si>
  <si>
    <t>Other Long Term Debt (Account 224)</t>
  </si>
  <si>
    <t>Page 256</t>
  </si>
  <si>
    <t>Page 257</t>
  </si>
  <si>
    <t xml:space="preserve">1. Components of Formula                                                                                                                                   </t>
  </si>
  <si>
    <t>Capitalization</t>
  </si>
  <si>
    <t>Receivables from Associated Companies</t>
  </si>
  <si>
    <t>230</t>
  </si>
  <si>
    <t>12-93</t>
  </si>
  <si>
    <t>Material &amp; Supplies</t>
  </si>
  <si>
    <t>215</t>
  </si>
  <si>
    <t>Prepayments</t>
  </si>
  <si>
    <t>232</t>
  </si>
  <si>
    <t>Extraordinary Property Losses</t>
  </si>
  <si>
    <t>Miscellaneous Deferred Debits</t>
  </si>
  <si>
    <t>233</t>
  </si>
  <si>
    <t xml:space="preserve">    Disposition and Investments in (and Advances to)</t>
  </si>
  <si>
    <t xml:space="preserve">    Associated and Subsidiary Companies</t>
  </si>
  <si>
    <t>BALANCE BEGINNING OF YEAR</t>
  </si>
  <si>
    <t>BALANCE AT END OF YEAR</t>
  </si>
  <si>
    <t>Other Water Revenues</t>
  </si>
  <si>
    <t>3. The number of employees assignable to the water company  from joint functions of the parent or affiliates may be determined by estimate, on the basis of employee equivalents.</t>
  </si>
  <si>
    <t>Payroll Period ended (Date)</t>
  </si>
  <si>
    <t>Total Regular Full-Time Employees</t>
  </si>
  <si>
    <t>Total Part-Time and Temporary Employees</t>
  </si>
  <si>
    <t>Total Employees</t>
  </si>
  <si>
    <t>Page 309</t>
  </si>
  <si>
    <t>FUEL OR POWER PURCHASED FOR PUMPING (ACCOUNT 623)</t>
  </si>
  <si>
    <t>Show the requested information concerning items includible in account 623, Fuel or Power</t>
  </si>
  <si>
    <t>Purchased for Pumping during the year.</t>
  </si>
  <si>
    <t>Number of units</t>
  </si>
  <si>
    <t>The Company's Vision Care Insurance covers all management and non-management employees.</t>
  </si>
  <si>
    <t>All benefits payments are made by the insurance carriers.</t>
  </si>
  <si>
    <t>Group Life Insurance</t>
  </si>
  <si>
    <t xml:space="preserve">    State balance and purpose of each appropriated retained earnings amount at end of year and give </t>
  </si>
  <si>
    <t xml:space="preserve">  11.  (Reserved)</t>
  </si>
  <si>
    <t xml:space="preserve">   4.  (Reserved)</t>
  </si>
  <si>
    <t xml:space="preserve">   5.  Important extension or reduction of transmission or</t>
  </si>
  <si>
    <t xml:space="preserve">  12.  If the important changes during the year relating to the</t>
  </si>
  <si>
    <t xml:space="preserve"> Fuel Stock (Account 150.151)</t>
  </si>
  <si>
    <t>Appropriated (EOP)</t>
  </si>
  <si>
    <t>104 Plant Leased to Others</t>
  </si>
  <si>
    <t>The OPEB Plan covers both management and non-management retiree hospitalization and life</t>
  </si>
  <si>
    <t>Medical</t>
  </si>
  <si>
    <t xml:space="preserve">   Completed Construction not Classified  (106)</t>
  </si>
  <si>
    <t xml:space="preserve">  2.  State the total number of votes cast</t>
  </si>
  <si>
    <t xml:space="preserve">          TOTAL Taxes on Other Income  and Deduct. (Total of  45 thru 51)</t>
  </si>
  <si>
    <t xml:space="preserve">     Net Other Income and Deductions (Enter Total of lines 38, 43, 52)</t>
  </si>
  <si>
    <t>Interest on Long-Term Debt (427)</t>
  </si>
  <si>
    <t xml:space="preserve">  3.  Give the date and</t>
  </si>
  <si>
    <t>Commission an annual report, verified by oath of the president, vice-president, treasurer, secretary, general manager, or</t>
  </si>
  <si>
    <t>Daily</t>
  </si>
  <si>
    <t>Maximum Daily</t>
  </si>
  <si>
    <t>Minimum Daily</t>
  </si>
  <si>
    <t>Artificial</t>
  </si>
  <si>
    <t>gals</t>
  </si>
  <si>
    <t>dry year</t>
  </si>
  <si>
    <t>daily</t>
  </si>
  <si>
    <t>(r)</t>
  </si>
  <si>
    <t>(s)</t>
  </si>
  <si>
    <t>(t)</t>
  </si>
  <si>
    <t xml:space="preserve">          TOTAL (Account 471)</t>
  </si>
  <si>
    <t>Dishonored Check Charge</t>
  </si>
  <si>
    <t>Reconnection Fees</t>
  </si>
  <si>
    <t xml:space="preserve">          TOTAL (Account 474)</t>
  </si>
  <si>
    <t>Page 306</t>
  </si>
  <si>
    <t>WATER OPERATION AND MAINTENANCE EXPENSES (Accounts 401 - 402.1)</t>
  </si>
  <si>
    <t xml:space="preserve">  for the year.  Segregate amounts originally charged to clearing</t>
  </si>
  <si>
    <t>OPERATIONS</t>
  </si>
  <si>
    <t>Page 259</t>
  </si>
  <si>
    <t>Pumped Sources</t>
  </si>
  <si>
    <t>Emergency interconnection use by:</t>
  </si>
  <si>
    <t>First Mortgage Bonds:</t>
  </si>
  <si>
    <t>PLANT #24, LYNBROOK</t>
  </si>
  <si>
    <t>Mech. Press.</t>
  </si>
  <si>
    <t>3.  A respondent should not report "none" to this page if no overhead apportionments are made, but rather should explain on page 208,</t>
  </si>
  <si>
    <t xml:space="preserve">      the accounting procedures employed and the amounts of engineering, supervision and administrative costs, etc., which are directly</t>
  </si>
  <si>
    <t xml:space="preserve">      charged to construction.</t>
  </si>
  <si>
    <t>Premium on Capital Stock (207)</t>
  </si>
  <si>
    <t xml:space="preserve">6.  Show in column (f) reclassifications or transfers within utility plant accounts.  Include also in column (f) the additions or reductions of </t>
  </si>
  <si>
    <t xml:space="preserve">    TOTAL (Account 281)(Total of 8 and 9)</t>
  </si>
  <si>
    <t>Liberalized Depreciation (Account 282)</t>
  </si>
  <si>
    <t>Internal Cash Generated as a % of</t>
  </si>
  <si>
    <t xml:space="preserve">    Cash Outflows for Construction </t>
  </si>
  <si>
    <t xml:space="preserve">     Income Taxes -- Federal (409.2)</t>
  </si>
  <si>
    <t xml:space="preserve">  Deferred Debits</t>
  </si>
  <si>
    <t>Liabilities &amp; Capital</t>
  </si>
  <si>
    <t>2. In determining whether a refund exceeds 0.2% of operating revenues for purposes of this report, in the</t>
  </si>
  <si>
    <t>Gains or (Losses) Unrecognized in Market Related Value of Assets</t>
  </si>
  <si>
    <t>The Company's departments and functions are as follows:</t>
  </si>
  <si>
    <t>PREMIUM ON CAPITAL STOCK, AND INSTALLMENTS RECEIVED ON CAPITAL STOCK</t>
  </si>
  <si>
    <t>(Accounts 202 and 205, 203 and 206, 207, 212)</t>
  </si>
  <si>
    <t xml:space="preserve">1. Show for each of the above accounts the amounts </t>
  </si>
  <si>
    <t>Common Stock Liability for Conversion, or Account 206,</t>
  </si>
  <si>
    <t xml:space="preserve">applying to each class and series of capital stock.                     </t>
  </si>
  <si>
    <t>Preferred Stock Liability for Conversion, at the end of the</t>
  </si>
  <si>
    <t>which amortization of deferred gains or losses was not completed by December 31 of last year, the (1) type of event, e.g.</t>
  </si>
  <si>
    <t>STATE OF NEW YORK</t>
  </si>
  <si>
    <t>(101) Total Plant Accounts (101)</t>
  </si>
  <si>
    <t>(101)</t>
  </si>
  <si>
    <t>(102)  Water Plant Purchased or Sold</t>
  </si>
  <si>
    <t>(102)</t>
  </si>
  <si>
    <t xml:space="preserve">unaminous written </t>
  </si>
  <si>
    <t>year or less.  Give reference to State Commission</t>
  </si>
  <si>
    <t>2.  Include on this page, taxes paid during the year and charged direct to final accounts, (not charged to prepaid or accrued taxes).  Enter the</t>
  </si>
  <si>
    <t>County of ..Camden.........................................)</t>
  </si>
  <si>
    <t xml:space="preserve">  Cost of Removal</t>
  </si>
  <si>
    <t>Operating Income</t>
  </si>
  <si>
    <t>(See Instruction 5)</t>
  </si>
  <si>
    <t>(Account 236)</t>
  </si>
  <si>
    <t>Account 165)</t>
  </si>
  <si>
    <t>Account 236)</t>
  </si>
  <si>
    <t>United Water - New York</t>
  </si>
  <si>
    <t>United Water - Oswego</t>
  </si>
  <si>
    <t>Unamortized Gain on Reacquired Debt</t>
  </si>
  <si>
    <t>Any demand notes should be designated as such in Column (c).</t>
  </si>
  <si>
    <t>Minor amounts may be grouped by classes, showing the number of such amounts.</t>
  </si>
  <si>
    <t xml:space="preserve">Construction Overhead Procedure, </t>
  </si>
  <si>
    <t xml:space="preserve">    General Description</t>
  </si>
  <si>
    <t>Meters, Customers</t>
  </si>
  <si>
    <t xml:space="preserve">Miscellaneous Paid-in Capital  </t>
  </si>
  <si>
    <t>Consumption, Water</t>
  </si>
  <si>
    <t xml:space="preserve">Miscellaneous Plant Data  </t>
  </si>
  <si>
    <t>A</t>
  </si>
  <si>
    <t xml:space="preserve">Surface Water Supply, Sources of </t>
  </si>
  <si>
    <t>Taxes:</t>
  </si>
  <si>
    <t xml:space="preserve">    - Charged During the Year</t>
  </si>
  <si>
    <t>258-259</t>
  </si>
  <si>
    <t>Operating Revenues, Water</t>
  </si>
  <si>
    <t xml:space="preserve">    - Deferred Income Taxes, Accumulated</t>
  </si>
  <si>
    <t>266-267</t>
  </si>
  <si>
    <t>Other Income Accounts,  Particulars Concerning</t>
  </si>
  <si>
    <t xml:space="preserve">    - Prepayments</t>
  </si>
  <si>
    <t>Other Paid-In Capital</t>
  </si>
  <si>
    <t>Territory Served</t>
  </si>
  <si>
    <t>3.  If any deposit is held by an associated company, give name of company.</t>
  </si>
  <si>
    <t xml:space="preserve"> Line</t>
  </si>
  <si>
    <t>property line, classify such services as "owned by respondent,"</t>
  </si>
  <si>
    <t>separate distribution systems, the particulars for each should be separately stated.</t>
  </si>
  <si>
    <t>and restrict the average length in column (g) to the portion of the</t>
  </si>
  <si>
    <t>service owned.</t>
  </si>
  <si>
    <t>and (3) amount of such items. Group amounts of less than $1,000 by classes if the number of items so</t>
  </si>
  <si>
    <t>grouped is shown).</t>
  </si>
  <si>
    <t>Advertising</t>
  </si>
  <si>
    <t xml:space="preserve">Transportation </t>
  </si>
  <si>
    <t>Charitable Contributions - Deductible</t>
  </si>
  <si>
    <t xml:space="preserve">Report on line 6 the Pension Benefit Obligation (PBO) updated from the previous year-end figure to the settlement date. </t>
  </si>
  <si>
    <t xml:space="preserve">  a. the amount recorded as income for the current year</t>
  </si>
  <si>
    <t>Total Interest on Debt to Associated Companies</t>
  </si>
  <si>
    <t>Other Interest Expense (Account 431)</t>
  </si>
  <si>
    <t>STD expense</t>
  </si>
  <si>
    <t>Total Other Interest Expense</t>
  </si>
  <si>
    <t>Page 320</t>
  </si>
  <si>
    <t>EXTRAORDINARY ITEMS (Accounts 434 and 435)</t>
  </si>
  <si>
    <t>1. Give below a brief description of each item included in accounts 434, Extraordinary Income and 435,</t>
  </si>
  <si>
    <t xml:space="preserve">    Extraordinary Deductions.</t>
  </si>
  <si>
    <t xml:space="preserve">2. Gross Rate for Borrowed Funds           </t>
  </si>
  <si>
    <t>=&gt;</t>
  </si>
  <si>
    <t xml:space="preserve">3. Rate for Other Funds             </t>
  </si>
  <si>
    <t>DOLLARS PER THOUSAND GALLONS SOLD</t>
  </si>
  <si>
    <t>Purchased Water, Fuel or Power for Pumping</t>
  </si>
  <si>
    <t>and Chemicals</t>
  </si>
  <si>
    <t>Purchased Water</t>
  </si>
  <si>
    <t>Pg 307, L 5 (b)</t>
  </si>
  <si>
    <t>Fuel for Pumping</t>
  </si>
  <si>
    <t>Pg 307, L 25 (b)</t>
  </si>
  <si>
    <t>Chemicals</t>
  </si>
  <si>
    <t>Pg 307, L 41 (b)</t>
  </si>
  <si>
    <t xml:space="preserve">the name of the issuing company as well as a description of </t>
  </si>
  <si>
    <t>or discount.  Indicate the premium or discount with a notation,</t>
  </si>
  <si>
    <t>SEE ATTACHED</t>
  </si>
  <si>
    <t>Billing Routine</t>
  </si>
  <si>
    <t>Funds, Special:</t>
  </si>
  <si>
    <t>Bonds</t>
  </si>
  <si>
    <t xml:space="preserve">   - Depreciation Fund</t>
  </si>
  <si>
    <t xml:space="preserve">   - Other Special</t>
  </si>
  <si>
    <t xml:space="preserve">   - Dividends</t>
  </si>
  <si>
    <t xml:space="preserve">   - Sinking</t>
  </si>
  <si>
    <t xml:space="preserve">   - Expense</t>
  </si>
  <si>
    <t>Gains or Loss on Disposition of  Property</t>
  </si>
  <si>
    <t xml:space="preserve">   reflecting insofar as possible the extent to which the refund is related to each department's activities, </t>
  </si>
  <si>
    <t>without reduction</t>
  </si>
  <si>
    <t>for amounts held</t>
  </si>
  <si>
    <t>by respondent)</t>
  </si>
  <si>
    <t xml:space="preserve">                                   (a)</t>
  </si>
  <si>
    <t xml:space="preserve">2. If respondent has two or more major plants, show the information called for in this  </t>
  </si>
  <si>
    <t>quantities are expressed.</t>
  </si>
  <si>
    <t>porting schedules should consist of balances and items immediately prior to transfer (for accounting</t>
  </si>
  <si>
    <t>Dividend Special Deposits (133)</t>
  </si>
  <si>
    <t xml:space="preserve">     Depreciation and Amortization Expense</t>
  </si>
  <si>
    <t>Pg 117, L 6=&gt;11 - L 12 (e)</t>
  </si>
  <si>
    <t>Other Sales to Public Authorities (OPA)</t>
  </si>
  <si>
    <t>Cedarhurst</t>
  </si>
  <si>
    <t>East Rockaway</t>
  </si>
  <si>
    <t>Hewlett Bay Park</t>
  </si>
  <si>
    <t>Hewlett Harbor</t>
  </si>
  <si>
    <t>Island Park</t>
  </si>
  <si>
    <t xml:space="preserve">     acquired with liabilities assumed on pages 124-125.</t>
  </si>
  <si>
    <t xml:space="preserve">         (c) Include commercial paper.</t>
  </si>
  <si>
    <t>Term Will</t>
  </si>
  <si>
    <t>Year End</t>
  </si>
  <si>
    <t>Year</t>
  </si>
  <si>
    <t>Compensation</t>
  </si>
  <si>
    <t>(Bonuses, etc.)</t>
  </si>
  <si>
    <t>Plans</t>
  </si>
  <si>
    <t>Options</t>
  </si>
  <si>
    <t>Premiums</t>
  </si>
  <si>
    <t>(Explain Below)</t>
  </si>
  <si>
    <t>(e thru k)</t>
  </si>
  <si>
    <t>Expire</t>
  </si>
  <si>
    <t>(e)</t>
  </si>
  <si>
    <t>(f)</t>
  </si>
  <si>
    <t>(g)</t>
  </si>
  <si>
    <t>(h)</t>
  </si>
  <si>
    <t>(i)</t>
  </si>
  <si>
    <t>(j)</t>
  </si>
  <si>
    <t>(k)</t>
  </si>
  <si>
    <t>(l)</t>
  </si>
  <si>
    <t>or assumption of liabilities or guarantees including issuance of</t>
  </si>
  <si>
    <t xml:space="preserve">  a total for the account.  Additional columns</t>
  </si>
  <si>
    <t xml:space="preserve">  be included in Account 121.</t>
  </si>
  <si>
    <t xml:space="preserve">  may be added if deemed appropriate with respect to any</t>
  </si>
  <si>
    <t xml:space="preserve">  account.</t>
  </si>
  <si>
    <t>(b) Miscellaneous Nonoperating Income (Account 421) -</t>
  </si>
  <si>
    <t xml:space="preserve">     (a) Income from Nonutility Operations (Accounts 417 and </t>
  </si>
  <si>
    <t>Give the nature and source of each miscellaneous nonoperating</t>
  </si>
  <si>
    <t>AFUDC - Equity Component - Plant</t>
  </si>
  <si>
    <t>4. Summarize the collection and write-off practices applied to overdue customers' accounts.</t>
  </si>
  <si>
    <t>Page 213</t>
  </si>
  <si>
    <t>RECEIVABLES FROM ASSOCIATED COMPANIES (Accounts 145, 146)</t>
  </si>
  <si>
    <t>per Customer</t>
  </si>
  <si>
    <t>Other Cash Flows - Investing Activities</t>
  </si>
  <si>
    <t>Retirement work in progress</t>
  </si>
  <si>
    <t>MATERIALS AND SUPPLIES (Account 150)</t>
  </si>
  <si>
    <t>1.  For Account 150, report the amount of plant materials and operating supplies under the primary functional</t>
  </si>
  <si>
    <t xml:space="preserve"> Description (See Instruction No. 5 for Explanations of Codes)</t>
  </si>
  <si>
    <t>400</t>
  </si>
  <si>
    <t>Sources of Supply</t>
  </si>
  <si>
    <t>401-402</t>
  </si>
  <si>
    <t>- -&gt;Overdue notice sent 23 days after bill date.</t>
  </si>
  <si>
    <t>Expenditures, Outstanding at the end of the year.</t>
  </si>
  <si>
    <t xml:space="preserve">  Uniform System of Accounts.)</t>
  </si>
  <si>
    <t xml:space="preserve">  2.  Indicate in column (a) the class of plant or operating function</t>
  </si>
  <si>
    <t xml:space="preserve">  for which the project was undertaken, if payments were made in</t>
  </si>
  <si>
    <t>Revenue for Year</t>
  </si>
  <si>
    <t xml:space="preserve">      or purchaser, and date of transaction.  If proposed journal entries have been filed with the Commission as required by the Uniform</t>
  </si>
  <si>
    <t xml:space="preserve">      System of Accounts, give also the date of such filing.</t>
  </si>
  <si>
    <t>Beginning of Year</t>
  </si>
  <si>
    <t>Addition</t>
  </si>
  <si>
    <t>Deductions Recorded on Books Not Deducted for Return</t>
  </si>
  <si>
    <t>Federal Income Tax Provision</t>
  </si>
  <si>
    <t>Travel &amp; Entertainment</t>
  </si>
  <si>
    <t>Penalties</t>
  </si>
  <si>
    <t xml:space="preserve">Other Post Retirement Benefits, Analysis of </t>
  </si>
  <si>
    <t>5.  State in a footnote if any capital stock which has been nominally issued is nominally outstanding at end of year.</t>
  </si>
  <si>
    <t xml:space="preserve">       column (a) provided the fiscal years for both the 10-K report and this report are compatible.</t>
  </si>
  <si>
    <t>209</t>
  </si>
  <si>
    <t>Investments</t>
  </si>
  <si>
    <t>DEPARTMENT</t>
  </si>
  <si>
    <t>Revenues:</t>
  </si>
  <si>
    <t>Merchandise sales, less discounts, allowances and returns</t>
  </si>
  <si>
    <t>Contract work</t>
  </si>
  <si>
    <t>Commissions</t>
  </si>
  <si>
    <t>Other (list according to major classes)</t>
  </si>
  <si>
    <t>Total Revenues</t>
  </si>
  <si>
    <t>Costs and Expenses:</t>
  </si>
  <si>
    <t>Sales expenses</t>
  </si>
  <si>
    <t>Customer accounts expenses</t>
  </si>
  <si>
    <t>Administrative and general expenses</t>
  </si>
  <si>
    <t xml:space="preserve">    Purchase of Investment Securities (a)</t>
  </si>
  <si>
    <t xml:space="preserve">          Total Current and Accrued Assets</t>
  </si>
  <si>
    <t>Report on line 2 the actuarial gains and losses that occurred in prior fiscal years</t>
  </si>
  <si>
    <t>following compliance with SFAS-87 but have not yet been amortized.  The amount should be</t>
  </si>
  <si>
    <t>Portion of amount on line 15 allocated to reporting company</t>
  </si>
  <si>
    <t>Accumulated Gains and Losses from Disposition of Utility Land and Land Rights (117)</t>
  </si>
  <si>
    <t xml:space="preserve">          TOTAL Utility Plant (Enter Total of lines 8 thru 14)</t>
  </si>
  <si>
    <t>Less:  Accum. Prov. for Depr. and Amort.</t>
  </si>
  <si>
    <t>Excess Deferred Taxes</t>
  </si>
  <si>
    <t>Pretax gain recognizable in current income: (13) x (14)</t>
  </si>
  <si>
    <t>15.</t>
  </si>
  <si>
    <t>4. If provisions for depreciation were made during the year in addition to depreciation provided by application of reported rates, state</t>
  </si>
  <si>
    <t>1.  Show the requested information concerning Water Treatment Processes, the</t>
  </si>
  <si>
    <t>4.  If certain quantities of water are subject to more than one method of treatment,</t>
  </si>
  <si>
    <t>any title other than full ownership, give, in a footnote, particulars</t>
  </si>
  <si>
    <t>CAPITAL STOCK (Accounts 201 and 204)</t>
  </si>
  <si>
    <t>MISCELLANEOUS TAX REFUNDS</t>
  </si>
  <si>
    <t>1. Report below particulars concerning all tax refunds received or used as a reduction of taxes payable</t>
  </si>
  <si>
    <t xml:space="preserve">    during the year which are not more than $1,500,000 and do not exceed $1,000 or 0.2% of the utility's </t>
  </si>
  <si>
    <t>parent or holding company).  The columnar heading "New York State Jurisdiction" refers to the New York State</t>
  </si>
  <si>
    <t>Research, Development and Demostration Activities</t>
  </si>
  <si>
    <t>352-353</t>
  </si>
  <si>
    <t>Distribution of Salaries and Wages</t>
  </si>
  <si>
    <t>354</t>
  </si>
  <si>
    <t>Charges of Outside Professional Services and Other</t>
  </si>
  <si>
    <t xml:space="preserve">  Consultative Services</t>
  </si>
  <si>
    <t>355-356</t>
  </si>
  <si>
    <t>Employee Protective Plans</t>
  </si>
  <si>
    <t>357-358</t>
  </si>
  <si>
    <t>Analysis of Pension Costs</t>
  </si>
  <si>
    <t>359-360</t>
  </si>
  <si>
    <t>Analysis of Pension Settlements, Curtailments and</t>
  </si>
  <si>
    <t xml:space="preserve">  Terminations</t>
  </si>
  <si>
    <t>361-362</t>
  </si>
  <si>
    <t>Analysis of OPEB Costs, Funding and Deferrals</t>
  </si>
  <si>
    <t>363-366</t>
  </si>
  <si>
    <t>Miscellaneous Tax Refunds</t>
  </si>
  <si>
    <t>354-355</t>
  </si>
  <si>
    <t>367</t>
  </si>
  <si>
    <t>Statistical Data</t>
  </si>
  <si>
    <t>Water Production and Consumption</t>
  </si>
  <si>
    <t xml:space="preserve">           of a significant number of those employees.</t>
  </si>
  <si>
    <t xml:space="preserve">Year-to-date liability gain or (loss): </t>
  </si>
  <si>
    <t>be explained in sufficient detail to identify the amounts by detail revenue account.  It is intended that the amounts shown</t>
  </si>
  <si>
    <t>and</t>
  </si>
  <si>
    <t>Customers</t>
  </si>
  <si>
    <t>Contract Work</t>
  </si>
  <si>
    <t>Name, title, address and telephone number (including area code), of</t>
  </si>
  <si>
    <t>4.  If any person reported in this schedule received remuneration directly or indirectly other than salary shown</t>
  </si>
  <si>
    <t>For the period starting:</t>
  </si>
  <si>
    <t>January 1, 1996</t>
  </si>
  <si>
    <t>For the period ending:</t>
  </si>
  <si>
    <t>Date due:</t>
  </si>
  <si>
    <t>March 31, 1997</t>
  </si>
  <si>
    <t xml:space="preserve">  </t>
  </si>
  <si>
    <t>WATER WORKS CORPORATIONS</t>
  </si>
  <si>
    <t>CLASSES A AND B</t>
  </si>
  <si>
    <t>OF</t>
  </si>
  <si>
    <t>Preferred Stock Liability for Conversion (Account 206)</t>
  </si>
  <si>
    <t>Premium on Capital Stock (Account 207)</t>
  </si>
  <si>
    <t>Installments Received on Capital Stock (Account 212)</t>
  </si>
  <si>
    <t xml:space="preserve">   TOTALS</t>
  </si>
  <si>
    <t>Page 252</t>
  </si>
  <si>
    <t>OTHER PAID-IN CAPITAL (Accounts 208-211, inc.)</t>
  </si>
  <si>
    <t xml:space="preserve">  Report below the balance at the end of the year and the information specified below for the</t>
  </si>
  <si>
    <t>set forth the sources of his information and the grounds of his belief as to any matters not stated to be verified upon his</t>
  </si>
  <si>
    <t xml:space="preserve">knowledge." </t>
  </si>
  <si>
    <t xml:space="preserve">  expenses between utility/nonutility operations.  The book </t>
  </si>
  <si>
    <t xml:space="preserve">  Provide a subheading for each account and show a</t>
  </si>
  <si>
    <t>Owned by Respondent</t>
  </si>
  <si>
    <t>Tubeloy</t>
  </si>
  <si>
    <t>Black</t>
  </si>
  <si>
    <t>Cement Lined</t>
  </si>
  <si>
    <t>Galvanized</t>
  </si>
  <si>
    <t>Brass</t>
  </si>
  <si>
    <t>Cast Iron</t>
  </si>
  <si>
    <t>Cast/Ductile Iron</t>
  </si>
  <si>
    <t>Owned by Customers</t>
  </si>
  <si>
    <t xml:space="preserve">     TOTALS</t>
  </si>
  <si>
    <t>Page 409</t>
  </si>
  <si>
    <t>CUSTOMERS' METERS</t>
  </si>
  <si>
    <t>1.  Show the requested information concerning customers' meters in service or</t>
  </si>
  <si>
    <t>Number and Title of Rate Schedule</t>
  </si>
  <si>
    <t>Gallons</t>
  </si>
  <si>
    <t xml:space="preserve">purposes).  If the books are not closed as of that date, the data in the report should nevertheless be </t>
  </si>
  <si>
    <t>Shares</t>
  </si>
  <si>
    <t>Cost</t>
  </si>
  <si>
    <t>End of Year</t>
  </si>
  <si>
    <t>(a)_x0014_</t>
  </si>
  <si>
    <t>UTILITY PLANT</t>
  </si>
  <si>
    <t>Water Plant (101-107, 114, 116, 117,  118.1, 118.2)</t>
  </si>
  <si>
    <t>(Less) Accum. Prov. for Depr. Amort. Depl. (108-113,115, 119.1, 119.2)</t>
  </si>
  <si>
    <t xml:space="preserve">  2.  Furnish particulars (details) as to any significant contin-</t>
  </si>
  <si>
    <t xml:space="preserve">     Net Utility Plant ( Total of line 2 less 3)</t>
  </si>
  <si>
    <t>-</t>
  </si>
  <si>
    <t xml:space="preserve">      assigned to a blanket work order and then prorated to construction jobs.</t>
  </si>
  <si>
    <t>holders of the respondent who, at the date of the latest clos-</t>
  </si>
  <si>
    <t xml:space="preserve">whereby such security became vested with voting rights and </t>
  </si>
  <si>
    <t>ing of the stock book or compilation of list of stockholders</t>
  </si>
  <si>
    <t>give other important particulars (details) concerning the voting</t>
  </si>
  <si>
    <t xml:space="preserve">of the respondent, prior to the end of the year, had the </t>
  </si>
  <si>
    <t>477</t>
  </si>
  <si>
    <t>1400</t>
  </si>
  <si>
    <t xml:space="preserve">    "</t>
  </si>
  <si>
    <t>"</t>
  </si>
  <si>
    <t>1954</t>
  </si>
  <si>
    <t>550</t>
  </si>
  <si>
    <t>546</t>
  </si>
  <si>
    <t>1310</t>
  </si>
  <si>
    <t>1969</t>
  </si>
  <si>
    <t>501</t>
  </si>
  <si>
    <t>1970</t>
  </si>
  <si>
    <t>511</t>
  </si>
  <si>
    <t xml:space="preserve">     Total Interest Charges</t>
  </si>
  <si>
    <t>of a list of stockholders, some other class of security has</t>
  </si>
  <si>
    <t xml:space="preserve">       Net Interest Charges (Enter Total of lines 55 thru 62)</t>
  </si>
  <si>
    <t>Income Before Extraordinary Items (Total of lines 24, 53 and 63)</t>
  </si>
  <si>
    <t>Extraordinary Income (434)</t>
  </si>
  <si>
    <t>classifications, amortization of limited-term water Plant (Account 404); and (c) Amortization of Other Water Plant (Account 405).</t>
  </si>
  <si>
    <t>Depreciable</t>
  </si>
  <si>
    <t>Estimated</t>
  </si>
  <si>
    <t>Applied</t>
  </si>
  <si>
    <t xml:space="preserve">- -&gt;If final bill remains unpaid, mail letter 10 days after bill is sent; second letter </t>
  </si>
  <si>
    <t xml:space="preserve">Accumulated Provision for Depreciation and </t>
  </si>
  <si>
    <t>217</t>
  </si>
  <si>
    <t>Maximum daily output of station (....gals)</t>
  </si>
  <si>
    <t>Number of Pumps Used</t>
  </si>
  <si>
    <t>Date on which the above maximum occurred</t>
  </si>
  <si>
    <t>Max daily output of entire system  ( T. gals)</t>
  </si>
  <si>
    <t>Av. head against which each pump works</t>
  </si>
  <si>
    <t>Kind of power (if system operates by</t>
  </si>
  <si>
    <t xml:space="preserve">  given, for the respective other income accounts.</t>
  </si>
  <si>
    <t xml:space="preserve">    Common Stock &amp; Retained Earnings</t>
  </si>
  <si>
    <t xml:space="preserve">    Short-Term Debt</t>
  </si>
  <si>
    <t>Pretax Coverage of Interest Expense</t>
  </si>
  <si>
    <t>Com. Stock Dividends as a % of Earnings</t>
  </si>
  <si>
    <t>Return on Common Equity</t>
  </si>
  <si>
    <t xml:space="preserve">   one or more of the portions thus allocated exceeds 0.2% of the operating revenues of the department to</t>
  </si>
  <si>
    <t xml:space="preserve">   which it is allocated.</t>
  </si>
  <si>
    <t xml:space="preserve">  - Accounts Receivable</t>
  </si>
  <si>
    <t xml:space="preserve">  Depreciation:</t>
  </si>
  <si>
    <t xml:space="preserve">  - Collection and Write-off Practices</t>
  </si>
  <si>
    <t xml:space="preserve">    - Plant Acquisition Adjustments</t>
  </si>
  <si>
    <t>Customers - Average Number</t>
  </si>
  <si>
    <t xml:space="preserve">    - Plant Held for Future Use</t>
  </si>
  <si>
    <t>Cost Benefits Paid from the Fund To or For Plan Participants</t>
  </si>
  <si>
    <t>Other Expenses Paid By the Fund **</t>
  </si>
  <si>
    <t>Report on line 2 the actuarial present value of all benefits attributed to employee service up to a specific date, based on the</t>
  </si>
  <si>
    <t>Accumulated Benefit Obligation</t>
  </si>
  <si>
    <t>$</t>
  </si>
  <si>
    <t xml:space="preserve">terms of the plan including salary progression factor for final pay and career average pay plans. </t>
  </si>
  <si>
    <t>Projected Benefit Obligation</t>
  </si>
  <si>
    <t>Report on line 3 the amount the pension plan could expect to receive for investments in a sale between a willing buyer and a</t>
  </si>
  <si>
    <t>Fair Value of Plan Assets</t>
  </si>
  <si>
    <t>owned by customers.</t>
  </si>
  <si>
    <t>form a part.</t>
  </si>
  <si>
    <t>(393)</t>
  </si>
  <si>
    <t>treatment other than as specified by the Uniform System of</t>
  </si>
  <si>
    <t>were issued.</t>
  </si>
  <si>
    <t>Accounts.</t>
  </si>
  <si>
    <t>AMORTIZATION PERIOD</t>
  </si>
  <si>
    <t>T. Gallons</t>
  </si>
  <si>
    <t>where cents are important.  The amounts shown on all supporting schedules shall agree with the item</t>
  </si>
  <si>
    <t>in the statement they support.</t>
  </si>
  <si>
    <t>NYPSC 347-97</t>
  </si>
  <si>
    <t xml:space="preserve">          Investment Tax Credit Adjustment (Net)</t>
  </si>
  <si>
    <t>date operations began or ceased and give reference to Com-</t>
  </si>
  <si>
    <t>possession, (c) the authority by which the receivership or trusteeship was created, and (d)</t>
  </si>
  <si>
    <t xml:space="preserve">  4.  Give concise explanations concerning unsettled rate</t>
  </si>
  <si>
    <t xml:space="preserve">                                                    (a)</t>
  </si>
  <si>
    <t>Common Stock Subscribed (Account 202)</t>
  </si>
  <si>
    <t>261</t>
  </si>
  <si>
    <t xml:space="preserve">     amounts in both columns (d) and (e).  The balancing of this page is not affected by the inclusion of these taxes.</t>
  </si>
  <si>
    <t>Reacquired Bonds, 223, Advances from Associated Companies,</t>
  </si>
  <si>
    <t xml:space="preserve">   Franchise - Gross Earnings - 186</t>
  </si>
  <si>
    <t xml:space="preserve">      Account 102, include in column (e) the amounts with respect to accumulated provision for depreciation, acquisition adjustments, etc.,</t>
  </si>
  <si>
    <t xml:space="preserve">      Plant Purchased or Sold; and Account 106, Completed Construction Not Classified.</t>
  </si>
  <si>
    <t>Original Cost</t>
  </si>
  <si>
    <t>Date Journal</t>
  </si>
  <si>
    <t>Description of Property</t>
  </si>
  <si>
    <t>of Related</t>
  </si>
  <si>
    <t>Entry Approved</t>
  </si>
  <si>
    <t>Account 421.1</t>
  </si>
  <si>
    <t>Account 421.2</t>
  </si>
  <si>
    <t>Property</t>
  </si>
  <si>
    <t>(When Required)</t>
  </si>
  <si>
    <t>Gain on Disposition of Property:</t>
  </si>
  <si>
    <t>TOTAL GAIN</t>
  </si>
  <si>
    <t>For each plan report:</t>
  </si>
  <si>
    <t xml:space="preserve">2.  Give an explanation of important inventory adjustments during the year (in a footnote) showing </t>
  </si>
  <si>
    <t xml:space="preserve">          Net (Increase) Decrease in Receivables</t>
  </si>
  <si>
    <t xml:space="preserve">          Net (Increase) Decrease in Other Regulatory Assets</t>
  </si>
  <si>
    <t xml:space="preserve">          Net Increase (Decrease) in Other Regulatory Liabilities</t>
  </si>
  <si>
    <t xml:space="preserve">   Net Cash Provided by (Used in) Investing Activities</t>
  </si>
  <si>
    <t xml:space="preserve">          (Total of lines 32 thru 52)</t>
  </si>
  <si>
    <t>Cash Flows from Financing Activities:</t>
  </si>
  <si>
    <t xml:space="preserve">                          Credits</t>
  </si>
  <si>
    <t>Accrued divdend equivalents</t>
  </si>
  <si>
    <t xml:space="preserve">          hydrants as well as for customer metering.</t>
  </si>
  <si>
    <t xml:space="preserve">          for planning and receiving regulatory approvals for various construction projects</t>
  </si>
  <si>
    <t>PLANT #14, LYNBROOK</t>
  </si>
  <si>
    <t xml:space="preserve">     "     "      "</t>
  </si>
  <si>
    <t>PLANT #15, LYNBROOK</t>
  </si>
  <si>
    <t>PLANT #16, ROOSEVELT</t>
  </si>
  <si>
    <t xml:space="preserve"> "       "      "</t>
  </si>
  <si>
    <t>them in accordance with the inquiries.  Each inquiry should be</t>
  </si>
  <si>
    <t>short-term debt and commercial paper having a maturity of one</t>
  </si>
  <si>
    <t>answered.  Enter "none", "not applicable," or "NA" where ap-</t>
  </si>
  <si>
    <t>Notes Receivable from Associated Companies (145)</t>
  </si>
  <si>
    <t>Accounts Receivable from Assoc. Companies (146)</t>
  </si>
  <si>
    <t>Materials and Supplies (150)</t>
  </si>
  <si>
    <t>particulars (details) including the amount and interest rate</t>
  </si>
  <si>
    <t xml:space="preserve">     (b) Miscellaneous Income Deductions-Report the nature,</t>
  </si>
  <si>
    <t>nature of other debt on which interest was incurred during</t>
  </si>
  <si>
    <t>CUSTOMER INSTALLATIONS EXPENSE</t>
  </si>
  <si>
    <t>MISC EXPENSES</t>
  </si>
  <si>
    <t>MAINTENANCE OF DISTRIBUTION RESERVOIRS AND STANDPIPES</t>
  </si>
  <si>
    <t>MAINTENANCE OF TRANSMISSION AND DISTRIBUTION MAINS</t>
  </si>
  <si>
    <t>MAINTENANCE OF  FIRE MAINS</t>
  </si>
  <si>
    <t xml:space="preserve">          2. SOURCE OF SUPPLY PLANT</t>
  </si>
  <si>
    <t>(310)  Land and Land Rights</t>
  </si>
  <si>
    <t>(310)</t>
  </si>
  <si>
    <t>PLANT #7, W. VALLEY STREAM</t>
  </si>
  <si>
    <t xml:space="preserve">  "    "       "</t>
  </si>
  <si>
    <t>INDUCED DRAFT AERATORS</t>
  </si>
  <si>
    <t>Hyd. &amp; Elec.</t>
  </si>
  <si>
    <t>Filtration - GRAVITY</t>
  </si>
  <si>
    <t>PLANT #8, MALVERNE</t>
  </si>
  <si>
    <t xml:space="preserve">    "     "      "</t>
  </si>
  <si>
    <t>1975,01</t>
  </si>
  <si>
    <t>PLANT #9, N. VALLEY STREAM</t>
  </si>
  <si>
    <t xml:space="preserve">  "     "      "</t>
  </si>
  <si>
    <t>PLANT #10, LYNBROOK</t>
  </si>
  <si>
    <t xml:space="preserve">  3.  Show in column (k) any expenses incurred in prior years</t>
  </si>
  <si>
    <t>4.  List in column (f), (g), and (h) expenses incurred</t>
  </si>
  <si>
    <t xml:space="preserve">  incurred during the current year (or incurred in previous years,</t>
  </si>
  <si>
    <t>If applicable, see insert page below</t>
  </si>
  <si>
    <t xml:space="preserve">Line </t>
  </si>
  <si>
    <t>Functional Classification</t>
  </si>
  <si>
    <t>Expense</t>
  </si>
  <si>
    <t>(Account 403)</t>
  </si>
  <si>
    <t>(Acct. 404)</t>
  </si>
  <si>
    <t>(Acct. 405)</t>
  </si>
  <si>
    <t>standing in the hands of the general public where the options,</t>
  </si>
  <si>
    <t xml:space="preserve">   2.  If any security other than stock carries voting rights, </t>
  </si>
  <si>
    <t>warrants, or rights were issued on a prorata basis.</t>
  </si>
  <si>
    <t xml:space="preserve">   5.  For receivers' certificates, show in column(a) the name of </t>
  </si>
  <si>
    <t>a footnote the date of the Commission's authorization of</t>
  </si>
  <si>
    <t>including name of pledgee and purpose of the pledge.</t>
  </si>
  <si>
    <t>pertaining to operating activities only.  Gains and losses</t>
  </si>
  <si>
    <t>such notes should be included on pages 124-125.</t>
  </si>
  <si>
    <t>pertaining to investing and financing activities should be</t>
  </si>
  <si>
    <t>Information about noncash investing and financing activities</t>
  </si>
  <si>
    <t>26</t>
  </si>
  <si>
    <t>Professional Services</t>
  </si>
  <si>
    <t>revenues received or costs incurred for water pur-</t>
  </si>
  <si>
    <t>[Include in the description of costs, the date of</t>
  </si>
  <si>
    <t>of</t>
  </si>
  <si>
    <t>may be used.</t>
  </si>
  <si>
    <t>Allocation of</t>
  </si>
  <si>
    <t>Direct Payroll</t>
  </si>
  <si>
    <t>Payroll Charged for</t>
  </si>
  <si>
    <t>Distribution</t>
  </si>
  <si>
    <t>Clearing Accounts</t>
  </si>
  <si>
    <t>Operation</t>
  </si>
  <si>
    <t xml:space="preserve">     Source of Supply</t>
  </si>
  <si>
    <t xml:space="preserve">    Investments in and Advances to Assoc. and Subsidiary Companies</t>
  </si>
  <si>
    <t>Other Investments</t>
  </si>
  <si>
    <t xml:space="preserve">Pg 114, L 8, 9, 10 (d) </t>
  </si>
  <si>
    <t xml:space="preserve">          TOTAL Oper. and Maint.  (Total of lines 19 thru 25)</t>
  </si>
  <si>
    <t>Construction (By Utility Departments)</t>
  </si>
  <si>
    <t xml:space="preserve">     Water Plant</t>
  </si>
  <si>
    <t>Commission's  "Statement of Policy and Order Concerning the Accounting and Ratemaking Treatment for Pensions and</t>
  </si>
  <si>
    <t>OPEB" ( issued September 7, 1993).</t>
  </si>
  <si>
    <t>answer may be used.  The annual report should be complete in itself.  Reference to reports of previous</t>
  </si>
  <si>
    <t>1. Show the requested information concerning  the treatment system which was owned or operated at any time during the year covered by the report.  If not in</t>
  </si>
  <si>
    <t>continuous operation,  state in column (h), the beginning and end of the period of actual use within the year.</t>
  </si>
  <si>
    <t>Internal Cash</t>
  </si>
  <si>
    <t>Pg 3, L 11</t>
  </si>
  <si>
    <t xml:space="preserve">                        ii.  Other hydroelectric</t>
  </si>
  <si>
    <t>Classification</t>
  </si>
  <si>
    <t>Costs Incurred - Current Year</t>
  </si>
  <si>
    <t>AMOUNTS CHARGED IN CURRENT YEAR</t>
  </si>
  <si>
    <t xml:space="preserve">  (b) Reduction in Par or Stated Value of Capital Stock (Account 209) - State amount and give brief</t>
  </si>
  <si>
    <t>No Compensation</t>
  </si>
  <si>
    <t>thereto, and reference to Commission authorization, if any was</t>
  </si>
  <si>
    <t xml:space="preserve">   Income Taxes</t>
  </si>
  <si>
    <t xml:space="preserve">   FICA Contribution</t>
  </si>
  <si>
    <t xml:space="preserve">   Unemployment</t>
  </si>
  <si>
    <t xml:space="preserve">   Other</t>
  </si>
  <si>
    <t xml:space="preserve">     Total</t>
  </si>
  <si>
    <t>State:</t>
  </si>
  <si>
    <t xml:space="preserve">   Franchise - Gross Income - 186a</t>
  </si>
  <si>
    <t>of maturity and interest rate.</t>
  </si>
  <si>
    <t>4.</t>
  </si>
  <si>
    <t>operations cease during the year because of the disposition of property the balance sheet and sup-</t>
  </si>
  <si>
    <t>amounts were capitalized during the year, listing Account</t>
  </si>
  <si>
    <t>Quantity on hand at end of year</t>
  </si>
  <si>
    <t>Avg. fuel or pwr. cost per ....gals.  pumped</t>
  </si>
  <si>
    <t>Date of largest fire damage during year</t>
  </si>
  <si>
    <t>Number of 250 g.p.m. fire streams used</t>
  </si>
  <si>
    <t>Duration of maximum fire draft (hrs.)</t>
  </si>
  <si>
    <t>Pre-Tax Book Income (loss)</t>
  </si>
  <si>
    <t>FUEL OR POWER PURCHASED FOR PUMPING</t>
  </si>
  <si>
    <t>Source Ben Claase</t>
  </si>
  <si>
    <t xml:space="preserve">5.90% Senior Notes </t>
  </si>
  <si>
    <t xml:space="preserve">5.05% Senior Notes </t>
  </si>
  <si>
    <t>original cost of less than $2,500 may be grouped, with the</t>
  </si>
  <si>
    <t>is not the principal accountant for your previous year's certified financial statements?</t>
  </si>
  <si>
    <t>REGULATORY COMMISSION EXPENSES</t>
  </si>
  <si>
    <t>DUPLICATE CHARGES - (CREDIT)</t>
  </si>
  <si>
    <t>MISCELLANEOUS GENERAL EXPENSES</t>
  </si>
  <si>
    <t>GENERAL RENTS</t>
  </si>
  <si>
    <t>Income or (Loss) Earned on Fund Assets , net of expenses</t>
  </si>
  <si>
    <t>Accumulated  Deferred Income Taxes - Debit</t>
  </si>
  <si>
    <t xml:space="preserve">  - Security Holders and Voting Powers</t>
  </si>
  <si>
    <t>Accumulated  Deferred Investment Tax Credits</t>
  </si>
  <si>
    <t>Customer's Accounts</t>
  </si>
  <si>
    <t>Accumulated  Provision for Amortization and</t>
  </si>
  <si>
    <t>OPERATION SUPERVISION AND ENGINEERING</t>
  </si>
  <si>
    <t>OPERATION LABOR &amp; EXPENSES</t>
  </si>
  <si>
    <t>PURCHASED WATER</t>
  </si>
  <si>
    <t>MISCELLANEOUS EXPENSES</t>
  </si>
  <si>
    <t>RENTS</t>
  </si>
  <si>
    <t xml:space="preserve">          TOTAL OPERATION</t>
  </si>
  <si>
    <t>MAINTENANCE</t>
  </si>
  <si>
    <t>MAINTENANCE SUPERVISION &amp; ENGINEERING</t>
  </si>
  <si>
    <t xml:space="preserve">               Account</t>
  </si>
  <si>
    <t>Unrecognized Transition Amount</t>
  </si>
  <si>
    <t xml:space="preserve">  - Corps Controlled by Respondent</t>
  </si>
  <si>
    <t>Accounts Receivable from Associated Companies</t>
  </si>
  <si>
    <t xml:space="preserve">  - Over Respondent</t>
  </si>
  <si>
    <t xml:space="preserve">   Loans Made or Purchased </t>
  </si>
  <si>
    <t>1. Give a brief description of property creating the gain or</t>
  </si>
  <si>
    <t>Total Exp. for Certain Civic, Political and Related Activities</t>
  </si>
  <si>
    <t>Page 319</t>
  </si>
  <si>
    <t>Other Deductions (Account 426.5)</t>
  </si>
  <si>
    <t>Sinking Funds (125)</t>
  </si>
  <si>
    <t>Depreciation Funds (126)</t>
  </si>
  <si>
    <t>Other Special Funds (128)</t>
  </si>
  <si>
    <t>Public Fire Protection Service</t>
  </si>
  <si>
    <t>464</t>
  </si>
  <si>
    <t xml:space="preserve">     PBO at settlement date</t>
  </si>
  <si>
    <t xml:space="preserve">       Total Liabilities and Other Credits</t>
  </si>
  <si>
    <t>Report on line 3 the actual return on plan assets (the sum of investment income and appreciation).</t>
  </si>
  <si>
    <t xml:space="preserve">     Gain or (loss) after provision for income tax: 16 x [100% - (17)]</t>
  </si>
  <si>
    <t>18.</t>
  </si>
  <si>
    <t>Explain the basis of allocation used to derive the amount reported on line 16 from that reported on line 15:</t>
  </si>
  <si>
    <t>Report on line 4 the expected return on plan assets (a component of the current-year expense calculation, which should</t>
  </si>
  <si>
    <t>be prorated for the elapsed portion of the current year).</t>
  </si>
  <si>
    <t>For the amount reported on line 16 specify:</t>
  </si>
  <si>
    <t xml:space="preserve">          If service is restricted to a portion of a city, designate the boroughs or area covered by the respondent's operations.</t>
  </si>
  <si>
    <t>4.  The totals  should agree with the amounts for those accounts shown in Schedule entitled "Water Operating Revenues".</t>
  </si>
  <si>
    <t xml:space="preserve">         2.   If any items were determined by estimate or apportionment, state that fact and give full particulars in a footnote.</t>
  </si>
  <si>
    <t>Donna Grosser</t>
  </si>
  <si>
    <t>Angela Sedlacek</t>
  </si>
  <si>
    <t xml:space="preserve">Secretary </t>
  </si>
  <si>
    <t xml:space="preserve">       reported herein.  If the word "none" correctly states the facts in regard to entries for columns (f) through (k), so state.</t>
  </si>
  <si>
    <t xml:space="preserve">Date </t>
  </si>
  <si>
    <t>Date of</t>
  </si>
  <si>
    <t>Book Cost</t>
  </si>
  <si>
    <t>5. For any securities, notes, or accounts that were pledged, designate such securities, notes or accounts and in a footnote state the name of the pledgee and purpose of the pledge.</t>
  </si>
  <si>
    <t xml:space="preserve">become vested with voting rights, then show such 10 </t>
  </si>
  <si>
    <t>1</t>
  </si>
  <si>
    <t>2</t>
  </si>
  <si>
    <t>3</t>
  </si>
  <si>
    <t>4</t>
  </si>
  <si>
    <t>5</t>
  </si>
  <si>
    <t>6</t>
  </si>
  <si>
    <t>7</t>
  </si>
  <si>
    <t>8</t>
  </si>
  <si>
    <t>the respondent and number of such</t>
  </si>
  <si>
    <t>other long term liabilities tax topside</t>
  </si>
  <si>
    <t xml:space="preserve">  in which there is a sharing of costs with others, show separately</t>
  </si>
  <si>
    <t>include in this amount amortization of previously deferred gains or losses as these amounts are to be reported</t>
  </si>
  <si>
    <t>on Line 24.</t>
  </si>
  <si>
    <t>Water Treatment</t>
  </si>
  <si>
    <t>Transmission and Distribution</t>
  </si>
  <si>
    <t>General</t>
  </si>
  <si>
    <t>VOTING SECURITIES</t>
  </si>
  <si>
    <t>Number of votes as of (date):</t>
  </si>
  <si>
    <t>Name (Title) and Address of Security</t>
  </si>
  <si>
    <t>Common</t>
  </si>
  <si>
    <t>Preferred</t>
  </si>
  <si>
    <t>Holder</t>
  </si>
  <si>
    <t>Votes</t>
  </si>
  <si>
    <t xml:space="preserve"> (a)</t>
  </si>
  <si>
    <t>TOTAL votes of all voting securities</t>
  </si>
  <si>
    <t>TOTAL number of security holders</t>
  </si>
  <si>
    <t xml:space="preserve">TOTAL votes of security holders </t>
  </si>
  <si>
    <t xml:space="preserve">     listed below</t>
  </si>
  <si>
    <t>Page 106</t>
  </si>
  <si>
    <t>29-32</t>
  </si>
  <si>
    <t>1981</t>
  </si>
  <si>
    <t>30-36</t>
  </si>
  <si>
    <t>Jobbing and</t>
  </si>
  <si>
    <t>Average Consumption per Customer (T.Gal)</t>
  </si>
  <si>
    <t xml:space="preserve">Average Revenue per T Gallons Sold </t>
  </si>
  <si>
    <t>COMMERCIAL/INDUSTRIAL SALES</t>
  </si>
  <si>
    <t>OPERATION AND MAINTENANCE EXPENSES</t>
  </si>
  <si>
    <t>MAINTENANCE OF  SERVICES</t>
  </si>
  <si>
    <t xml:space="preserve">                                  Total (Account 134)</t>
  </si>
  <si>
    <t>Page 212</t>
  </si>
  <si>
    <t>NOTES AND ACCOUNTS RECEIVABLE (Accounts 141, 142, 143)</t>
  </si>
  <si>
    <t xml:space="preserve">Due to a large amount of data, some companies will be required to file additional pages to complete certain schedules.  If you are required to prepare insert pages, insert pages have been provided in the workspace below the applicable schedule.   The totals of the insert pages should be input on the relates schedule. The print function will not print the insert pages. As a result, you will have to print these manually. </t>
  </si>
  <si>
    <t xml:space="preserve">          TOTAL (Enter Total of lines 3 thru 7) </t>
  </si>
  <si>
    <t xml:space="preserve">     actual amounts.</t>
  </si>
  <si>
    <t xml:space="preserve">       (Less) Gains from Disp. of Utility Plant</t>
  </si>
  <si>
    <t xml:space="preserve">       Losses from Disp. of Utility Plant</t>
  </si>
  <si>
    <t xml:space="preserve">   3.  If at any time during the year the property of respondent was held by a receiver or</t>
  </si>
  <si>
    <t>Accumulated Deferred Balance at End of Period</t>
  </si>
  <si>
    <t>(313)   Lake, River and Other Intakes</t>
  </si>
  <si>
    <t>(313)</t>
  </si>
  <si>
    <t>(314)   Wells and Springs</t>
  </si>
  <si>
    <t>(314)</t>
  </si>
  <si>
    <t>MAINTENANCE OF  METERS</t>
  </si>
  <si>
    <t>MAINTENANCE OF  HYDRANTS</t>
  </si>
  <si>
    <t>MAINTENANCE OF  MISCELLANEOUS PLANTS</t>
  </si>
  <si>
    <t xml:space="preserve"> Description of Each Project</t>
  </si>
  <si>
    <t>DCA - Accrued OPEB</t>
  </si>
  <si>
    <t>rounding adjustment</t>
  </si>
  <si>
    <t>Report below the specified excess/deficient accumulated deferred Federal income taxes as of December 31 of the reporting year.</t>
  </si>
  <si>
    <t xml:space="preserve">2. </t>
  </si>
  <si>
    <t xml:space="preserve">   Net (Increase) Decrease in  Inventory</t>
  </si>
  <si>
    <t>Appropriated Retained Earnings</t>
  </si>
  <si>
    <t>Donations Received from Stockholders</t>
  </si>
  <si>
    <t>Page 210</t>
  </si>
  <si>
    <t>Federal Income Tax Payable</t>
  </si>
  <si>
    <t>listed in column (a).  If plant mortality studies are prepared to assist in estimating average service lives, show in column (f)</t>
  </si>
  <si>
    <t>332.B</t>
  </si>
  <si>
    <t xml:space="preserve">    the end of year for each projects in process, of construction.</t>
  </si>
  <si>
    <t>2. Minor projects may be grouped.</t>
  </si>
  <si>
    <t>Construction Work in</t>
  </si>
  <si>
    <t>COST OF FUNDS (BORROWING) FOR CONSTRUCTION</t>
  </si>
  <si>
    <t>MEDICAL COVERAGE</t>
  </si>
  <si>
    <t>COST OF INSURANCE AND DEPRECIATION</t>
  </si>
  <si>
    <t>of office where any other corporate books of account are kept, if different from that</t>
  </si>
  <si>
    <t>where the general corporate books are kept.</t>
  </si>
  <si>
    <t xml:space="preserve">         TOTAL Dividends Declared -- Common Stock (Acct. 438) (Total of lines 31 thru 35)</t>
  </si>
  <si>
    <t>Transfers from Acct. 216.1, Unappropriated Undistributed Subsidiary Earnings</t>
  </si>
  <si>
    <t xml:space="preserve">  the respondent's cost for the year and cost chargeable to others.</t>
  </si>
  <si>
    <t xml:space="preserve">  items grouped. </t>
  </si>
  <si>
    <t>in Account 188, Research, Development, and Demonstration</t>
  </si>
  <si>
    <t>tions below in a manner that clearly indicates the amount</t>
  </si>
  <si>
    <t>Page 403    sheet  1  of  5</t>
  </si>
  <si>
    <t>Page 403    sheet  2  of  5</t>
  </si>
  <si>
    <t>Page 403    sheet  3  of  5</t>
  </si>
  <si>
    <t>Page 403    sheet  4  of  5</t>
  </si>
  <si>
    <t>Page 403    sheet  5  of  5</t>
  </si>
  <si>
    <t>Source Michelle Rossi</t>
  </si>
  <si>
    <t>the year the thousand gallons sold, revenue, average</t>
  </si>
  <si>
    <t>one rate schedule in the same revenue account classification,</t>
  </si>
  <si>
    <t xml:space="preserve">number of customers, average thousand gallons sold per customer, </t>
  </si>
  <si>
    <t xml:space="preserve">    TOTAL Deferred Debits (Enter Total of lines 36 thru 44)</t>
  </si>
  <si>
    <t xml:space="preserve">       TOTAL Assets and Other Debits (Enter Total of lines 4, 14, 34,</t>
  </si>
  <si>
    <t>7.  For Account 399, state the nature and use of plant included in this account and if substantial in amount submit a supplementary</t>
  </si>
  <si>
    <t>Private Fire Protection Service</t>
  </si>
  <si>
    <t>463</t>
  </si>
  <si>
    <t>Pg 300, L 7, 8, 10 (d)</t>
  </si>
  <si>
    <t>Other Operating Revenues</t>
  </si>
  <si>
    <t>Pg 300, L 19 (d)</t>
  </si>
  <si>
    <t>adjusted by the year-to-date amortization.</t>
  </si>
  <si>
    <t>Tax-affected gain:</t>
  </si>
  <si>
    <t xml:space="preserve">     Tax rate</t>
  </si>
  <si>
    <t>17.</t>
  </si>
  <si>
    <t>2. Give reference to Commission approval, including date of approval, for extraordinary treatment</t>
  </si>
  <si>
    <t xml:space="preserve">    of any item which amounts to less than 5% of income. (See General Instruction section 561.7 </t>
  </si>
  <si>
    <t xml:space="preserve">    of the applicable Uniform System of Accounts.</t>
  </si>
  <si>
    <t>3. Income tax effects relating to each extraordinary item should be listed in Column (c).</t>
  </si>
  <si>
    <t>GROSS</t>
  </si>
  <si>
    <t>Pumping Plant</t>
  </si>
  <si>
    <t>Water Treatment Plant</t>
  </si>
  <si>
    <t>Transmission and Distribution Plant</t>
  </si>
  <si>
    <t>General Plant</t>
  </si>
  <si>
    <t>Common Plant-Water</t>
  </si>
  <si>
    <t>B.  Basis for Amortization Charges</t>
  </si>
  <si>
    <t>396.A</t>
  </si>
  <si>
    <t>396.B</t>
  </si>
  <si>
    <t>Wells with Common Suction</t>
  </si>
  <si>
    <t>Office Furn &amp; Fixture</t>
  </si>
  <si>
    <t>Layne &amp; Laumann Wells</t>
  </si>
  <si>
    <t>Office Machines</t>
  </si>
  <si>
    <t>Filters &amp; Yard Piping</t>
  </si>
  <si>
    <t xml:space="preserve">   Amortization  (113, 119.1,  119.2) </t>
  </si>
  <si>
    <t>Number of units,</t>
  </si>
  <si>
    <t xml:space="preserve">Depth of </t>
  </si>
  <si>
    <t>Normal</t>
  </si>
  <si>
    <t>construction</t>
  </si>
  <si>
    <t>Report on Line 3 items such as transfers of excess pension funds from the company's pension trust fund to an account set up under Section 401(h) of the Internal Revenue Code.</t>
  </si>
  <si>
    <t>Prepayments (165)</t>
  </si>
  <si>
    <t>Interest and Dividends Receivable (171)</t>
  </si>
  <si>
    <t>Rents Receivable (172)</t>
  </si>
  <si>
    <t>Accrued Utility Revenues (173)</t>
  </si>
  <si>
    <t>Acquisition Adjustments, Plant</t>
  </si>
  <si>
    <t>118,207</t>
  </si>
  <si>
    <t>Dividends</t>
  </si>
  <si>
    <t>Amortization of Water Plant</t>
  </si>
  <si>
    <t>Deposits, Special</t>
  </si>
  <si>
    <t xml:space="preserve">  (See definition of research, development, and demonstration in</t>
  </si>
  <si>
    <t>Pg 114, L 28 (d)</t>
  </si>
  <si>
    <t>Pg 114, L 29 (d)</t>
  </si>
  <si>
    <t>Accrued Utility Revenue</t>
  </si>
  <si>
    <t>Pg 114, L 32 (d)</t>
  </si>
  <si>
    <t>Misc Current and Accrued Assets</t>
  </si>
  <si>
    <t xml:space="preserve">         Cash Provided by Outside Sources (Total of lines 58 thru 66)</t>
  </si>
  <si>
    <t xml:space="preserve">   Payments for Retirement of:</t>
  </si>
  <si>
    <t xml:space="preserve">         Long-term Debt (b)</t>
  </si>
  <si>
    <t xml:space="preserve">   Net Decrease in Short-Term Debt (c)</t>
  </si>
  <si>
    <t>Uncollectible Accounts</t>
  </si>
  <si>
    <t>Vacation</t>
  </si>
  <si>
    <t>Incentive Plan</t>
  </si>
  <si>
    <t>Deferred Debits</t>
  </si>
  <si>
    <t>Federal Tax Net Income</t>
  </si>
  <si>
    <t>commencing with the highest.  Show in column (a) the titles</t>
  </si>
  <si>
    <t>460.2, 461.2</t>
  </si>
  <si>
    <t>Commercial Sales</t>
  </si>
  <si>
    <t xml:space="preserve">As billed for services </t>
  </si>
  <si>
    <t>3. Investment in Securities - List and describe each security owned, giving name of issuer.  For bonds give also principal amount, date of issue, maturity, and interest rate.</t>
  </si>
  <si>
    <t xml:space="preserve">     For capital stock state number of shares, class and series of stock.  Minor investments may be grouped by classes.</t>
  </si>
  <si>
    <t>PLANT #22, BALDWIN</t>
  </si>
  <si>
    <t xml:space="preserve">or individual (other than for services as an employee or for payments made for medical and related services) amounting to more than $1,000 in </t>
  </si>
  <si>
    <t xml:space="preserve">         TOTAL Dividends Declared -- Preferred Stock (Acct. 437) (Total of lines 24 thru 28)</t>
  </si>
  <si>
    <t>Dividends Declared -- Common Stock (Account 438)</t>
  </si>
  <si>
    <t>Gain and Loss on Disposition of Property</t>
  </si>
  <si>
    <t>317</t>
  </si>
  <si>
    <t>Particulars Concerning Certain Income Deduction and</t>
  </si>
  <si>
    <t xml:space="preserve">  Interest Charges Accounts</t>
  </si>
  <si>
    <t>340</t>
  </si>
  <si>
    <t>318-320</t>
  </si>
  <si>
    <t xml:space="preserve">6.  If pumpage data are not available for individual </t>
  </si>
  <si>
    <t>station in operation at any time during the year.</t>
  </si>
  <si>
    <t>Unamortized</t>
  </si>
  <si>
    <t>Internal</t>
  </si>
  <si>
    <t>External</t>
  </si>
  <si>
    <t>Accumulation</t>
  </si>
  <si>
    <t>Page 352</t>
  </si>
  <si>
    <t>Page 353</t>
  </si>
  <si>
    <t xml:space="preserve">    TOTAL  WATER (Enter Total of lines 12 thru 16)</t>
  </si>
  <si>
    <t xml:space="preserve">    Assigned to - Operations and Maintenance</t>
  </si>
  <si>
    <t>Common - Account 201</t>
  </si>
  <si>
    <t xml:space="preserve">Signature                                        </t>
  </si>
  <si>
    <t xml:space="preserve">Subscribed and sworn to before me a </t>
  </si>
  <si>
    <t>...................................................</t>
  </si>
  <si>
    <t>this ..............  day of ...................................  .......</t>
  </si>
  <si>
    <t xml:space="preserve">   [ use an im-</t>
  </si>
  <si>
    <t xml:space="preserve">       L.S.                   _____________________________</t>
  </si>
  <si>
    <t>State separately below for each reportable event having occurred since the company's initial compliance with SFAS-87, and for</t>
  </si>
  <si>
    <t>statement except where a note is applicable to more than</t>
  </si>
  <si>
    <t xml:space="preserve"> 5.  If any tax covers more than one year, show the required information separately for each tax year,</t>
  </si>
  <si>
    <t xml:space="preserve">     accounts during the year.  Do not include gasoline and other sales taxes which have been charged to the accounts to which the taxed material</t>
  </si>
  <si>
    <t>7.  Report separately research and related testing</t>
  </si>
  <si>
    <t xml:space="preserve">  year for jointly-sponsored projects.  (Identify recipient regardless</t>
  </si>
  <si>
    <t>Number at end of year</t>
  </si>
  <si>
    <t>Protected Excess Deferred Taxes</t>
  </si>
  <si>
    <t>We have checked the accuracy of the formulas and cell references in the file.  However, all corrections may not have been made.  If you feel that certain formulas or cell references in the file are incorrect, make the correction and describe the change on the Table of Contents under the column called "Remarks".</t>
  </si>
  <si>
    <t>Miscellaneous Plant Data</t>
  </si>
  <si>
    <t>204-207</t>
  </si>
  <si>
    <t>204-205</t>
  </si>
  <si>
    <t>Construction Work in Progress</t>
  </si>
  <si>
    <t>213</t>
  </si>
  <si>
    <t>206</t>
  </si>
  <si>
    <t>Construction Overheads</t>
  </si>
  <si>
    <t>214</t>
  </si>
  <si>
    <t>207</t>
  </si>
  <si>
    <t>Balance Sheet Supporting Schedules (Liabilities</t>
  </si>
  <si>
    <t xml:space="preserve">Attach herein (following this page) the respondent's latest annual report to stockholders. If such a report is not prepared, but if audited annual financial statements on which a certified public accountant expresses an opinion are regularly prepared and </t>
  </si>
  <si>
    <t>**</t>
  </si>
  <si>
    <t>**Various applicable work orders</t>
  </si>
  <si>
    <t>Account 410.1</t>
  </si>
  <si>
    <t xml:space="preserve">brief explanation of any action initiated by the Internal </t>
  </si>
  <si>
    <t xml:space="preserve">respondent company appearing in the annual report to the </t>
  </si>
  <si>
    <t>Retirements</t>
  </si>
  <si>
    <t>Transfers</t>
  </si>
  <si>
    <t xml:space="preserve">          1. INTANGIBLE PLANT</t>
  </si>
  <si>
    <t>(301)  Organization</t>
  </si>
  <si>
    <t>(301)</t>
  </si>
  <si>
    <t>(302)  Franchises and Consents</t>
  </si>
  <si>
    <t>(302)</t>
  </si>
  <si>
    <t>(303)  Miscellaneous Intangible Plant</t>
  </si>
  <si>
    <t xml:space="preserve">       the basis of determining the ultimate benefits receivable and the payments or provisions made during the year to each person</t>
  </si>
  <si>
    <t>2.</t>
  </si>
  <si>
    <t xml:space="preserve">(Gain) or Loss Due to a Temporary Deviation From a Substantive Plan </t>
  </si>
  <si>
    <t>Net Periodic OPEB Cost</t>
  </si>
  <si>
    <t>Report on line 1 the amount of overfunding remaining (excess of plan assets, adjusted for accrued or prepaid pension</t>
  </si>
  <si>
    <t xml:space="preserve">      Settlement gain or (loss): (10)-(11)</t>
  </si>
  <si>
    <t>water for public and private fire protection.</t>
  </si>
  <si>
    <t>WATER SALES (Thousands of Gallons)</t>
  </si>
  <si>
    <t>OTHER PROPERTY AND INVESTMENTS</t>
  </si>
  <si>
    <t>Nonutility Property (121)</t>
  </si>
  <si>
    <t>(Less) Capital Stock Expense (214)</t>
  </si>
  <si>
    <t>Retained Earnings (215,  216)</t>
  </si>
  <si>
    <t>(Less) Reacquired Capital Stock (217)</t>
  </si>
  <si>
    <t xml:space="preserve">   Amortization  (112, 119.1,  119.2)</t>
  </si>
  <si>
    <t>the entries in column (d) for the special schedule should denote</t>
  </si>
  <si>
    <t>Report the following information in days for Accounts 460 and 461:</t>
  </si>
  <si>
    <t>471</t>
  </si>
  <si>
    <t>Misc. Service Revenues</t>
  </si>
  <si>
    <t>years or to any paper or document should not be made in lieu of required entries except as</t>
  </si>
  <si>
    <t>specifically outlined.</t>
  </si>
  <si>
    <t>Show Computation of Tax:</t>
  </si>
  <si>
    <t>@ 35% Statutory Rate</t>
  </si>
  <si>
    <t>Deferred Income Taxes</t>
  </si>
  <si>
    <t>Investment Tax Credit</t>
  </si>
  <si>
    <t>Federal Income Tax</t>
  </si>
  <si>
    <t>Page 314</t>
  </si>
  <si>
    <t xml:space="preserve">      rate of each, cost to respondent, number of shares or principal amount, and book cost at end of year.</t>
  </si>
  <si>
    <t>Balance</t>
  </si>
  <si>
    <t>Unrecognized Prior Service Costs</t>
  </si>
  <si>
    <t>Report on Line 9 the expected long-term return on plan assets.</t>
  </si>
  <si>
    <t>Unrecognized Gains or (Losses)</t>
  </si>
  <si>
    <t>7.</t>
  </si>
  <si>
    <t>Customers' Meters</t>
  </si>
  <si>
    <t xml:space="preserve">    - Plant in Service</t>
  </si>
  <si>
    <t>and period of amortization (mo, yr to mo, yr.).]</t>
  </si>
  <si>
    <t>Charged</t>
  </si>
  <si>
    <t xml:space="preserve">          TOTAL</t>
  </si>
  <si>
    <t>MISCELLANEOUS DEFERRED DEBITS (Account 186)</t>
  </si>
  <si>
    <t>AFUDC Equity CWIP (AFUDC 2)</t>
  </si>
  <si>
    <t>PREVIOUS YEAR</t>
  </si>
  <si>
    <t xml:space="preserve"> NO.</t>
  </si>
  <si>
    <t>1.  SOURCE OF SUPPLY EXPENSES</t>
  </si>
  <si>
    <t xml:space="preserve">     to Use for OPEB Purposes</t>
  </si>
  <si>
    <t>Interest Accrued on Fund Balance</t>
  </si>
  <si>
    <t>Cost Benefits Paid to or for Plan Participants</t>
  </si>
  <si>
    <t>Amount Transferred to an External OPEB Dedicated Fund</t>
  </si>
  <si>
    <t>Other Debits or Credits to the Internal Reserve *</t>
  </si>
  <si>
    <t>Balance in Internal Reserve at End of the Period</t>
  </si>
  <si>
    <t>Balance of Deferred Income Tax Applicable to the Internal Reserve</t>
  </si>
  <si>
    <t>Interest Rate Applied  to Internal Reserve  Balances</t>
  </si>
  <si>
    <t>Internal Reserve Balance Subject to Accrual of Interest (net of tax)</t>
  </si>
  <si>
    <t>Amount of</t>
  </si>
  <si>
    <t xml:space="preserve">       Premium or</t>
  </si>
  <si>
    <t>of Issue</t>
  </si>
  <si>
    <t>Date From</t>
  </si>
  <si>
    <t>Date To</t>
  </si>
  <si>
    <t>propriation of retained earnings.</t>
  </si>
  <si>
    <t>eventually to be accumulated.</t>
  </si>
  <si>
    <t>Preliminary Survey and Investigative Charges (183)</t>
  </si>
  <si>
    <t>Clearing Accounts (184)</t>
  </si>
  <si>
    <t>and average revenue per thousand gallons.</t>
  </si>
  <si>
    <t>the duplication in number of reported customers.</t>
  </si>
  <si>
    <t>326-327</t>
  </si>
  <si>
    <t>Leased to Others (104)</t>
  </si>
  <si>
    <t>Held for Future Use  (105)</t>
  </si>
  <si>
    <t xml:space="preserve">   Sales and Use</t>
  </si>
  <si>
    <t xml:space="preserve">   Petroleum Business Tax - New York</t>
  </si>
  <si>
    <t>Local:</t>
  </si>
  <si>
    <t xml:space="preserve">   Real Estate</t>
  </si>
  <si>
    <t>New York State Intrastate Revenues</t>
  </si>
  <si>
    <t>are made monthly).</t>
  </si>
  <si>
    <t>revenue account, list the rate schedule and sales data under</t>
  </si>
  <si>
    <t>each applicable revenue account subheading.</t>
  </si>
  <si>
    <t>Thousand</t>
  </si>
  <si>
    <t>Average</t>
  </si>
  <si>
    <t>Revenue Per</t>
  </si>
  <si>
    <t xml:space="preserve">the Public Service Commission, Albany, N.Y., on or before the 31st of March next following the end of </t>
  </si>
  <si>
    <t>If required, see insert page below.</t>
  </si>
  <si>
    <t>Page 359-A</t>
  </si>
  <si>
    <t>Pension Cost Capitalized</t>
  </si>
  <si>
    <t>Chemicals Equipment</t>
  </si>
  <si>
    <t>Tool &amp; Work Equipment</t>
  </si>
  <si>
    <t>Mains Under 6"</t>
  </si>
  <si>
    <t>Compressors</t>
  </si>
  <si>
    <t>Mains Over 6", All CI Mains</t>
  </si>
  <si>
    <t>Diggers</t>
  </si>
  <si>
    <t>Mains-Paving</t>
  </si>
  <si>
    <t>Meters</t>
  </si>
  <si>
    <t>Meter Installation</t>
  </si>
  <si>
    <t>Office Building</t>
  </si>
  <si>
    <t>Shop, Garage, &amp; Store</t>
  </si>
  <si>
    <t>*Accounts 301, 302, 310, 320, 340.1, and 389 are nondepreciable</t>
  </si>
  <si>
    <t>3.  If the respondent owns the services from the mains to the curb or</t>
  </si>
  <si>
    <t>delivery of water from the distribution mains.  If the respondent has two or more</t>
  </si>
  <si>
    <t xml:space="preserve">Miscellaneous prepayments: (specify:) </t>
  </si>
  <si>
    <t>Page 215</t>
  </si>
  <si>
    <t>EXTRAORDINARY PROPERTY LOSSES (Account 182)</t>
  </si>
  <si>
    <t>Description of Extraordinary Loss</t>
  </si>
  <si>
    <t>Losses</t>
  </si>
  <si>
    <t>WRITTEN OFF DURING</t>
  </si>
  <si>
    <t>[Include in the description the date of loss,</t>
  </si>
  <si>
    <t>American Water Works Company</t>
  </si>
  <si>
    <t>1025 Laurel Oak Road</t>
  </si>
  <si>
    <t>Voorhees, NJ  08043</t>
  </si>
  <si>
    <t>None</t>
  </si>
  <si>
    <t xml:space="preserve">   Payroll Clearing</t>
  </si>
  <si>
    <t>Area of</t>
  </si>
  <si>
    <t xml:space="preserve">Year of </t>
  </si>
  <si>
    <t>Maxi-</t>
  </si>
  <si>
    <t>Depth</t>
  </si>
  <si>
    <t>water shed</t>
  </si>
  <si>
    <t>Location</t>
  </si>
  <si>
    <t>construc-</t>
  </si>
  <si>
    <t>Type and</t>
  </si>
  <si>
    <t>Length</t>
  </si>
  <si>
    <t>mum</t>
  </si>
  <si>
    <t>Num-</t>
  </si>
  <si>
    <t>Kind</t>
  </si>
  <si>
    <t>Diameter</t>
  </si>
  <si>
    <t>below</t>
  </si>
  <si>
    <t>sq. miles</t>
  </si>
  <si>
    <t>(village or town)</t>
  </si>
  <si>
    <t>tion</t>
  </si>
  <si>
    <t>material</t>
  </si>
  <si>
    <t>ft.</t>
  </si>
  <si>
    <t>height</t>
  </si>
  <si>
    <t>ber</t>
  </si>
  <si>
    <t xml:space="preserve">  7.  Enter on page 124-125 a concise explanation of only those</t>
  </si>
  <si>
    <t xml:space="preserve">      classified to the various reserve functional classifications, make preliminary closing entries to tentatively functionalize the book cost of the</t>
  </si>
  <si>
    <t>Total Excess Deferred Taxes</t>
  </si>
  <si>
    <t>Deficient Deferred Taxes</t>
  </si>
  <si>
    <t>Whitehouse Ave.</t>
  </si>
  <si>
    <t>Chautauqua Ave.</t>
  </si>
  <si>
    <t>Cleveland St.</t>
  </si>
  <si>
    <t>Seaman Ave.</t>
  </si>
  <si>
    <t>Services-Repl-Atlantic Beach</t>
  </si>
  <si>
    <t>Services-Repl-Island Park</t>
  </si>
  <si>
    <t>Services-Repl-Lynbrook</t>
  </si>
  <si>
    <t>Services-Repl-Malverne</t>
  </si>
  <si>
    <t>Hydr &amp; Vlvs-Rep-Lawrence</t>
  </si>
  <si>
    <t>Services-New-Lawrence</t>
  </si>
  <si>
    <t>redrill well 9-2a</t>
  </si>
  <si>
    <t>DISTRIBUTION  RESERVOIRS AND STANDPIPES</t>
  </si>
  <si>
    <t xml:space="preserve">1. Show the requested information concerning  structures employed </t>
  </si>
  <si>
    <t>Report on line 1 the actuarial present value of benefits determined as of a specific date during the calendar year according</t>
  </si>
  <si>
    <t>to the terms of a pension plan and based on employees' compensation and service to that date (salary progression is not</t>
  </si>
  <si>
    <t xml:space="preserve">   4.  For advances from Associated Companies, report </t>
  </si>
  <si>
    <t>not be netted.</t>
  </si>
  <si>
    <t xml:space="preserve">advances, show for each company: (a) principal </t>
  </si>
  <si>
    <t>Dividends Declared -- Preferred Stock (Account 437)</t>
  </si>
  <si>
    <t>Income from Merchandising, Jobbing and Contract Work</t>
  </si>
  <si>
    <t>315</t>
  </si>
  <si>
    <t>Particulars Concerning Certain Other Income Accounts</t>
  </si>
  <si>
    <t>332</t>
  </si>
  <si>
    <t>316</t>
  </si>
  <si>
    <t>Extraordinary Items</t>
  </si>
  <si>
    <t>321</t>
  </si>
  <si>
    <t xml:space="preserve">If the respondent's annual report to stockholders or audited annual financial statements are prepared on a fiscal year basis, then a statement shall be included stating that, except as noted, the major financial statements are prepared on the same basis </t>
  </si>
  <si>
    <t xml:space="preserve">as in this annual report to the Commission and are in conformity with this Commission's </t>
  </si>
  <si>
    <t xml:space="preserve">shall contain an explanation of all differences in reporting. </t>
  </si>
  <si>
    <t>applicable Uniform System of Accounts.</t>
  </si>
  <si>
    <t>UTILITY OPERATING INCOME</t>
  </si>
  <si>
    <t>Operating Revenues (400)</t>
  </si>
  <si>
    <t xml:space="preserve">       Operation Expenses (401)</t>
  </si>
  <si>
    <t>Unless composite depreciation accounting for total depreciable plant is followed, list numerically in column (a) each plant</t>
  </si>
  <si>
    <t>314.B</t>
  </si>
  <si>
    <t xml:space="preserve">   1.  Report by balance sheet account the particulars (details) </t>
  </si>
  <si>
    <t>310</t>
  </si>
  <si>
    <t>Depreciation and Amortization of Water Plant</t>
  </si>
  <si>
    <t xml:space="preserve">  2. Designate with a double asterisk any property which is leased to another company. State name of lessee and whether lessee is an </t>
  </si>
  <si>
    <t>Temporary Facilities (185)</t>
  </si>
  <si>
    <t>Miscellaneous Deferred Debits (186)</t>
  </si>
  <si>
    <t>be reflected because it represents a reduction of future pretax pension expense.</t>
  </si>
  <si>
    <t>If the event involves the purchase of an annuity contract(s), state whether they are participating or nonparticipating</t>
  </si>
  <si>
    <t xml:space="preserve">      and show in column (f) only the offset to the debits or credits distributed in column (f) to primary account classifications.</t>
  </si>
  <si>
    <t xml:space="preserve">4.     If the report is made for a period other than the calendar year, the period covered must be clearly </t>
  </si>
  <si>
    <t>stated on the front cover and elsewhere throughout the report where the period covered is shown.  When</t>
  </si>
  <si>
    <t>such purpose should be so designated by appropriate footnotes.</t>
  </si>
  <si>
    <t>Size Hydrant</t>
  </si>
  <si>
    <t>Hose Connections</t>
  </si>
  <si>
    <t xml:space="preserve">         TOTAL Credits to Retained Earnings (Acct. 439) (Total of lines 4 thru 8)</t>
  </si>
  <si>
    <t>**Plants 1 &amp; 4 contains a standby diesel generator.</t>
  </si>
  <si>
    <t xml:space="preserve">    - Investments in</t>
  </si>
  <si>
    <t>LIWATER.XLS</t>
  </si>
  <si>
    <t>NYAWATER.XLS</t>
  </si>
  <si>
    <t>NYWWATER.XLS</t>
  </si>
  <si>
    <t>612</t>
  </si>
  <si>
    <t>1300</t>
  </si>
  <si>
    <t>1420</t>
  </si>
  <si>
    <t>1972</t>
  </si>
  <si>
    <t>1404</t>
  </si>
  <si>
    <t>LAKEVIEW</t>
  </si>
  <si>
    <t>33.5</t>
  </si>
  <si>
    <t>1941</t>
  </si>
  <si>
    <t>530</t>
  </si>
  <si>
    <t>70</t>
  </si>
  <si>
    <t>1951</t>
  </si>
  <si>
    <t>DRIVEN</t>
  </si>
  <si>
    <t>179</t>
  </si>
  <si>
    <t>96</t>
  </si>
  <si>
    <t>750</t>
  </si>
  <si>
    <t>1956</t>
  </si>
  <si>
    <t>504</t>
  </si>
  <si>
    <t>64</t>
  </si>
  <si>
    <t>1958</t>
  </si>
  <si>
    <t>27.5</t>
  </si>
  <si>
    <t>503</t>
  </si>
  <si>
    <t>65</t>
  </si>
  <si>
    <t>1964</t>
  </si>
  <si>
    <t>560</t>
  </si>
  <si>
    <t>555</t>
  </si>
  <si>
    <t>HEWLETT</t>
  </si>
  <si>
    <t>40-41</t>
  </si>
  <si>
    <t>1963</t>
  </si>
  <si>
    <t>29-34</t>
  </si>
  <si>
    <t>31-38</t>
  </si>
  <si>
    <t>30-40</t>
  </si>
  <si>
    <t>1973</t>
  </si>
  <si>
    <t>29-44</t>
  </si>
  <si>
    <t>1976</t>
  </si>
  <si>
    <t>Accounts Written Off</t>
  </si>
  <si>
    <t>Collection of Accounts Written Off</t>
  </si>
  <si>
    <t>Balance End of Year</t>
  </si>
  <si>
    <t>of such securities or assets so entitled to be purchased by any</t>
  </si>
  <si>
    <t xml:space="preserve">names of the security holders in the order of voting power, </t>
  </si>
  <si>
    <t>Amounts</t>
  </si>
  <si>
    <t>Net Cash Flow from Operating Activities:</t>
  </si>
  <si>
    <t xml:space="preserve">     Net Income</t>
  </si>
  <si>
    <t xml:space="preserve">     Noncash Charges (Credits) to Income:</t>
  </si>
  <si>
    <t xml:space="preserve">          Depreciation and Depletion</t>
  </si>
  <si>
    <t>income, and the amount thereof for the year.  Minor items may be</t>
  </si>
  <si>
    <t xml:space="preserve">  depreciation, rents, amortization and net income, before</t>
  </si>
  <si>
    <t>grouped.</t>
  </si>
  <si>
    <t>Income from Nonutility Operations (Accounts 417 and 417.1)</t>
  </si>
  <si>
    <t>Miscellaneous Nonoperating Income (Account 421)</t>
  </si>
  <si>
    <t>Page 316</t>
  </si>
  <si>
    <t>GAIN OR LOSS ON DISPOSITION OF PROPERTY  (Accounts421.1 and 421.2)</t>
  </si>
  <si>
    <t>respect to the amount of bonds or other long-term debt</t>
  </si>
  <si>
    <t xml:space="preserve">tion debited to Account 428, Amortization of Debt </t>
  </si>
  <si>
    <t xml:space="preserve">         (b) Bonds, debentures and other long-term debt.</t>
  </si>
  <si>
    <t xml:space="preserve">     each State and subdivision can readily be ascertained.</t>
  </si>
  <si>
    <t xml:space="preserve">  b. the amount deferred on the balance sheet</t>
  </si>
  <si>
    <t>benefit payments.  It should also reflect any plan changes made during the year.</t>
  </si>
  <si>
    <t>Pg 1, L 26, 32</t>
  </si>
  <si>
    <t>Pretax Income</t>
  </si>
  <si>
    <t>Pg 2, L 6, 10, 15 - L 16</t>
  </si>
  <si>
    <t>and closing balances.  If any of the property involved has an income producing status during the year,</t>
  </si>
  <si>
    <t>division or function (such as sales, administration or finance), and any other person who performs similar policy making functions.</t>
  </si>
  <si>
    <t>5.  If any person reported hereunder received compensation from more than one affiliated company or was carried on the payroll</t>
  </si>
  <si>
    <t>3.</t>
  </si>
  <si>
    <t>NONUTILITY PROPERTY (Account 121)</t>
  </si>
  <si>
    <t>Reconciliation between PSC and Stockholders Report</t>
  </si>
  <si>
    <t>110-113</t>
  </si>
  <si>
    <t>{Home}</t>
  </si>
  <si>
    <t>{Set "Print-Orientation";"Portrait"}</t>
  </si>
  <si>
    <t>{Set "Print-Size";"Fit-All"}</t>
  </si>
  <si>
    <t>{Set "Print-Margin-Top";".5in"}</t>
  </si>
  <si>
    <t>{Set "Print-Margin-Bottom";".5in"}</t>
  </si>
  <si>
    <t>{Set "Print-Margin-Right";".5in"}</t>
  </si>
  <si>
    <t>LIST OF SCHEDULES</t>
  </si>
  <si>
    <t>Reference</t>
  </si>
  <si>
    <t>during the year.  There should be a brief description and amounts, of transactions earned through</t>
  </si>
  <si>
    <t>Capital contribution by stockholder (AWCC) - Equity Infusion</t>
  </si>
  <si>
    <t>Capital contribution by stockholder (AWCC) - Stock Based Comp Costs</t>
  </si>
  <si>
    <t xml:space="preserve">   (a) name of person or organization rendering services in alphabetical order,</t>
  </si>
  <si>
    <t>Total accumulated gain or (loss): (1)+(2)+(5)+(9)+(12)</t>
  </si>
  <si>
    <t xml:space="preserve">   Amort. of Plant Acquisition Adj.</t>
  </si>
  <si>
    <t xml:space="preserve">          TOTAL Accumulated Provisions (Should agree with line 16 above)</t>
  </si>
  <si>
    <t>(Enter Total of lines 23, 27, 31 and 32)</t>
  </si>
  <si>
    <t>NYSPSC  347-97</t>
  </si>
  <si>
    <t>Accounts Payable to Associated Companies (234)</t>
  </si>
  <si>
    <t>Customer Deposits (235)</t>
  </si>
  <si>
    <t>Advances from Associated Companies (223)</t>
  </si>
  <si>
    <t>Other Long-Term Debt (224)</t>
  </si>
  <si>
    <t>Unamortized Premium on Long-Term Debt (225)</t>
  </si>
  <si>
    <t>Than Pensions"  (Case 91-M-0890, issued and effective September 7, 1993).   The amounts reported below are to be consistent with the</t>
  </si>
  <si>
    <t>definitions and intent contained in that Statement.</t>
  </si>
  <si>
    <t xml:space="preserve">     Other public authorities</t>
  </si>
  <si>
    <t xml:space="preserve">     Other public authorities Lawn Sprinkler</t>
  </si>
  <si>
    <t xml:space="preserve">Report on Line 12 the balance of the reserve, net of its related deferred income tax effect, which is subject to the </t>
  </si>
  <si>
    <t>accrual of interest.</t>
  </si>
  <si>
    <t>(399)  Other Tangible Property</t>
  </si>
  <si>
    <t>(399)</t>
  </si>
  <si>
    <t xml:space="preserve">  Total General Plant  (sum lines 45  thru 55)</t>
  </si>
  <si>
    <t>2.  On page 208 furnish information concerning construction overheads.</t>
  </si>
  <si>
    <t>Pg 300, L 5, 6 (d)</t>
  </si>
  <si>
    <t>Pg 300, L 9 (d)</t>
  </si>
  <si>
    <t>Other Sales</t>
  </si>
  <si>
    <t>Accrued OPEB (OPEB 1)</t>
  </si>
  <si>
    <t xml:space="preserve">   Dividends on Preferred Stock</t>
  </si>
  <si>
    <t>PLANT #1 ROOSEVELT</t>
  </si>
  <si>
    <t xml:space="preserve">    "       "       "</t>
  </si>
  <si>
    <t>SODIUM HYPOCHLORITE TANK</t>
  </si>
  <si>
    <t>LIME SLURRY TANK</t>
  </si>
  <si>
    <t>LIME SLURRY PUMP</t>
  </si>
  <si>
    <t>1993</t>
  </si>
  <si>
    <t>1975</t>
  </si>
  <si>
    <t>Sedimentation</t>
  </si>
  <si>
    <t>Coagulation</t>
  </si>
  <si>
    <t>Softening</t>
  </si>
  <si>
    <t>Iron Removal</t>
  </si>
  <si>
    <t>Filtration  (Specify method)</t>
  </si>
  <si>
    <t>Aeration</t>
  </si>
  <si>
    <t>CHLORINE</t>
  </si>
  <si>
    <t>SODIUM SILICATE</t>
  </si>
  <si>
    <t>LIME</t>
  </si>
  <si>
    <t>Quantity purified</t>
  </si>
  <si>
    <t>Quantity not purified</t>
  </si>
  <si>
    <t>Year Ended December 31, 2009</t>
  </si>
  <si>
    <t>distributed subsidiary earnings for the year.</t>
  </si>
  <si>
    <t>of items shown in account 439, Adjustments to Retained</t>
  </si>
  <si>
    <t xml:space="preserve">     Include at Other (line 29) net cash outflow to acquire</t>
  </si>
  <si>
    <t>Deferred Pension</t>
  </si>
  <si>
    <t>stockholders are applicable in every respect and furnish the</t>
  </si>
  <si>
    <t>mission authorization, if any was required.  State also the ap-</t>
  </si>
  <si>
    <t xml:space="preserve">   be treated as a single refund if they share a common cause such as a common act of negotiation legisla-</t>
  </si>
  <si>
    <t xml:space="preserve">   tion, adjudication or rulemaking.</t>
  </si>
  <si>
    <t>Nonutility Property (Net)</t>
  </si>
  <si>
    <t>Deferred Financial Services Costs</t>
  </si>
  <si>
    <t xml:space="preserve"> 8.  Report in columns (i) through (q) how the taxes were distributed.</t>
  </si>
  <si>
    <t xml:space="preserve">     accounts other than accrued and prepaid tax accounts.</t>
  </si>
  <si>
    <t>Atlantic Beach</t>
  </si>
  <si>
    <t>Describe the actual consideration given therefor and state from</t>
  </si>
  <si>
    <t>amendments.</t>
  </si>
  <si>
    <t xml:space="preserve">     1.  Report the information called for below, concerning the respondent's accounting for deferred</t>
  </si>
  <si>
    <t>income taxes.</t>
  </si>
  <si>
    <t xml:space="preserve">  expenses that are not deferred and the current year's</t>
  </si>
  <si>
    <t xml:space="preserve">  which are being amortized.  List in column (a) the period of</t>
  </si>
  <si>
    <t>during year which were charged currently to income,</t>
  </si>
  <si>
    <t>Leaf #71-Service Class #3 - Lawn Sprinkler</t>
  </si>
  <si>
    <t>All revenue includes revenue taxes.</t>
  </si>
  <si>
    <t xml:space="preserve">Lawn sprinkler customers are also </t>
  </si>
  <si>
    <t>residential customers.</t>
  </si>
  <si>
    <t>or contingent; if contingent, describe the contingency.</t>
  </si>
  <si>
    <t>for each issuance, then the amount of premium (in parentheses)</t>
  </si>
  <si>
    <t xml:space="preserve">12.  In a footnote, give explanatory </t>
  </si>
  <si>
    <t xml:space="preserve">          Total Retained Earnings</t>
  </si>
  <si>
    <t>CASH FLOW STATEMENT</t>
  </si>
  <si>
    <t>Cash Flows From Operating Activities</t>
  </si>
  <si>
    <t>6.     Upon filing, the report may, if desired, be permanently bound.  If it is so bound, the  requirement for page by</t>
  </si>
  <si>
    <t>SALES OF WATER BY MUNICIPALITIES</t>
  </si>
  <si>
    <t>options made during the reporting year.  Quantify the effects of each revision on each of the amounts reported on</t>
  </si>
  <si>
    <t>Page **.  Use a separate insert sheet if more space is necessary.</t>
  </si>
  <si>
    <t>Page 363</t>
  </si>
  <si>
    <t>ANALYSIS OF OPEB COSTS, FUNDING AND DEFERRALS  (Continued)</t>
  </si>
  <si>
    <t>Company</t>
  </si>
  <si>
    <t>ANALYSIS OF OPEB COSTS</t>
  </si>
  <si>
    <t>Accumulated Benefit Obligation Attributable to:</t>
  </si>
  <si>
    <t xml:space="preserve">     Gain or (loss): (3)-(4)</t>
  </si>
  <si>
    <t>Net Proceeds (Payments) - Issuing &amp; Retiring:</t>
  </si>
  <si>
    <t>Legal Charges</t>
  </si>
  <si>
    <t>Regulatory Asset - Noncurrent</t>
  </si>
  <si>
    <t xml:space="preserve">    Give particulars (details) in column (a) of any nominally issued capital stock, reacquired stock, or stock in sinking and other funds </t>
  </si>
  <si>
    <t>Total Costs and Expenses</t>
  </si>
  <si>
    <t>Net Income (before taxes)</t>
  </si>
  <si>
    <t>Taxes:( 408,409)</t>
  </si>
  <si>
    <t xml:space="preserve"> Federal</t>
  </si>
  <si>
    <t xml:space="preserve"> State</t>
  </si>
  <si>
    <t xml:space="preserve"> Other</t>
  </si>
  <si>
    <t>Total Taxes</t>
  </si>
  <si>
    <t>Net Income (after taxes)</t>
  </si>
  <si>
    <t>Page 315</t>
  </si>
  <si>
    <t>15.  If interest expense was incurred during the year on</t>
  </si>
  <si>
    <t>Balance Transferred from Income (Account 433 less Account 418.1)</t>
  </si>
  <si>
    <t>Appropriations of Retained Earnings (Account 436)</t>
  </si>
  <si>
    <t xml:space="preserve"> 3.  Use footnotes as required.</t>
  </si>
  <si>
    <t xml:space="preserve">  2.  For Other (Specify), include deferrals relating to other income and deductions.</t>
  </si>
  <si>
    <t>CHANGES DURING YEAR</t>
  </si>
  <si>
    <t>ADJUSTMENTS</t>
  </si>
  <si>
    <t xml:space="preserve">                           Debits</t>
  </si>
  <si>
    <t>DEPRECIATION AND AMORTIZATION OF WATER PLANT (Accounts 403, 404, 405)</t>
  </si>
  <si>
    <t>authorized by a regulatory commission but not yet issued</t>
  </si>
  <si>
    <t>Other Deferred Credits</t>
  </si>
  <si>
    <t>PTC Settlement</t>
  </si>
  <si>
    <t>PBOP Tracker</t>
  </si>
  <si>
    <t>Pension Tracker</t>
  </si>
  <si>
    <t>Total Temporary Differences</t>
  </si>
  <si>
    <t>Federal Taxable Income Before SIT</t>
  </si>
  <si>
    <t>Federal Taxable Income</t>
  </si>
  <si>
    <t>Provision Adjustment</t>
  </si>
  <si>
    <t>Nondeductible Dues</t>
  </si>
  <si>
    <t>Regulatory Pension (Pension 1)</t>
  </si>
  <si>
    <t>Amortization of Regulatory (AFUDC 3)</t>
  </si>
  <si>
    <t>Deferred Maintenance (Maint 1)</t>
  </si>
  <si>
    <t>(Incl. in Acct. 165)</t>
  </si>
  <si>
    <t>(Account 408.1,409.1)</t>
  </si>
  <si>
    <t xml:space="preserve">  417.1) - Describe each nonutility operation, maintenance,</t>
  </si>
  <si>
    <t>650</t>
  </si>
  <si>
    <t>So. HEMPSTEAD</t>
  </si>
  <si>
    <t>1957</t>
  </si>
  <si>
    <t>48.5</t>
  </si>
  <si>
    <t>581</t>
  </si>
  <si>
    <t>amount amortization of previously deferred gains or losses as these amounts are to be reported on line 17.</t>
  </si>
  <si>
    <t xml:space="preserve">Discount Rate </t>
  </si>
  <si>
    <t>8.</t>
  </si>
  <si>
    <t>Prepaid insurance</t>
  </si>
  <si>
    <t xml:space="preserve">  cost of property classified as nonutility operations should</t>
  </si>
  <si>
    <t xml:space="preserve">   Net Cash From Operating Activities</t>
  </si>
  <si>
    <t>Cash Flows From Investing Activities</t>
  </si>
  <si>
    <t>Cash Outflows For Construction</t>
  </si>
  <si>
    <t>Pg 122, L 32 (b)</t>
  </si>
  <si>
    <t>Acquisition Of Other Non-Current Assets</t>
  </si>
  <si>
    <t>Pg 122, L 34=&gt;36 (b)</t>
  </si>
  <si>
    <t>Investments In &amp; Advances to Affiliates.</t>
  </si>
  <si>
    <t>Pg 122, L 37 (b)</t>
  </si>
  <si>
    <t>Stock</t>
  </si>
  <si>
    <t>Life Insurance</t>
  </si>
  <si>
    <t>Other</t>
  </si>
  <si>
    <t>Total</t>
  </si>
  <si>
    <t>No.</t>
  </si>
  <si>
    <t>Name of Person</t>
  </si>
  <si>
    <t>12-88</t>
  </si>
  <si>
    <t>number of such transactions disclosed in column (a).</t>
  </si>
  <si>
    <t>acquired by another utility or associated company) and the</t>
  </si>
  <si>
    <t>3. Give the date of Commission approval of journal entries in</t>
  </si>
  <si>
    <t>date transaction was completed.  Identify property by type:</t>
  </si>
  <si>
    <t>column (b), when approval is required.  Where approval is</t>
  </si>
  <si>
    <t>3.  If the respondent has two or more distribution systems, the entries</t>
  </si>
  <si>
    <t>in stock during the year, and also the information called for concerning meters</t>
  </si>
  <si>
    <t xml:space="preserve">  3.  Use page 124-125 for important notes regarding the state-</t>
  </si>
  <si>
    <t xml:space="preserve">to retain such revenues or recover amounts paid with </t>
  </si>
  <si>
    <t xml:space="preserve">Below </t>
  </si>
  <si>
    <t xml:space="preserve">Method of </t>
  </si>
  <si>
    <t>under which a conversion liability existed under Account 203,</t>
  </si>
  <si>
    <t>without par value.</t>
  </si>
  <si>
    <t xml:space="preserve">                      Name of Account and Description of Item</t>
  </si>
  <si>
    <t>Number of Shares</t>
  </si>
  <si>
    <t>Average Construction</t>
  </si>
  <si>
    <t>Work in Progress Balance</t>
  </si>
  <si>
    <t>7. ADMINISTRATIVE AND GENERAL EXPENSES</t>
  </si>
  <si>
    <t>ADMINISTRATION &amp; GENERAL SALARIES</t>
  </si>
  <si>
    <t>OFFICE SUPPLIES &amp; OTHER EXPENSES</t>
  </si>
  <si>
    <t>ADMINISTRATIVE EXPENSES TRANSFERRED - CR.</t>
  </si>
  <si>
    <t xml:space="preserve">     Net Cash Provided by (Used in) Operating Activities (Total of lines 2 thru 20)</t>
  </si>
  <si>
    <t>for other interest charges incurred during the year.</t>
  </si>
  <si>
    <t>Miscellaneous Amortization (Account 425)</t>
  </si>
  <si>
    <t>3. Insert in the column headings preceding the abbreviation "gals." the initial</t>
  </si>
  <si>
    <t xml:space="preserve">letter of Thousand, Million or Billion to indicate the unit in which the </t>
  </si>
  <si>
    <t xml:space="preserve">(391)  Office Furniture &amp; Equipment </t>
  </si>
  <si>
    <t>(391)</t>
  </si>
  <si>
    <t>(392)  Transportation Equipment</t>
  </si>
  <si>
    <t>(392)</t>
  </si>
  <si>
    <t>(393)  Stores Equipment</t>
  </si>
  <si>
    <t>* If book cost is different from cost to respondent, give cost to respondent in a footnote and explain difference.</t>
  </si>
  <si>
    <t>(4)</t>
  </si>
  <si>
    <t>(5)</t>
  </si>
  <si>
    <t xml:space="preserve">  Operating Reserves</t>
  </si>
  <si>
    <t xml:space="preserve">  Income Taxes</t>
  </si>
  <si>
    <t>Page 111</t>
  </si>
  <si>
    <t>Income Statement</t>
  </si>
  <si>
    <t>Operating Revenues</t>
  </si>
  <si>
    <t>(Taxes Accrued</t>
  </si>
  <si>
    <t>Other Utility Depts.</t>
  </si>
  <si>
    <t>Statement of Cash Flows</t>
  </si>
  <si>
    <t>122-123</t>
  </si>
  <si>
    <t>Notes to the Financial Statements</t>
  </si>
  <si>
    <t>124-125</t>
  </si>
  <si>
    <t>Balance Sheet Supporting Schedules (Assets</t>
  </si>
  <si>
    <t>and Other Debits)</t>
  </si>
  <si>
    <t>Summary of Utility Plant and Accumulated Provision for</t>
  </si>
  <si>
    <t xml:space="preserve">  Depreciation, Amortization, and Depletion</t>
  </si>
  <si>
    <t>200-201</t>
  </si>
  <si>
    <t>12-89</t>
  </si>
  <si>
    <t>Water Plant in Service</t>
  </si>
  <si>
    <t>Prepaid other</t>
  </si>
  <si>
    <t>14.5</t>
  </si>
  <si>
    <t>1896&amp;1994</t>
  </si>
  <si>
    <t>13.0</t>
  </si>
  <si>
    <t xml:space="preserve">   "     "  </t>
  </si>
  <si>
    <t>1906&amp;1994</t>
  </si>
  <si>
    <t>31.0</t>
  </si>
  <si>
    <t>1956&amp;1976</t>
  </si>
  <si>
    <t>29.8</t>
  </si>
  <si>
    <t>26.0</t>
  </si>
  <si>
    <t>37.8</t>
  </si>
  <si>
    <t>1950</t>
  </si>
  <si>
    <t>20.2</t>
  </si>
  <si>
    <t>1951,2000</t>
  </si>
  <si>
    <t>Year of Report</t>
  </si>
  <si>
    <t>December 31,1996</t>
  </si>
  <si>
    <t>3.  If preceding year columns (e), (g) and (i) are not derived from previously reported figures, explain any inconsistencies.</t>
  </si>
  <si>
    <t>Number of Thousand Gallons Sold</t>
  </si>
  <si>
    <t>Average Number of Customers</t>
  </si>
  <si>
    <t>Per Month</t>
  </si>
  <si>
    <t>Account Title</t>
  </si>
  <si>
    <t>for</t>
  </si>
  <si>
    <t>SALES OF WATER</t>
  </si>
  <si>
    <t>460.1, 461.1</t>
  </si>
  <si>
    <t>Residential Sales</t>
  </si>
  <si>
    <t>OUTSIDE SERVICES EMPLOYED</t>
  </si>
  <si>
    <t>PROPERTY INSURANCE</t>
  </si>
  <si>
    <t>(d) Provide a fair return to our shareholders.</t>
  </si>
  <si>
    <t>CWIP as a % of Plant</t>
  </si>
  <si>
    <t>5 Year Book Source</t>
  </si>
  <si>
    <t>Current Assets</t>
  </si>
  <si>
    <t>Pg 1, L 13</t>
  </si>
  <si>
    <t>Current Liabilities</t>
  </si>
  <si>
    <t>Pg 1, L 34</t>
  </si>
  <si>
    <t>Pg 1, L 25</t>
  </si>
  <si>
    <t>Pg 1, L 20</t>
  </si>
  <si>
    <t>Interest Expense</t>
  </si>
  <si>
    <t>Pg 2, L 22</t>
  </si>
  <si>
    <t>Pg 3, (L 28)</t>
  </si>
  <si>
    <t>Pg 3, L 25 - 29</t>
  </si>
  <si>
    <t xml:space="preserve">    (Excl. Preferred Stock Dividends)</t>
  </si>
  <si>
    <t xml:space="preserve">   Disability Insurance</t>
  </si>
  <si>
    <t>VIL. OF ATLANTIC BEACH</t>
  </si>
  <si>
    <t>DEEP</t>
  </si>
  <si>
    <t>1954&amp;76</t>
  </si>
  <si>
    <t xml:space="preserve">       column (a) is available from the SEC 10-K Report Form filing, a specific reference to report form (i.e. year and company title) may be reported in</t>
  </si>
  <si>
    <t>Pg 114, L 26, 27 (d)</t>
  </si>
  <si>
    <t>Materials and Supplies</t>
  </si>
  <si>
    <t>Provide separate headings and totals for Accounts 145, Notes Receivable from Associated Companies, and 146, Accounts</t>
  </si>
  <si>
    <t>the year and give the accounting entries effecting such change.</t>
  </si>
  <si>
    <t xml:space="preserve">  (a) Donations Received from Stockholders (Account 208) - State amount and give brief explanation </t>
  </si>
  <si>
    <t>of the origin and purpose of each donation.</t>
  </si>
  <si>
    <t>1. Show the requested information concerning each pumping</t>
  </si>
  <si>
    <t xml:space="preserve">      c.  other irrevocable actions that relieved the company or the plan of primary  responsibility for a pension obligation</t>
  </si>
  <si>
    <t xml:space="preserve">Year-to-date asset gain or (loss): </t>
  </si>
  <si>
    <t xml:space="preserve">                                  2.  Explain any important adjustments of subaccounts.</t>
  </si>
  <si>
    <t>Repairs Expense</t>
  </si>
  <si>
    <t>Federal Current Taxable Income</t>
  </si>
  <si>
    <t>prepared on a subsidiary level due to the merger with the American Water Plan.</t>
  </si>
  <si>
    <t xml:space="preserve">          Net Increase (Decrease) in Payables and Accrued Expenses</t>
  </si>
  <si>
    <t xml:space="preserve">   Other:</t>
  </si>
  <si>
    <t xml:space="preserve">FIRE DATA          </t>
  </si>
  <si>
    <t xml:space="preserve">As stated above, the name of the file is WATERAR.XLS.  It is advised that you call up the file and then immediately save it using the assigned file names as shown below. </t>
  </si>
  <si>
    <t>Page 313-A</t>
  </si>
  <si>
    <t>Verification</t>
  </si>
  <si>
    <t>Index</t>
  </si>
  <si>
    <t>{Set "Print-Margin-Left";".5in"}</t>
  </si>
  <si>
    <t>Roosevelt</t>
  </si>
  <si>
    <t>Lakeview</t>
  </si>
  <si>
    <t>Baldwin</t>
  </si>
  <si>
    <t>meter</t>
  </si>
  <si>
    <t>reported in those activities.  Show on page 124-125 the</t>
  </si>
  <si>
    <t xml:space="preserve">should be provided on pages 124-125.  Provide also on page </t>
  </si>
  <si>
    <t>amounts of interest paid (net of amounts capitalized)</t>
  </si>
  <si>
    <t>122 a reconciliation between "Cash and Cash Equivalents</t>
  </si>
  <si>
    <t>and income taxes paid.</t>
  </si>
  <si>
    <t xml:space="preserve">  payee, and amount of other income deductions for the year</t>
  </si>
  <si>
    <t>the year.</t>
  </si>
  <si>
    <t xml:space="preserve">  as required by Accounts 426.1, Donations; 426.2, Life</t>
  </si>
  <si>
    <t xml:space="preserve">     (d) Other Interest Expense (Account 431)-Report</t>
  </si>
  <si>
    <t xml:space="preserve">    Concerning Tax Refunds, of 16NYCRR.  This report shall be inapplicable to ordinary operating refunds</t>
  </si>
  <si>
    <t>Report on Line 14 the discount rate which was used to calculate the obligations reported on Lines 1-3.</t>
  </si>
  <si>
    <t xml:space="preserve">      water plant in service, pages 202-205, column (d), excluding retirements of non-depreciable property.</t>
  </si>
  <si>
    <t>16.</t>
  </si>
  <si>
    <t xml:space="preserve">     NYSPSC 347-97</t>
  </si>
  <si>
    <t>Page 361</t>
  </si>
  <si>
    <t>Page 362</t>
  </si>
  <si>
    <t>Page 261-A</t>
  </si>
  <si>
    <t>ANALYSIS OF OPEB COSTS, FUNDING AND DEFERRALS</t>
  </si>
  <si>
    <t>Report the requested data concerning Postretirement Benefits Other than Pensions</t>
  </si>
  <si>
    <t>Dividend Special Deposits (Account 133)</t>
  </si>
  <si>
    <t>Other Special Deposits (Account 134):</t>
  </si>
  <si>
    <t xml:space="preserve">    (Specify purpose of each other special deposit)</t>
  </si>
  <si>
    <t>Page 364</t>
  </si>
  <si>
    <t>List each note separately and state the purpose for which issued.  Show also in Column (a) date of</t>
  </si>
  <si>
    <t>note, maturity and interest rate.</t>
  </si>
  <si>
    <t>Common Stock Liability for Conversion (Account 203)</t>
  </si>
  <si>
    <t>2.  State in a footnote upon what basis, if any, customers are charged for the</t>
  </si>
  <si>
    <t>installations of services.</t>
  </si>
  <si>
    <t>Prepaid PUC/PSC Assessments</t>
  </si>
  <si>
    <t>Longwood Crossing Phase 2</t>
  </si>
  <si>
    <t xml:space="preserve">Briefly describe the event (e.g., settlement, curtailment or termination with short description of the change) and the date of </t>
  </si>
  <si>
    <t xml:space="preserve">formula on line 9. </t>
  </si>
  <si>
    <t>its occurrence.</t>
  </si>
  <si>
    <t>Report on line 17 the applicable Federal income tax rate.  Although no tax is currently payable on the gain and loss, it should</t>
  </si>
  <si>
    <t>Rate Case Expense</t>
  </si>
  <si>
    <t>Depreciation &amp; Amortization</t>
  </si>
  <si>
    <t>Reg Asset - AFUDC Debt</t>
  </si>
  <si>
    <t>Gains &amp; Losses</t>
  </si>
  <si>
    <t>Abandonment Losses</t>
  </si>
  <si>
    <t>Cost of Removal</t>
  </si>
  <si>
    <t>Amortization UPAA</t>
  </si>
  <si>
    <t>Unrecognized net actuarial gain or (loss)</t>
  </si>
  <si>
    <t xml:space="preserve">in such consolidated return.  State names of group members, tax assigned to each group member, and basis  </t>
  </si>
  <si>
    <t>7.     If the utility conducts operations both within and without the State of New York, data should be</t>
  </si>
  <si>
    <t>TOTAL CUSTOMER ACCOUNT EXPENSES - Operation</t>
  </si>
  <si>
    <t>Federal Income Tax Expense</t>
  </si>
  <si>
    <t xml:space="preserve">  5.  If the notes to financial statements relating to the </t>
  </si>
  <si>
    <t>of Retained Earnings for the year, Statement of Cash</t>
  </si>
  <si>
    <t>tion of amounts as plant adjustments and requirements as</t>
  </si>
  <si>
    <t xml:space="preserve">Flows, or any account thereof.  Classify the notes according </t>
  </si>
  <si>
    <t>to disposition thereof.</t>
  </si>
  <si>
    <t>to each basic statement, providing a subheading for each</t>
  </si>
  <si>
    <t>receiver, if any, thereof, or by the person required to file the same.   The verification shall be made by said official holding</t>
  </si>
  <si>
    <t>(331)  Structures and Improvements</t>
  </si>
  <si>
    <t>(331)</t>
  </si>
  <si>
    <t>(332)  Water Treatment Equipment</t>
  </si>
  <si>
    <t>(332)</t>
  </si>
  <si>
    <t xml:space="preserve">   - Reduction in Par or Stated Value</t>
  </si>
  <si>
    <t xml:space="preserve">Income Statement </t>
  </si>
  <si>
    <t>On lines 1-15 report activities for the holding company or parent company; on line 16-18 report details for the reporting</t>
  </si>
  <si>
    <t>Settlement gain or (loss):</t>
  </si>
  <si>
    <t xml:space="preserve">company. </t>
  </si>
  <si>
    <t xml:space="preserve">      Accounting value of obligation which was settled</t>
  </si>
  <si>
    <t xml:space="preserve">      Settlement cost (e.g., price of purchased annuity contract)</t>
  </si>
  <si>
    <t>Other Paid-in Capital (208-211)</t>
  </si>
  <si>
    <t>The amount reported on Line 9 should be the same amount as that reported on Line 4 on Page 364.</t>
  </si>
  <si>
    <t xml:space="preserve">(b)   </t>
  </si>
  <si>
    <t>EXTERNALLY HELD OPEB DEDICATED FUNDS OR TRUSTS</t>
  </si>
  <si>
    <t>Actual Contribution*</t>
  </si>
  <si>
    <t>Maximum Amount Deductible*</t>
  </si>
  <si>
    <t>Benefit Payments</t>
  </si>
  <si>
    <t xml:space="preserve"> WITH TAXABLE INCOME FOR FEDERAL INCOME TAXES</t>
  </si>
  <si>
    <t>to cover pension, profit sharing, group life insurance, accident and sickness, medical, hospital, prescription</t>
  </si>
  <si>
    <t>Report a summary of each employee program in effect at any time during the year.  This schedule is intended</t>
  </si>
  <si>
    <t>ANALYSIS OF PENSION SETTLEMENTS, CURTAILMENTS AND TERMINATIONS (Continued)</t>
  </si>
  <si>
    <t>amounts to be reserved or appropriated as well as the totals</t>
  </si>
  <si>
    <t>considered in making this computation).</t>
  </si>
  <si>
    <t>PLAN</t>
  </si>
  <si>
    <t>Pg 300, L 3, 4 (f)</t>
  </si>
  <si>
    <t>Pg 300, L 5, 6 (f)</t>
  </si>
  <si>
    <t>Pg 300, L 9 (f)</t>
  </si>
  <si>
    <t>During Year</t>
  </si>
  <si>
    <t>1.  Report below the original cost of water plant in service according to the prescribed accounts.</t>
  </si>
  <si>
    <t>Total Amount Charged</t>
  </si>
  <si>
    <t>DESCRIPTION OF ITEMS</t>
  </si>
  <si>
    <t>AMOUNT</t>
  </si>
  <si>
    <t>FEDERAL TAXES</t>
  </si>
  <si>
    <t>Extraordinary Income (Account 434):</t>
  </si>
  <si>
    <t>Total Extraordinary Income</t>
  </si>
  <si>
    <t>and non management costs.</t>
  </si>
  <si>
    <t xml:space="preserve"> 9.  For any tax apportioned to more than one utility department or account, state in a footnote the basis (necessity) of apportioning such tax.</t>
  </si>
  <si>
    <t>SPECIAL FUNDS   (Accounts 125, 126, 128)</t>
  </si>
  <si>
    <t>(Sinking Funds, Depreciation Fund, Other Special Funds)</t>
  </si>
  <si>
    <t xml:space="preserve">1.  For each fund  at the end of the year, report the balance below.  </t>
  </si>
  <si>
    <t xml:space="preserve">     Aggregate all other funds.  Indicate nature of any fund included in Account 128, Other Special Funds.</t>
  </si>
  <si>
    <t>WORKER'S COMPENSATION-COVERS THE  RATE OF COVERAGE FOR</t>
  </si>
  <si>
    <t>EMPLOYEES IN CASE OF ACCIDENT</t>
  </si>
  <si>
    <t>2.  Explain, for each fund, any deductions other than withdrawals for the purpose for which the fund was created.</t>
  </si>
  <si>
    <t>3.  If the trustee of any fund is an associated company, give name of such associated company.</t>
  </si>
  <si>
    <t>Other Deferred Credits (253)</t>
  </si>
  <si>
    <t>Accumulated Deferred Investment Tax Credits (255)</t>
  </si>
  <si>
    <t>Deferred Gains from Disposition of Utility Plant</t>
  </si>
  <si>
    <t xml:space="preserve">      plant is removed from service.  If the respondent has a significant amount of plant retired at year end which has not been recorded and/or</t>
  </si>
  <si>
    <t>Pg 200, L 11 (c)</t>
  </si>
  <si>
    <t>Plant Held For Future Use</t>
  </si>
  <si>
    <t>Pg 200, L 10 (c)</t>
  </si>
  <si>
    <t>Plant Acquisition Adjustments</t>
  </si>
  <si>
    <t>Pg 200, L 12, 13 (c)</t>
  </si>
  <si>
    <t xml:space="preserve">      Utility Land &amp; Land Rights</t>
  </si>
  <si>
    <t>Pg 200, L 14 (c)</t>
  </si>
  <si>
    <t>Total Plant</t>
  </si>
  <si>
    <t>Accum. Prov. - Depr. &amp; Amort.</t>
  </si>
  <si>
    <t>Pg 200, L 16 (c)</t>
  </si>
  <si>
    <t xml:space="preserve"> Net Plant</t>
  </si>
  <si>
    <t>SELECTED RATIOS AND STATISTICS</t>
  </si>
  <si>
    <t>Current Assets / Current Liabilities</t>
  </si>
  <si>
    <t>Percent Of Capitalization (incl S-T Debt)</t>
  </si>
  <si>
    <t xml:space="preserve">    Long-Term Debt</t>
  </si>
  <si>
    <t xml:space="preserve">    Preferred Stock</t>
  </si>
  <si>
    <t>Report below information applicable to Account 255.  Where appropriate, segregate the balances and transactions</t>
  </si>
  <si>
    <t>by utility and nonutility operations.  Explain by footnote any correction adjustments to the account  balance shown in</t>
  </si>
  <si>
    <t>page identification of the reporting company set forth in paragraph 9 below, may be disregarded.  Extra</t>
  </si>
  <si>
    <t>copies of any page will be furnished upon request.</t>
  </si>
  <si>
    <t>Do not include this sheet in the Annual Report you send to the Commission</t>
  </si>
  <si>
    <t>General Information</t>
  </si>
  <si>
    <t>to the end of the year, or if since the previous compilation</t>
  </si>
  <si>
    <t>subaccount, account or functional classification, as appropriate, to which a rate is applied.  Identify at the bottom of section C</t>
  </si>
  <si>
    <t>the type of plant included in any subaccounts used.</t>
  </si>
  <si>
    <t>In column (b) report all depreciable plant balances to which rates are applied showing subtotals by functional classifications</t>
  </si>
  <si>
    <t>Commission authorization to use Account 186, and period</t>
  </si>
  <si>
    <t>Charges</t>
  </si>
  <si>
    <t xml:space="preserve"> of amortization (mo, yr to mo, yr).]</t>
  </si>
  <si>
    <t>Page 216</t>
  </si>
  <si>
    <t>ACCUMULATED DEFERRED INCOME TAXES (Account 190)</t>
  </si>
  <si>
    <t>5.  Minor items may be grouped.</t>
  </si>
  <si>
    <t xml:space="preserve">          Net (Increase) Decrease in Inventory</t>
  </si>
  <si>
    <t xml:space="preserve">                                                                                    (a)</t>
  </si>
  <si>
    <t>Page 207</t>
  </si>
  <si>
    <t>GENERAL DESCRIPTION OF CONSTRUCTION OVERHEAD PROCEDURE</t>
  </si>
  <si>
    <t xml:space="preserve">     1. For each construction overhead explain: (a) the nature</t>
  </si>
  <si>
    <t>2.  In addition to Account 101, Water Plant in Service (Classified), this page and the next include Account 102, Water</t>
  </si>
  <si>
    <t>OPERATING RESERVES</t>
  </si>
  <si>
    <t>Obligations Under Capital Leases - Noncurrent</t>
  </si>
  <si>
    <t xml:space="preserve">     Total Wages and Benefits</t>
  </si>
  <si>
    <t>Other Expenses</t>
  </si>
  <si>
    <t>Total O&amp;M Expenses</t>
  </si>
  <si>
    <t>-Total PW, Fuel and Chemicals</t>
  </si>
  <si>
    <t>-Wages and Benefits</t>
  </si>
  <si>
    <t xml:space="preserve">     Other Expenses</t>
  </si>
  <si>
    <t>474</t>
  </si>
  <si>
    <t>Staff reviewing Pension/OPEB accounting for the years 2004 through 2010.</t>
  </si>
  <si>
    <t>Pg 300, L 3, 4 (d)</t>
  </si>
  <si>
    <t>Fire Protection Service</t>
  </si>
  <si>
    <t>Accumulated Deferred Investment Tax Credits</t>
  </si>
  <si>
    <t xml:space="preserve">Note:  Certain information above is not available because the portion relating to the </t>
  </si>
  <si>
    <t>management trust is not reported on a subsidiary level by American Water.</t>
  </si>
  <si>
    <t>Suzana Duby</t>
  </si>
  <si>
    <t>SALES OF WATER BY MUNICIPALITIES (CONTINUED)</t>
  </si>
  <si>
    <t xml:space="preserve">       Information Not Available</t>
  </si>
  <si>
    <t>1.  Report below the information called for concerning each city, village, town, or water supply district at any time during the year.</t>
  </si>
  <si>
    <t xml:space="preserve">  outside the company costing $5,000 or more, briefly</t>
  </si>
  <si>
    <t>4. Weighted Average Rate Actually Used for the Year:</t>
  </si>
  <si>
    <t xml:space="preserve">     a. Rate for Borrowed Funds - </t>
  </si>
  <si>
    <t xml:space="preserve">              ACCUMULATED DEFERRED OPEB EXPENSE</t>
  </si>
  <si>
    <t>Accumulated Deferred Balance Beginning of Period - [Debit / (Credit)]</t>
  </si>
  <si>
    <t>company and not yet drawing a pension allowance.</t>
  </si>
  <si>
    <t xml:space="preserve">          reduction for amounts held by</t>
  </si>
  <si>
    <t xml:space="preserve">                AS REACQUIRED STOCK</t>
  </si>
  <si>
    <t xml:space="preserve">     Changes (Identify by prescribed retained earnings accounts)</t>
  </si>
  <si>
    <t xml:space="preserve">  Proprietary Capital</t>
  </si>
  <si>
    <t>Preferred - Account 204</t>
  </si>
  <si>
    <t>Page 250</t>
  </si>
  <si>
    <t>Page 251</t>
  </si>
  <si>
    <t xml:space="preserve">   Franchise - Excess Dividends - 186</t>
  </si>
  <si>
    <t xml:space="preserve">   Temporary Surcharges</t>
  </si>
  <si>
    <t xml:space="preserve">     Sec. 186a (Gross Income)</t>
  </si>
  <si>
    <t xml:space="preserve">     Sec. 186 (Gross Earnings)</t>
  </si>
  <si>
    <t xml:space="preserve">     Sec. 186 (Excess Dividends)</t>
  </si>
  <si>
    <t xml:space="preserve">   MTA Surcharge</t>
  </si>
  <si>
    <t xml:space="preserve">   Unemployment Insurance</t>
  </si>
  <si>
    <t>Lobbying Expenses</t>
  </si>
  <si>
    <t>Community Relations</t>
  </si>
  <si>
    <t>Page 313</t>
  </si>
  <si>
    <t xml:space="preserve">reported so that there will be shown the quantities of commodities sold within this State, and </t>
  </si>
  <si>
    <t>TREATMENT PROCESS</t>
  </si>
  <si>
    <t>Comparative Balance Sheet</t>
  </si>
  <si>
    <t>12-90</t>
  </si>
  <si>
    <t>114-115</t>
  </si>
  <si>
    <t>Net Periodic Pension Cost:</t>
  </si>
  <si>
    <t>10.</t>
  </si>
  <si>
    <t>Description of Account</t>
  </si>
  <si>
    <t>Intrastate</t>
  </si>
  <si>
    <t>Interstate</t>
  </si>
  <si>
    <t>Page 121</t>
  </si>
  <si>
    <t xml:space="preserve">      debit adjustments by parentheses.</t>
  </si>
  <si>
    <t>General Description of Construction Overheads Procedures</t>
  </si>
  <si>
    <t>216</t>
  </si>
  <si>
    <t>12-87</t>
  </si>
  <si>
    <t>208</t>
  </si>
  <si>
    <t>Title of Account</t>
  </si>
  <si>
    <t>Saving the File</t>
  </si>
  <si>
    <t xml:space="preserve">Print the Entire Report </t>
  </si>
  <si>
    <t xml:space="preserve">          Net Utility Plant (Enter Total of line 13 less 14)  </t>
  </si>
  <si>
    <t>DETAIL OF ACCUMULATED PROVISIONS FOR</t>
  </si>
  <si>
    <t>DEPRECIATION &amp;  AMORTIZATION</t>
  </si>
  <si>
    <t xml:space="preserve"> In Service</t>
  </si>
  <si>
    <t>Page 118</t>
  </si>
  <si>
    <t>Page 119</t>
  </si>
  <si>
    <t>STATEMENT OF RETAINED EARNINGS FOR THE YEAR</t>
  </si>
  <si>
    <t xml:space="preserve">  1.  Report all changes in appropriated retained earnings,</t>
  </si>
  <si>
    <t xml:space="preserve">       Revenues From Merchandising, Jobbing and Contract Work (415)</t>
  </si>
  <si>
    <t xml:space="preserve">       (Less) Costs and Exp. of Merchandising, Job. &amp; Contract Work (416)</t>
  </si>
  <si>
    <t xml:space="preserve">       Revenues From Nonutility Operations (417)</t>
  </si>
  <si>
    <t xml:space="preserve">to be erroneous, the reporting utility shall be duly notified and given a reasonable time within which </t>
  </si>
  <si>
    <t>to make the necessary amendments or corrections.</t>
  </si>
  <si>
    <t xml:space="preserve">3.     All accounting terms and phrases used in this form are to be interpreted in accordance with the </t>
  </si>
  <si>
    <t>Materials &amp; Supplies</t>
  </si>
  <si>
    <t>Class and Series of Stock and</t>
  </si>
  <si>
    <t>of Shares</t>
  </si>
  <si>
    <t>or Stated</t>
  </si>
  <si>
    <t>Price at</t>
  </si>
  <si>
    <t xml:space="preserve">      primary account classifications arising from distribution of amounts initially recorded in Account 102.  In showing the clearance of</t>
  </si>
  <si>
    <t>specified by beginning and ending dates, and (5) amount of the current year's amortization.</t>
  </si>
  <si>
    <t xml:space="preserve">  TOTAL Water Treatment Plant (Enter Total of lines 28 thru 30)</t>
  </si>
  <si>
    <t xml:space="preserve">          5. TRANSMISSION &amp; DISTRIBUTION PLANT</t>
  </si>
  <si>
    <t>(340)  Land and Land Rights</t>
  </si>
  <si>
    <t>(340)</t>
  </si>
  <si>
    <t>(341)  Structures and Improvements</t>
  </si>
  <si>
    <t>(341)</t>
  </si>
  <si>
    <t>(342)  Distribution Reservoirs &amp; Standpipes</t>
  </si>
  <si>
    <t>(342)</t>
  </si>
  <si>
    <t>(343)  Transmission &amp; Distribution Mains</t>
  </si>
  <si>
    <t>(343)</t>
  </si>
  <si>
    <t>(344)  Fire Mains</t>
  </si>
  <si>
    <t>(344)</t>
  </si>
  <si>
    <t>(345)  Services</t>
  </si>
  <si>
    <t>(345)</t>
  </si>
  <si>
    <t>(346)  Meters</t>
  </si>
  <si>
    <t>(346)</t>
  </si>
  <si>
    <t>(348)  Hydrants</t>
  </si>
  <si>
    <t>(348)</t>
  </si>
  <si>
    <t>(349)  Other Transmission &amp; Distribution Plant</t>
  </si>
  <si>
    <t>5.  Classify Account 106 according to prescribed accounts, on an estimated basis if necessary, and include the entries in column (c).</t>
  </si>
  <si>
    <t>Report in total, all other interest accrued and paid on notes discharged during the year.</t>
  </si>
  <si>
    <t>PAYEE</t>
  </si>
  <si>
    <t>DATE</t>
  </si>
  <si>
    <t>Outstanding</t>
  </si>
  <si>
    <t>INTEREST DURING YEAR</t>
  </si>
  <si>
    <t>AND</t>
  </si>
  <si>
    <t>DATE OF</t>
  </si>
  <si>
    <t>at End of</t>
  </si>
  <si>
    <t>INTEREST RATE</t>
  </si>
  <si>
    <t>NOTE</t>
  </si>
  <si>
    <t>MATURITY</t>
  </si>
  <si>
    <t>ACCRUED</t>
  </si>
  <si>
    <t>PAID</t>
  </si>
  <si>
    <t>PAYABLES TO ASSOCIATED COMPANIES (ACCOUNTS 233 and 234)</t>
  </si>
  <si>
    <t>Organizing the Paper Copy of the Annual Report</t>
  </si>
  <si>
    <t>Company Name</t>
  </si>
  <si>
    <t>NAME TO SAVE</t>
  </si>
  <si>
    <t>Long Island Water</t>
  </si>
  <si>
    <t>New York American-Water</t>
  </si>
  <si>
    <t>New York Water Service</t>
  </si>
  <si>
    <t>Sea Cliff Water</t>
  </si>
  <si>
    <t>Not subject to receivership or trust.</t>
  </si>
  <si>
    <t>Total Life Insurance</t>
  </si>
  <si>
    <t>Penalties (Account 426.3)</t>
  </si>
  <si>
    <t>Total Penalties</t>
  </si>
  <si>
    <t>Expenditures for Certain Civic, Political, and Related Activities (Account 426.4)</t>
  </si>
  <si>
    <t>(c) Provide a stimulating and rewarding work place for employees.</t>
  </si>
  <si>
    <t xml:space="preserve">2. If respondent gives fire protection without direct charge, the hydrants used for </t>
  </si>
  <si>
    <t xml:space="preserve">                                  1.  Report below the information called for concerning this accumulated provision.</t>
  </si>
  <si>
    <t xml:space="preserve">         TOTAL Debits to Retained Earnings (Acct. 439) (Total of lines 10 thru 14)</t>
  </si>
  <si>
    <t xml:space="preserve">During 2004, the non-management pension plan was merged into the American Water plan.  </t>
  </si>
  <si>
    <t>1.  the identity thereof, and the employee group covered (e.g. management, non-management, executive</t>
  </si>
  <si>
    <t xml:space="preserve">     officers, etc.)</t>
  </si>
  <si>
    <t xml:space="preserve">2.  whether the benefits are provided through an insurance carrier or directly by the company.  </t>
  </si>
  <si>
    <t>William Varley</t>
  </si>
  <si>
    <t>ESTIMATE OF SETTLEMENT GAIN OR LOSS</t>
  </si>
  <si>
    <t xml:space="preserve">they qualified as "small settlements" under SFAS-88 and the company elected not to recognize the gain or loss, state "none" on </t>
  </si>
  <si>
    <t>line 5 and complete the applicable sections on the bottom of the form.  Use separate forms to report the effect of each event</t>
  </si>
  <si>
    <t>and, if the event affected more than one plan, use separate forms for each plan.  These events include:</t>
  </si>
  <si>
    <t xml:space="preserve">      a.  purchases of annuity contracts.</t>
  </si>
  <si>
    <t>Unrecognized net asset</t>
  </si>
  <si>
    <t xml:space="preserve">      b.  lump-sum cash payments to plan participants.</t>
  </si>
  <si>
    <t>EXPENSES OF DATA PROCESSING EQUIPMENT</t>
  </si>
  <si>
    <t xml:space="preserve">     TOTAL OPERATION</t>
  </si>
  <si>
    <t xml:space="preserve">    Contributions and Advances from Assoc. and Subsidiary Companies</t>
  </si>
  <si>
    <t xml:space="preserve">   2.  Acquisition of ownership in other companies by</t>
  </si>
  <si>
    <t xml:space="preserve">   9.  State briefly the status of any materially important legal</t>
  </si>
  <si>
    <t>reorganization, merger, or consolidation with other companies:</t>
  </si>
  <si>
    <t>proceedings pending at the end of the year, and the results of</t>
  </si>
  <si>
    <t xml:space="preserve">                  LONG-TERM DEBT (Accounts 221, 222, 223, and 224) (Continued)</t>
  </si>
  <si>
    <t>Adjustments to Retained Earnings (Account 439)</t>
  </si>
  <si>
    <t xml:space="preserve">     Credit:</t>
  </si>
  <si>
    <t xml:space="preserve">     b. Rate for Other Funds -</t>
  </si>
  <si>
    <t>Page 208</t>
  </si>
  <si>
    <t>FERC FORM NO.1 (ED. 12- 87)</t>
  </si>
  <si>
    <t>NYSPSC Modified</t>
  </si>
  <si>
    <t>Pg 307, L 19 (b)</t>
  </si>
  <si>
    <t>Pg 307, L 37 (b)</t>
  </si>
  <si>
    <t>{Set "Print-Range";table:a117..table:g173}</t>
  </si>
  <si>
    <t>{Print "Selection";1;9999;1;1}</t>
  </si>
  <si>
    <t>Total available for distribution</t>
  </si>
  <si>
    <t>T. gals.</t>
  </si>
  <si>
    <t>Operating Expenses</t>
  </si>
  <si>
    <t>Other Income and Deductions</t>
  </si>
  <si>
    <t>Interest Charges</t>
  </si>
  <si>
    <t>Net Income</t>
  </si>
  <si>
    <t>FOOTNOTES</t>
  </si>
  <si>
    <t>Page 112</t>
  </si>
  <si>
    <t>N/A - Source of Supply well water only.</t>
  </si>
  <si>
    <t xml:space="preserve">3.  Utilize the blank spaces,. column (a), for </t>
  </si>
  <si>
    <t>4. In column (i), assign a designation no. or letter to</t>
  </si>
  <si>
    <t>5. If electricity was used, specify on lines 23 to 38 the</t>
  </si>
  <si>
    <t xml:space="preserve">inserting designations against which are to be </t>
  </si>
  <si>
    <t>each pump, which designation must be used to indicate</t>
  </si>
  <si>
    <t>requested quantities (kwh) and averages.</t>
  </si>
  <si>
    <t xml:space="preserve">entered data separately for each pump, kind of </t>
  </si>
  <si>
    <t xml:space="preserve">performance of the particular unit under the captions </t>
  </si>
  <si>
    <t>fuel etc.</t>
  </si>
  <si>
    <t>on lines 8 and 19.</t>
  </si>
  <si>
    <t>Million, or Billion to  indicate the unit in which entries expressed.</t>
  </si>
  <si>
    <t>Designation of Station</t>
  </si>
  <si>
    <t>I  t  e  m</t>
  </si>
  <si>
    <t>(1)</t>
  </si>
  <si>
    <t>(2)</t>
  </si>
  <si>
    <t>(3)</t>
  </si>
  <si>
    <t>drugs, guaranteed annual wage, severance pay, and any other plan maintained for employees (or retirees), but</t>
  </si>
  <si>
    <t>it is not intended to cover such a plan required by law, (e.g. social security).</t>
  </si>
  <si>
    <t>(20)</t>
  </si>
  <si>
    <t>(21) *</t>
  </si>
  <si>
    <t>(22)</t>
  </si>
  <si>
    <t>(24)</t>
  </si>
  <si>
    <t>Starfire Ct.</t>
  </si>
  <si>
    <t>Beech St.</t>
  </si>
  <si>
    <t>Washington St.</t>
  </si>
  <si>
    <t>Hendrickson Ave.</t>
  </si>
  <si>
    <t>Horton Ave.</t>
  </si>
  <si>
    <t>Lawson Blvd.</t>
  </si>
  <si>
    <t>Grove St.</t>
  </si>
  <si>
    <t>Anderson St.</t>
  </si>
  <si>
    <t>Sunrise Hwy.</t>
  </si>
  <si>
    <t>Whitehall St.</t>
  </si>
  <si>
    <t>Decatur St.</t>
  </si>
  <si>
    <t>Tanglewood Rd.</t>
  </si>
  <si>
    <t>Long Beach Rd.</t>
  </si>
  <si>
    <t>Lakeview Rd.</t>
  </si>
  <si>
    <t>Terrace Pl.</t>
  </si>
  <si>
    <t>Bayview Ave.</t>
  </si>
  <si>
    <t>Dartmouth St.</t>
  </si>
  <si>
    <t>Cornwell Ave.</t>
  </si>
  <si>
    <t>Wright Ave.</t>
  </si>
  <si>
    <t>Location of station (city, village or town)</t>
  </si>
  <si>
    <t>Hewlett</t>
  </si>
  <si>
    <t>Oceanside</t>
  </si>
  <si>
    <t>S. Hempstead</t>
  </si>
  <si>
    <t>Inwood</t>
  </si>
  <si>
    <t>Elevation above sea level (ft.)</t>
  </si>
  <si>
    <t>Number of Pumps</t>
  </si>
  <si>
    <t>3 low svc</t>
  </si>
  <si>
    <t>7 high svc</t>
  </si>
  <si>
    <t>1 low svc</t>
  </si>
  <si>
    <t>3 high svc.</t>
  </si>
  <si>
    <t>the type mortality curve selected as most appropriate for the account and in column (g), if available, the weighted average</t>
  </si>
  <si>
    <t>and showing a composite total.  Indicate at the bottom of section C the manner in which column balances are obtained.  If</t>
  </si>
  <si>
    <t>average balances, state the method of averaging used.</t>
  </si>
  <si>
    <t>Total Misc. Amortization</t>
  </si>
  <si>
    <t>Donations (Account 426.1)</t>
  </si>
  <si>
    <t>Total Donations</t>
  </si>
  <si>
    <t>Page 318</t>
  </si>
  <si>
    <t>Life Insurance (Account 426.2)</t>
  </si>
  <si>
    <t xml:space="preserve">non-management VEBA trust only. The Net Periodic OPEB Cost represents both management </t>
  </si>
  <si>
    <t>Un-</t>
  </si>
  <si>
    <t>Pump</t>
  </si>
  <si>
    <t>Trans</t>
  </si>
  <si>
    <t>Distri</t>
  </si>
  <si>
    <t>accounted</t>
  </si>
  <si>
    <t>Month</t>
  </si>
  <si>
    <t>Gravity</t>
  </si>
  <si>
    <t>Pumped</t>
  </si>
  <si>
    <t>Metered</t>
  </si>
  <si>
    <t>Slip</t>
  </si>
  <si>
    <t>mission</t>
  </si>
  <si>
    <t>bution</t>
  </si>
  <si>
    <t>gals.</t>
  </si>
  <si>
    <t xml:space="preserve">(b) </t>
  </si>
  <si>
    <t xml:space="preserve">       (c)</t>
  </si>
  <si>
    <t xml:space="preserve">(d) </t>
  </si>
  <si>
    <t>Jan</t>
  </si>
  <si>
    <t>Feb</t>
  </si>
  <si>
    <t>Mar</t>
  </si>
  <si>
    <t>Apr</t>
  </si>
  <si>
    <t>May</t>
  </si>
  <si>
    <t>Jun</t>
  </si>
  <si>
    <t>Jul</t>
  </si>
  <si>
    <t>It is not required for you to input the data in this excel file for the following schedules: Important Changes During the Year, Notes to the Financial Statements, General Description of Construction Overhead Procedures and other general notes.  However, include these completed schedules in the paper copy of the annual report.</t>
  </si>
  <si>
    <t>mission orders or other authorizations respecting classifica-</t>
  </si>
  <si>
    <t>(389)  Land and Land Rights</t>
  </si>
  <si>
    <t>(389)</t>
  </si>
  <si>
    <t>(390)  Structures &amp; Improvements</t>
  </si>
  <si>
    <t>(390)</t>
  </si>
  <si>
    <t>the respondent not disclosed elsewhere  in this report in which</t>
  </si>
  <si>
    <t xml:space="preserve">              OPEB RELATED ASSETS RECORDED IN AN INTERNAL RESERVE</t>
  </si>
  <si>
    <t>Balance in Internal Reserve at Beginning of the Period - [ (Debit) / Credit ]</t>
  </si>
  <si>
    <t>Amount of the Company's Latest Rate Allowance for OPEB Expense</t>
  </si>
  <si>
    <t>meets the requirements of the above instructions.  For electronic reporting purposes complete line 27 and provide the</t>
  </si>
  <si>
    <t>substitute page in the context of a footnote.</t>
  </si>
  <si>
    <t>Particulars (Details)</t>
  </si>
  <si>
    <t xml:space="preserve">  Property, Plant &amp; Equipment</t>
  </si>
  <si>
    <t>No Entry</t>
  </si>
  <si>
    <t>fund necessary to meet the requirement set forth in the Employee Retirement Income Security Act of 1974.</t>
  </si>
  <si>
    <t>Interest Cost</t>
  </si>
  <si>
    <t>11.</t>
  </si>
  <si>
    <t>Pg 122, L 2 (b)</t>
  </si>
  <si>
    <t>Adjustments to reconcile net income to net cash</t>
  </si>
  <si>
    <t xml:space="preserve">  provided by operating activities:</t>
  </si>
  <si>
    <t>Depreciation, Depletion &amp; Amortization</t>
  </si>
  <si>
    <t>Pg 122, L 4=&gt;7 (b)</t>
  </si>
  <si>
    <t>Deferred Taxes &amp; ITCs</t>
  </si>
  <si>
    <t>Pg 122, L 8, 9 (b)</t>
  </si>
  <si>
    <t>security holders.  This instruction is inapplicable to convertible</t>
  </si>
  <si>
    <t xml:space="preserve">of officers and directors included in such list of 10 security </t>
  </si>
  <si>
    <t xml:space="preserve">  2.  Each credit and debit during the year should be iden-</t>
  </si>
  <si>
    <t>Earnings.</t>
  </si>
  <si>
    <t>tified as to the retained earnings account in which recorded</t>
  </si>
  <si>
    <t xml:space="preserve">  7.  Explain in a footnote the basis for determining the </t>
  </si>
  <si>
    <t>On line 22, the term "Minimum Required Contribution" shall mean the payment by the employer to its employees' pension</t>
  </si>
  <si>
    <t>Service Cost</t>
  </si>
  <si>
    <t xml:space="preserve">    (b)</t>
  </si>
  <si>
    <t>TOTAL Water (Total of lines 2 through 17)</t>
  </si>
  <si>
    <t>TOTAL Other (Total of lines 20 through 26)</t>
  </si>
  <si>
    <t>Excess/Deficient Deferred Federal Income Tax Balances*</t>
  </si>
  <si>
    <t xml:space="preserve">1. </t>
  </si>
  <si>
    <t>(330)  Land and Land Rights</t>
  </si>
  <si>
    <t>(330)</t>
  </si>
  <si>
    <t>Pg 300, L 7, 8, 10 (f)</t>
  </si>
  <si>
    <t xml:space="preserve">  Long Term Debt</t>
  </si>
  <si>
    <t>Fair Value of Plan Assets Held in an Exterior Fund or Trust</t>
  </si>
  <si>
    <t>Plan Assets Held in an Internal Reserve (net of tax):</t>
  </si>
  <si>
    <t xml:space="preserve">     New York State Jurisdiction</t>
  </si>
  <si>
    <t>Deferral Applicable to Current Year Variation</t>
  </si>
  <si>
    <t xml:space="preserve">  Civic, Political and Related Activities; and 426.5, Other</t>
  </si>
  <si>
    <t xml:space="preserve">     Federal</t>
  </si>
  <si>
    <t>3 low svc.</t>
  </si>
  <si>
    <t>4 high svc.</t>
  </si>
  <si>
    <t>Water pumps with slip ( T. gals.)</t>
  </si>
  <si>
    <t>Water pumps without slip ( T. gals.)</t>
  </si>
  <si>
    <t>Water pumps by sta. mass ( T. gals.)</t>
  </si>
  <si>
    <t>How measured</t>
  </si>
  <si>
    <t>Average daily for each pump  ( T. gals)</t>
  </si>
  <si>
    <t>EXPENSES TRANSFERRED - CREDIT</t>
  </si>
  <si>
    <t>TOTAL OPERATIONS</t>
  </si>
  <si>
    <t>MAINTENANCE SUPERVISION AND ENGINEERING</t>
  </si>
  <si>
    <t>MAINTENANCE OF STRUCTURES AND IMPROVEMENTS</t>
  </si>
  <si>
    <t>MAINTENANCE OF POWER PRODUCTION IMPROVEMENTS</t>
  </si>
  <si>
    <t>MAINTENANCE OF PUMPING EQUIPMENT</t>
  </si>
  <si>
    <t xml:space="preserve">          TOTAL MAINTENANCE</t>
  </si>
  <si>
    <t>TOTAL PUMPING EXPENSES</t>
  </si>
  <si>
    <t>3. WATER TREATMENT EXPENSES</t>
  </si>
  <si>
    <t>OPERATION</t>
  </si>
  <si>
    <t>CHEMICALS</t>
  </si>
  <si>
    <t>OPERATION AND LABOR EXPENSE</t>
  </si>
  <si>
    <t>TOTAL OPERATION</t>
  </si>
  <si>
    <t>Page 307</t>
  </si>
  <si>
    <t>MAINTENANCE OF WATER TREATMENT EQUIPMENT</t>
  </si>
  <si>
    <t>TOTAL WATER TREATMENT EXPENSES</t>
  </si>
  <si>
    <t>Agent Fees and Expenses, and Other Expenses of Servicing Outstanding Securities of the Respondent</t>
  </si>
  <si>
    <t xml:space="preserve">   case of a gas, electric, steam, or combination utility, operating revenues shall be reduced by the </t>
  </si>
  <si>
    <t xml:space="preserve">  "    "    "       "</t>
  </si>
  <si>
    <t>1975,86,01</t>
  </si>
  <si>
    <t>PLANT #19, LAKEVIEW</t>
  </si>
  <si>
    <t>PLANT #20, VALLEY STREAM</t>
  </si>
  <si>
    <t xml:space="preserve">   "     "    "      "</t>
  </si>
  <si>
    <t>The amount reported on Line 9 less the amount on Line 10 should total the amount reported on Line 5 of Page 364.</t>
  </si>
  <si>
    <t>In certain instances, a portion of the OPEB internal reserve may not be subject to the accrual of interest (e.g., in the company's last rate</t>
  </si>
  <si>
    <t>13.  If the respondent has pledged any of its long-term debt</t>
  </si>
  <si>
    <t>If composite depreciation accounting is used, report available information called for in columns (b) through (g) on this basis.</t>
  </si>
  <si>
    <t xml:space="preserve">   1.  Provide name and title of officer having custody of the general corporate books of</t>
  </si>
  <si>
    <t>Directors</t>
  </si>
  <si>
    <t xml:space="preserve">   4.  Furnish particulars (details) concerning any options,</t>
  </si>
  <si>
    <t xml:space="preserve">   8.  State the estimated annual effect and nature of any im-</t>
  </si>
  <si>
    <t>the payment of consideration, state that fact.</t>
  </si>
  <si>
    <t>of material amount may need to be made to the utility's</t>
  </si>
  <si>
    <t>chases, and a summary of the adjustments made to</t>
  </si>
  <si>
    <t>year.  Also give the approximate dollar effect of such changes.</t>
  </si>
  <si>
    <t>ment.  Spread the amount(s) over lines 02 thru 23 as ap-</t>
  </si>
  <si>
    <t>customers or which may result in a material refund to the util-</t>
  </si>
  <si>
    <t>balance sheet, income, and expense accounts.</t>
  </si>
  <si>
    <t xml:space="preserve">*  If electric is used, give name of the company from which purchased.  Where station is serving two </t>
  </si>
  <si>
    <t>WATER TREATMENT SYSTEM</t>
  </si>
  <si>
    <t>Salary Progression Rate (if applicable)</t>
  </si>
  <si>
    <t>9.</t>
  </si>
  <si>
    <t xml:space="preserve"> Report on line lines 21 and 32 the numbers of persons having vested pension rights but who are no longer employed by the</t>
  </si>
  <si>
    <t xml:space="preserve">  3.  Include in column (c) all R &amp; D items performed</t>
  </si>
  <si>
    <t>4.  Show in column (e) the account number charged</t>
  </si>
  <si>
    <t>6.  If costs have not been segregated for R &amp; D activities</t>
  </si>
  <si>
    <t xml:space="preserve">  during the year for technological research and development</t>
  </si>
  <si>
    <t xml:space="preserve">  internally and in column (d) those items performed</t>
  </si>
  <si>
    <t>with expenses during the year or the account to which</t>
  </si>
  <si>
    <t xml:space="preserve">    Proceeds from Sales of Investment Securities (a)</t>
  </si>
  <si>
    <t>Page 122</t>
  </si>
  <si>
    <t>STATEMENT OF CASH FLOWS (Continued)</t>
  </si>
  <si>
    <t>4.  Investing Activities</t>
  </si>
  <si>
    <t xml:space="preserve">  5.  Codes used:</t>
  </si>
  <si>
    <t>__________________</t>
  </si>
  <si>
    <t>In Service</t>
  </si>
  <si>
    <t xml:space="preserve">   Plant in Service (Classified)  (101)</t>
  </si>
  <si>
    <t xml:space="preserve">   accounts; in the case of a combination utility the refund shall be deemed to exceed 0.2% of operating</t>
  </si>
  <si>
    <t xml:space="preserve">   revenues if, after the refund is allocated among the gas, electric and steam departments in a manner</t>
  </si>
  <si>
    <t>portant wage scale changes during the year.</t>
  </si>
  <si>
    <t xml:space="preserve">     on lines 23(b) and 24(b).</t>
  </si>
  <si>
    <t>Page 359</t>
  </si>
  <si>
    <t>Page 360</t>
  </si>
  <si>
    <t>schedule separately for each plant.</t>
  </si>
  <si>
    <t xml:space="preserve">to consumers and lost or unaccounted for during the year.  Where estimates are </t>
  </si>
  <si>
    <t>Net to Distribution</t>
  </si>
  <si>
    <t>Designation</t>
  </si>
  <si>
    <t>Year of</t>
  </si>
  <si>
    <t>Natural</t>
  </si>
  <si>
    <t>Spillway</t>
  </si>
  <si>
    <t>Est daily</t>
  </si>
  <si>
    <t>Maximum</t>
  </si>
  <si>
    <t>Minimum</t>
  </si>
  <si>
    <t>Construc-</t>
  </si>
  <si>
    <t>or</t>
  </si>
  <si>
    <t xml:space="preserve">  Net increase (decrease) in cash</t>
  </si>
  <si>
    <t xml:space="preserve">    and cash equivalents</t>
  </si>
  <si>
    <t>Indicate with an asterisk (*) in column (a) those directors who were members of the executive committee, if any,</t>
  </si>
  <si>
    <t xml:space="preserve">       an affiliated company, details shall be given in a note.</t>
  </si>
  <si>
    <t>1. Show the requested information concerning surface water supply.  In the lower section of</t>
  </si>
  <si>
    <t>state that fact in a footnote, and give full particulars concerning respondent's title.</t>
  </si>
  <si>
    <t>the sechedule insert in "Designation"column some letter or other symbol which will identify</t>
  </si>
  <si>
    <t>the reservoir with related water shed and structures described in the upper section.</t>
  </si>
  <si>
    <t xml:space="preserve">3. Insert in the headings of columns (q) and (a) to (w) and column (y) the initial </t>
  </si>
  <si>
    <t xml:space="preserve">                                                               Description of Overhead</t>
  </si>
  <si>
    <t>Give names of companies involved, particulars concerning the</t>
  </si>
  <si>
    <t>any such proceedings culminated during the year.</t>
  </si>
  <si>
    <t>transactions, name of the Commission authorizing the transac-</t>
  </si>
  <si>
    <t xml:space="preserve">  10.  Describe briefly any materially important transactions of</t>
  </si>
  <si>
    <t>Credits</t>
  </si>
  <si>
    <t>for Year</t>
  </si>
  <si>
    <t xml:space="preserve"> No.</t>
  </si>
  <si>
    <t>Totals (Account 145)</t>
  </si>
  <si>
    <t>DCA - Accrued OPEB Med Subsidiary</t>
  </si>
  <si>
    <t xml:space="preserve"> ACCUMULATED PROVISION FOR DEPR. AND AMORT. OF WATER PLANT (A/C 108 and 111)</t>
  </si>
  <si>
    <t>Pumping Station and Fire Service Statistics</t>
  </si>
  <si>
    <t>403-404</t>
  </si>
  <si>
    <t>2. Major short-term goals and objectives.</t>
  </si>
  <si>
    <t>3. Major operating divisions and functions.</t>
  </si>
  <si>
    <t>Reconciliation of Reported Net Income with Taxable Income</t>
  </si>
  <si>
    <t xml:space="preserve">  for Federal Income Taxes</t>
  </si>
  <si>
    <t>314</t>
  </si>
  <si>
    <t xml:space="preserve">     3.    Where the same customers are served under more than</t>
  </si>
  <si>
    <t>(320)  Land and Land Rights</t>
  </si>
  <si>
    <t>(320)</t>
  </si>
  <si>
    <t>(321)  Structures and Improvements</t>
  </si>
  <si>
    <t>(321)</t>
  </si>
  <si>
    <t>Other Special Deposits (134)</t>
  </si>
  <si>
    <t>Working Fund (135)</t>
  </si>
  <si>
    <t>Temporary Cash Investments (136)</t>
  </si>
  <si>
    <t>Add more columns for any account if deemed necessary.  Explain changes made in any account during</t>
  </si>
  <si>
    <t>Page 400</t>
  </si>
  <si>
    <t>SOURCES OF WATER SUPPLY</t>
  </si>
  <si>
    <t xml:space="preserve">          TOTAL Prepayments (per Balance Sheet)</t>
  </si>
  <si>
    <t xml:space="preserve">     Other Fully Eligible Plan Participants</t>
  </si>
  <si>
    <t xml:space="preserve">     Other Active Plan Participants</t>
  </si>
  <si>
    <t xml:space="preserve">     of such  customers included in each of the two service classifications.</t>
  </si>
  <si>
    <t>Service</t>
  </si>
  <si>
    <t>of overflow</t>
  </si>
  <si>
    <t>Material</t>
  </si>
  <si>
    <t>ft..</t>
  </si>
  <si>
    <t xml:space="preserve">zone </t>
  </si>
  <si>
    <t>closed</t>
  </si>
  <si>
    <t>supplied</t>
  </si>
  <si>
    <t>Page 406</t>
  </si>
  <si>
    <t>consultative and other professional services.  (These services include  rate, management, construction, engineering, research,</t>
  </si>
  <si>
    <t>Date</t>
  </si>
  <si>
    <t>Title of Schedule</t>
  </si>
  <si>
    <t>Page No.</t>
  </si>
  <si>
    <t>Revised</t>
  </si>
  <si>
    <t>Remarks</t>
  </si>
  <si>
    <t>(a)</t>
  </si>
  <si>
    <t>(b)</t>
  </si>
  <si>
    <t>(c)</t>
  </si>
  <si>
    <t>(d)</t>
  </si>
  <si>
    <t>224-225</t>
  </si>
  <si>
    <t>210</t>
  </si>
  <si>
    <t>(Less) Allowance for Borrowed Funds Used During Construction-Cr.</t>
  </si>
  <si>
    <t>(303)</t>
  </si>
  <si>
    <t xml:space="preserve">  TOTAL Intangible Plant (Enter Total of lines 2, 3, and 4)</t>
  </si>
  <si>
    <t>holders are applicable to this statement, include them on</t>
  </si>
  <si>
    <t xml:space="preserve">   Plant in Process of Reclassification  (103)</t>
  </si>
  <si>
    <t>remaining life of surviving plant.</t>
  </si>
  <si>
    <t>Pg 115, L 11 (d)</t>
  </si>
  <si>
    <t xml:space="preserve">Reacquired Capital Stock </t>
  </si>
  <si>
    <t>Pg 115, L 12 (d) (-)</t>
  </si>
  <si>
    <t xml:space="preserve">          Total Proprietary Capital</t>
  </si>
  <si>
    <t>Pg 115, L 21 (d)</t>
  </si>
  <si>
    <t>Pg 115, L 30 (d)</t>
  </si>
  <si>
    <t>Number of Previous Employees Vested but Not Retired</t>
  </si>
  <si>
    <t>REPORTING COMPANY</t>
  </si>
  <si>
    <t>Minimum Required Contribution</t>
  </si>
  <si>
    <t>Plant Leased to Others</t>
  </si>
  <si>
    <t>Water Treatment System</t>
  </si>
  <si>
    <t>Plant, Other Utility</t>
  </si>
  <si>
    <t>Plant, Summary of</t>
  </si>
  <si>
    <t>Power Purchased for Pumping</t>
  </si>
  <si>
    <t>Premium on Capital Stock</t>
  </si>
  <si>
    <t>302-303</t>
  </si>
  <si>
    <t>Receivables, Notes and Accounts</t>
  </si>
  <si>
    <t>Reconciliation of Reported Net Income with</t>
  </si>
  <si>
    <t xml:space="preserve">    Taxable Income for Federal Income Taxes</t>
  </si>
  <si>
    <t>TOTAL (Accounts 281, 282, 283)</t>
  </si>
  <si>
    <t>2. Report in section B the rates used to compute amortization charges for water plant (Accounts 404 and 405).  State the basis used</t>
  </si>
  <si>
    <t>the person to contact concerning this report:</t>
  </si>
  <si>
    <t>NYSPSC 347-97</t>
  </si>
  <si>
    <t>GENERAL INSTRUCTIONS</t>
  </si>
  <si>
    <t>Income Taxes -- Federal and Other (409.3)</t>
  </si>
  <si>
    <t>Extraordinary Items After Taxes (Enter Total of line 68 less line 69)</t>
  </si>
  <si>
    <t>(315)   Inflitration Galleries &amp; Tunnels</t>
  </si>
  <si>
    <t>(315)</t>
  </si>
  <si>
    <t>(316)   Supply Mains</t>
  </si>
  <si>
    <t>(316)</t>
  </si>
  <si>
    <t xml:space="preserve">(317)   Other Water Source Plant </t>
  </si>
  <si>
    <t>(317)</t>
  </si>
  <si>
    <t xml:space="preserve">  TOTAL Source of Supply Plant   (Enter Total of lines 7 thru 14)</t>
  </si>
  <si>
    <t xml:space="preserve">          3. PUMPING PLANT</t>
  </si>
  <si>
    <t>Deferred FAS 112</t>
  </si>
  <si>
    <t xml:space="preserve">     2. Show below the computation of allowance for funds</t>
  </si>
  <si>
    <t>electric***</t>
  </si>
  <si>
    <t>Pg 300, L 2 (f)</t>
  </si>
  <si>
    <t>2.  Under type, classify them as Displacement, Current, Compound, and Fire service.</t>
  </si>
  <si>
    <t>Owned by Company</t>
  </si>
  <si>
    <t>Size</t>
  </si>
  <si>
    <t>Annual</t>
  </si>
  <si>
    <t>Seasonal</t>
  </si>
  <si>
    <t>In stock</t>
  </si>
  <si>
    <t>Mid-season</t>
  </si>
  <si>
    <t xml:space="preserve">at end of </t>
  </si>
  <si>
    <t>maximum</t>
  </si>
  <si>
    <t>year</t>
  </si>
  <si>
    <t>Displacement</t>
  </si>
  <si>
    <t xml:space="preserve">  Conversion, Premium on Capital Stock, and Installments</t>
  </si>
  <si>
    <t xml:space="preserve">  Received on Capital Stock</t>
  </si>
  <si>
    <t>252</t>
  </si>
  <si>
    <t>Report particulars of notes and accounts payable to associated companies to end of year.</t>
  </si>
  <si>
    <t>Debt Discount and Expenses, Unamortized</t>
  </si>
  <si>
    <t xml:space="preserve">    - Plant Leased to Others</t>
  </si>
  <si>
    <t xml:space="preserve">    - Miscellaneous Plant Data</t>
  </si>
  <si>
    <t>Accumulated Provision for Uncollectible Accounts</t>
  </si>
  <si>
    <t>Deferred Income Taxes, Accumulated - Credit</t>
  </si>
  <si>
    <t xml:space="preserve">     -Engineering - responsible for maintaining the capital budget for the company and </t>
  </si>
  <si>
    <t>MAINTENANCE OF STRUCTURES &amp; IMPROVEMENTS</t>
  </si>
  <si>
    <t>MAINTENANCE OF COLLECTING &amp; IMPOUNDING RESERVOIRS</t>
  </si>
  <si>
    <t>Other Accounts Receivable (Account 143)</t>
  </si>
  <si>
    <t>Total (Accounts 142 and 143)</t>
  </si>
  <si>
    <t>Less: Accumulated Provision for Uncollectible  Accounts - Cr. (Account 144)</t>
  </si>
  <si>
    <t xml:space="preserve">     Total, Less Accumulated Provision for Uncollectible Accounts</t>
  </si>
  <si>
    <t>Exact legal name of reporting water utility</t>
  </si>
  <si>
    <t>(If name was changed during year, show also the previous name and date of change)</t>
  </si>
  <si>
    <t>Page 200</t>
  </si>
  <si>
    <t>Page 201</t>
  </si>
  <si>
    <t>WATER  PLANT IN SERVICE (Accounts 101, 102, and 106)</t>
  </si>
  <si>
    <t>applicable to this Statement of Income, such notes may be</t>
  </si>
  <si>
    <t xml:space="preserve">  2.  Report amounts in account 414, Other Utility Operating</t>
  </si>
  <si>
    <t>connections, not</t>
  </si>
  <si>
    <t>Average length</t>
  </si>
  <si>
    <t>Inactive</t>
  </si>
  <si>
    <t>TOTAL TRANSMISSION &amp; DISTRIBUTION EXPENSE</t>
  </si>
  <si>
    <t>ok</t>
  </si>
  <si>
    <t>16</t>
  </si>
  <si>
    <t>17</t>
  </si>
  <si>
    <t>18</t>
  </si>
  <si>
    <t>Employees</t>
  </si>
  <si>
    <t xml:space="preserve">(d)  </t>
  </si>
  <si>
    <t xml:space="preserve">(e)  </t>
  </si>
  <si>
    <t xml:space="preserve">(f)  </t>
  </si>
  <si>
    <t>Prov. for Uncollectibles for Year</t>
  </si>
  <si>
    <t>written or oral arrangement, for which aggregate payments were made during the year to any corporation,  partnership, organization of any kind,</t>
  </si>
  <si>
    <t>rights of such security.  State whether voting rights are actual</t>
  </si>
  <si>
    <t>highest voting powers in the respondent, and state the</t>
  </si>
  <si>
    <t>Protected amounts are accumulated deferred taxes that are depreciation related and are protected from rapid write-back by</t>
  </si>
  <si>
    <t>Section 203 (e) of the Tax Reform Act of 1986.</t>
  </si>
  <si>
    <t xml:space="preserve">3. </t>
  </si>
  <si>
    <t>Unprotected amounts are those accumulated deferred taxes that are not subject to Section 203 (e) of the Tax Reform Act of 1986.</t>
  </si>
  <si>
    <t xml:space="preserve">4. </t>
  </si>
  <si>
    <t>1996</t>
  </si>
  <si>
    <t>ROOSEVELT</t>
  </si>
  <si>
    <t>1941&amp;66</t>
  </si>
  <si>
    <t>44.5</t>
  </si>
  <si>
    <t>1999</t>
  </si>
  <si>
    <t>662</t>
  </si>
  <si>
    <t>1998</t>
  </si>
  <si>
    <t>663</t>
  </si>
  <si>
    <t>82</t>
  </si>
  <si>
    <t>1423</t>
  </si>
  <si>
    <t>1963&amp;98</t>
  </si>
  <si>
    <t>1952</t>
  </si>
  <si>
    <t>81</t>
  </si>
  <si>
    <t>95</t>
  </si>
  <si>
    <t>curtailments or suspensions of pensions or pension obligations during the year.  If none have occurred, state "none" on line 5.  If</t>
  </si>
  <si>
    <t xml:space="preserve">When you have completed the report, you may want to print out the entire report.  To do this,  select Print under the File menu.  In the Print Dialogue box that appears chose the Entire Workbook option in the Print What Section. </t>
  </si>
  <si>
    <t>of consideration received over stated values of stocks</t>
  </si>
  <si>
    <t>tion , and reference to Commission authorization.</t>
  </si>
  <si>
    <t xml:space="preserve">          Total Water Operating Revenues</t>
  </si>
  <si>
    <t>Operating Reserves</t>
  </si>
  <si>
    <t>Depreciation and Amortization Expense</t>
  </si>
  <si>
    <t>Income Taxes-Operating</t>
  </si>
  <si>
    <t>Other Taxes-Operating</t>
  </si>
  <si>
    <t>Capital Costs</t>
  </si>
  <si>
    <t xml:space="preserve">          Total</t>
  </si>
  <si>
    <t>PERCENT OF REVENUES</t>
  </si>
  <si>
    <t xml:space="preserve">1.     The completed original of this report form, properly filled out, shall be filed with </t>
  </si>
  <si>
    <t>Unrecognized Transition Obligation</t>
  </si>
  <si>
    <t>MTBE</t>
  </si>
  <si>
    <t xml:space="preserve">Stock Options </t>
  </si>
  <si>
    <t>Restricted Stock Gift</t>
  </si>
  <si>
    <t xml:space="preserve">Restricted Stock Units </t>
  </si>
  <si>
    <t>ESPP</t>
  </si>
  <si>
    <t>OPERATING REVENUE RELATIONSHIP</t>
  </si>
  <si>
    <t>RESIDENTIAL SALES</t>
  </si>
  <si>
    <t xml:space="preserve">           TOTAL Utility Operating Expenses (Enter Total of lines 4 thru 21)</t>
  </si>
  <si>
    <t>LONG-TERM DEBT (Accounts 221, 222, 223, and 224)</t>
  </si>
  <si>
    <t xml:space="preserve"> Dia. 116 x 32 Deep</t>
  </si>
  <si>
    <t>2500</t>
  </si>
  <si>
    <t>High</t>
  </si>
  <si>
    <t xml:space="preserve"> 200 x 200 x 9'-8"</t>
  </si>
  <si>
    <t>2800</t>
  </si>
  <si>
    <t xml:space="preserve"> "</t>
  </si>
  <si>
    <t xml:space="preserve"> Irregular</t>
  </si>
  <si>
    <t>1480</t>
  </si>
  <si>
    <t xml:space="preserve"> Dia. 120 x 30 Deep</t>
  </si>
  <si>
    <t xml:space="preserve"> Dia. 83 x 25 Deep</t>
  </si>
  <si>
    <t>1000</t>
  </si>
  <si>
    <t xml:space="preserve"> Dia. 78 x 21 Deep</t>
  </si>
  <si>
    <t xml:space="preserve"> Dia. 100 x 17 Deep</t>
  </si>
  <si>
    <t xml:space="preserve"> Dia. 106 x 15 Deep</t>
  </si>
  <si>
    <t>The "rate allowance"  to be reported on Line 2  is the amount which was projected to be charged to expense accounts (i.e., not charged</t>
  </si>
  <si>
    <t>to construction, depreciation, nor the rate base allowance related to capitalized OPEB costs) in the company's latest rate proceeding,</t>
  </si>
  <si>
    <t xml:space="preserve">  4. List separately all property previously devoted to public service and give date of transfer to Account 121, Nonutility Property.</t>
  </si>
  <si>
    <t xml:space="preserve">  5. Minor items may be grouped.</t>
  </si>
  <si>
    <t>Purchases, Sales,</t>
  </si>
  <si>
    <t>460.3, 461.3</t>
  </si>
  <si>
    <t>Industrial Sales</t>
  </si>
  <si>
    <t>462</t>
  </si>
  <si>
    <t>- -&gt;72-hour notice before shut off left at door.</t>
  </si>
  <si>
    <t>not incorporated, state that fact and give the type of organization and the date</t>
  </si>
  <si>
    <t>organized.</t>
  </si>
  <si>
    <t>Balance -- End of year (Total of lines 01, 09, 15, 16, 22, 29, 36 and 37)</t>
  </si>
  <si>
    <t xml:space="preserve">NYSPSC 347-97 </t>
  </si>
  <si>
    <t>Page 120</t>
  </si>
  <si>
    <t>STATEMENT OF RETAINED EARNINGS FOR THE YEAR (Continued)</t>
  </si>
  <si>
    <t xml:space="preserve">(a)  </t>
  </si>
  <si>
    <t>Progress (Account 107)</t>
  </si>
  <si>
    <t>Page 206</t>
  </si>
  <si>
    <t>CONSTRUCTION OVERHEADS</t>
  </si>
  <si>
    <t>Unprotected Excess Deferred FIT Balance</t>
  </si>
  <si>
    <t>Deficient Deferred FIT Balance</t>
  </si>
  <si>
    <t xml:space="preserve">               Total Water Plant in Service</t>
  </si>
  <si>
    <t>MISCELLANEOUS PLANT DATA</t>
  </si>
  <si>
    <t>MISCELLANEOUS PLANT DATA (Continued)</t>
  </si>
  <si>
    <t>associated with issues redeemed during the year.  Also, give in</t>
  </si>
  <si>
    <t xml:space="preserve">Commission authorization numbers and dates.  </t>
  </si>
  <si>
    <t>16.  Give particulars (details) concerning any long-term debt</t>
  </si>
  <si>
    <t>Merchandising,</t>
  </si>
  <si>
    <t>3.  In column (l) indicate whether Natural flow, Suction, Air lift, or</t>
  </si>
  <si>
    <t>whether supply is from springs, wells, or inflitration galleries.  Columns (f) to (l) relate to</t>
  </si>
  <si>
    <t>Deep well pump.</t>
  </si>
  <si>
    <t>wells only, but other columns should also be filled out in respect of this source of supply.</t>
  </si>
  <si>
    <t>W  E  L  L  S</t>
  </si>
  <si>
    <t>Type of</t>
  </si>
  <si>
    <t xml:space="preserve">Number </t>
  </si>
  <si>
    <t>Elevation</t>
  </si>
  <si>
    <t>Depth water</t>
  </si>
  <si>
    <t>Draw down</t>
  </si>
  <si>
    <t>(city, village or town)</t>
  </si>
  <si>
    <t>develop-</t>
  </si>
  <si>
    <t>(ground</t>
  </si>
  <si>
    <t>(driven,</t>
  </si>
  <si>
    <t>adjusted to actual applicable sales as per the above Policy Statement.</t>
  </si>
  <si>
    <t>is directly or indirectly assigned.</t>
  </si>
  <si>
    <t>of reduction in the gross rate for tax effects.</t>
  </si>
  <si>
    <t>Description of Each Construction Overhead</t>
  </si>
  <si>
    <t>Costs Incurred Internally</t>
  </si>
  <si>
    <t>Page 352-A</t>
  </si>
  <si>
    <t>Page 353-A</t>
  </si>
  <si>
    <t>DISTRIBUTION OF SALARIES AND WAGES</t>
  </si>
  <si>
    <t xml:space="preserve">  Report below the distribution of total salaries and wages</t>
  </si>
  <si>
    <t>lines and columns provided.  In determining this segregation</t>
  </si>
  <si>
    <t>Intangible Plant</t>
  </si>
  <si>
    <t>Programmed Maintenance - tank painting</t>
  </si>
  <si>
    <t>COMPARATIVE BALANCE SHEET (LIABILITIES AND OTHER CREDITS)</t>
  </si>
  <si>
    <t>PROPRIETARY CAPITAL</t>
  </si>
  <si>
    <t>Common Stock Issued (201)</t>
  </si>
  <si>
    <t>Preferred Stock Issued (204)</t>
  </si>
  <si>
    <t>Capital Stock Subscribed (202, 205)</t>
  </si>
  <si>
    <t>Stock Liability for Conversion (203, 206)</t>
  </si>
  <si>
    <t>each reportable event having occurred since the company's adoption of SFAS-87 and include those forms in the current</t>
  </si>
  <si>
    <t xml:space="preserve">     Year-to-date increase (or decrease) in actuarial discount rate </t>
  </si>
  <si>
    <t>basis points</t>
  </si>
  <si>
    <t xml:space="preserve">        Annual Report.</t>
  </si>
  <si>
    <t>Associated Companies:</t>
  </si>
  <si>
    <t xml:space="preserve">    - Advances from</t>
  </si>
  <si>
    <t xml:space="preserve">Employees, Number of </t>
  </si>
  <si>
    <t xml:space="preserve">    - Interest on Debt to</t>
  </si>
  <si>
    <t>Expenses, Operation and Maintenance</t>
  </si>
  <si>
    <t>SUMMARY OF UTILITY PLANT ACCUMULATED PROVISIONS</t>
  </si>
  <si>
    <t>FOR DEPRECIATION, AMORTIZATION AND DEPLETION</t>
  </si>
  <si>
    <t>Other (Specify)</t>
  </si>
  <si>
    <t>Water</t>
  </si>
  <si>
    <t>to use for OPEB purposes, and 2)  OPEB expense determined as required therein, are to be deferred for future recovery.   Report on</t>
  </si>
  <si>
    <t>ANALYSIS OF OPEB COSTS, FUNDING AND DEFERRALS (Continued)</t>
  </si>
  <si>
    <t xml:space="preserve">    - Payable to</t>
  </si>
  <si>
    <t>Fuel or Power Purchased for Pumping</t>
  </si>
  <si>
    <t>Report on Line 15 the expected long-term return on plan assets reported on Line 4.</t>
  </si>
  <si>
    <t>Cash Flow, shall be reconciled with the corresponding PSC statements. The reconciliation</t>
  </si>
  <si>
    <t>Pension Settlements and Curtailments, Analysis of</t>
  </si>
  <si>
    <t>Water Operating Revenues, Other</t>
  </si>
  <si>
    <t>Plant Data, Miscellaneous</t>
  </si>
  <si>
    <t>Water Purchased</t>
  </si>
  <si>
    <t>The data requested on Lines 1 through 12  are for the internal reserve, the establishment of which is required by the Commission's</t>
  </si>
  <si>
    <t>"Statement of Policy and Order Concerning the Accounting and Ratemaking Treatment for Pensions and Postretirement Benefits Other</t>
  </si>
  <si>
    <t>11.  Explain any debits and credits other than amortiza-</t>
  </si>
  <si>
    <t xml:space="preserve"> Steel</t>
  </si>
  <si>
    <t>Closed</t>
  </si>
  <si>
    <t xml:space="preserve"> Brick, Concrete &amp;</t>
  </si>
  <si>
    <t xml:space="preserve"> Aluminum</t>
  </si>
  <si>
    <t xml:space="preserve"> Concrete &amp; Aluminum</t>
  </si>
  <si>
    <t xml:space="preserve"> Pre-stressed Concrete</t>
  </si>
  <si>
    <t xml:space="preserve"> and Aluminum</t>
  </si>
  <si>
    <t xml:space="preserve">  "     "       "   </t>
  </si>
  <si>
    <t xml:space="preserve">Lines 13 through 17 the amounts relating to this requirement. </t>
  </si>
  <si>
    <t>New York State</t>
  </si>
  <si>
    <t>Jurisdiction</t>
  </si>
  <si>
    <t xml:space="preserve">      (b)   </t>
  </si>
  <si>
    <t xml:space="preserve">the year to which the report applies.  At least one additional copy shall be retained in the files of </t>
  </si>
  <si>
    <t>the reporting utility.</t>
  </si>
  <si>
    <t xml:space="preserve">2.     All utility companies upon which this report form is served are required by statute to complete and </t>
  </si>
  <si>
    <t xml:space="preserve">to file the report.  The statute further provides that when any such report is defective or believed </t>
  </si>
  <si>
    <t>(347)  Meter Installations</t>
  </si>
  <si>
    <t>(347)</t>
  </si>
  <si>
    <t xml:space="preserve">  13% SODIUM HYPO CHLORITE</t>
  </si>
  <si>
    <t>41 ° BAUME'</t>
  </si>
  <si>
    <t xml:space="preserve">  HYDRATED LIME</t>
  </si>
  <si>
    <t>GALS</t>
  </si>
  <si>
    <t>LBS.</t>
  </si>
  <si>
    <t xml:space="preserve">  Inwood</t>
  </si>
  <si>
    <t xml:space="preserve">  Hewlett</t>
  </si>
  <si>
    <t xml:space="preserve">     "   </t>
  </si>
  <si>
    <t xml:space="preserve">  Oceanside</t>
  </si>
  <si>
    <t>Vill. of Valley Stream</t>
  </si>
  <si>
    <t>Vill. of Atlantic Beech</t>
  </si>
  <si>
    <t>Ground Storage</t>
  </si>
  <si>
    <t>Other Sales to Public Authorities</t>
  </si>
  <si>
    <t>465</t>
  </si>
  <si>
    <t>Sales to Irrigation Customers</t>
  </si>
  <si>
    <t>466</t>
  </si>
  <si>
    <t>Sales for Resale</t>
  </si>
  <si>
    <t>467</t>
  </si>
  <si>
    <t>Interdepartmental Sales</t>
  </si>
  <si>
    <t xml:space="preserve">     Total Sales of Water</t>
  </si>
  <si>
    <t xml:space="preserve"> OTHER OPERATING REVENUES</t>
  </si>
  <si>
    <t>470</t>
  </si>
  <si>
    <t>Forfeited Discounts</t>
  </si>
  <si>
    <t xml:space="preserve">   c. the amount of PBO settled</t>
  </si>
  <si>
    <t>at the bottom of section C the amounts and nature of the provisions and the plant items to which related.</t>
  </si>
  <si>
    <t>Other Plan Assets (Specify ....................................)</t>
  </si>
  <si>
    <t>Garage &amp; Repair Equipment</t>
  </si>
  <si>
    <t>Steamer Connections</t>
  </si>
  <si>
    <t>Number of Hydrants in Service</t>
  </si>
  <si>
    <t>Amount of OPEB costs actually charged to Construction</t>
  </si>
  <si>
    <t xml:space="preserve">     2.    Provide a subheading and total for each prescribed</t>
  </si>
  <si>
    <t>jurisdictional operations of the reporting company, exclusive of amounts applicable to subsidiary companies which are</t>
  </si>
  <si>
    <t>subject to the Commission's jurisdiction but are separately reported.</t>
  </si>
  <si>
    <t>The quantification of amounts reported on Lines 1 - 12 shall be as of the date reported on Line 13.</t>
  </si>
  <si>
    <t>Report on Lines 1 - 3 the actuarial present value of benefits attributed employees' service rendered to the date reported</t>
  </si>
  <si>
    <t>on Line 13.</t>
  </si>
  <si>
    <t>Report on Line 4 the amount the OPEB plan(s) could expect to receive for investments in a sale between a</t>
  </si>
  <si>
    <t xml:space="preserve">          TOTAL Leased to Others (Enter Total of lines 25 and 26)</t>
  </si>
  <si>
    <t>Administrative and General</t>
  </si>
  <si>
    <t>Pg 309, L 113 (b)</t>
  </si>
  <si>
    <t>with the schedules to which they relate.</t>
  </si>
  <si>
    <t>Balance Check</t>
  </si>
  <si>
    <t>Account 282</t>
  </si>
  <si>
    <t>Account 283</t>
  </si>
  <si>
    <t>the print range. This can be corrected by one of two methods: selecting a smaller font size</t>
  </si>
  <si>
    <t>should be reported in Account 426.4, Expenditures for Certain Civic, Political and Related Activities.</t>
  </si>
  <si>
    <t xml:space="preserve">                   IN  SINKING AND</t>
  </si>
  <si>
    <t>by Charter</t>
  </si>
  <si>
    <t>Per Share</t>
  </si>
  <si>
    <t>insurance carrier.  The plan is unfunded.</t>
  </si>
  <si>
    <t>Page 357</t>
  </si>
  <si>
    <t>Employee Protective Plans (Continued)</t>
  </si>
  <si>
    <t>Page 358</t>
  </si>
  <si>
    <t>letter of Thousand, Million or Billion to indicate the unit in which quantities are expressed.</t>
  </si>
  <si>
    <t>quantities treated by each process, and the chemicals used in connection therewith.</t>
  </si>
  <si>
    <t xml:space="preserve">     billing purposes, one customer should be counted for each group of meters so added.  The average number of customers means the average of twelve figures at the close of each month. </t>
  </si>
  <si>
    <t xml:space="preserve">     Retirees Covered by the Plan</t>
  </si>
  <si>
    <t>securities or to any securities substantially all of which are out-</t>
  </si>
  <si>
    <t>Number of hydrants used.</t>
  </si>
  <si>
    <t>Total head required for max. fire draft (ft.)</t>
  </si>
  <si>
    <t>zones  designate according to zones.</t>
  </si>
  <si>
    <t>Page 405    sheet 1 of 21</t>
  </si>
  <si>
    <t>Page 405    sheet 2 of 21</t>
  </si>
  <si>
    <t>Page 405    sheet 3 of 21</t>
  </si>
  <si>
    <t>Page 405    sheet 4 of 21</t>
  </si>
  <si>
    <t>Page 405    sheet 5 of 21</t>
  </si>
  <si>
    <t>whom the franchise rights were acquired.  If acquired without</t>
  </si>
  <si>
    <t>SECURITY HOLDERS AND VOTING POWERS</t>
  </si>
  <si>
    <t xml:space="preserve">   1.  Give the names and addresses of the 10 security</t>
  </si>
  <si>
    <t>explain in a footnote the circumstances</t>
  </si>
  <si>
    <t>1.  Show the requested information concerning the service pipes used in the</t>
  </si>
  <si>
    <t xml:space="preserve">I  N  T  A  K  E  S </t>
  </si>
  <si>
    <t xml:space="preserve">Designation of </t>
  </si>
  <si>
    <t xml:space="preserve">hereunder should be identified with the system of which the meters </t>
  </si>
  <si>
    <t>Unprotected Excess Deferred Taxes</t>
  </si>
  <si>
    <t>Services-New-Lynbrook</t>
  </si>
  <si>
    <t>Preferred Stock Subscribed (Account 205)</t>
  </si>
  <si>
    <t xml:space="preserve">     Debit:</t>
  </si>
  <si>
    <t>CAPITAL STOCK SUBSCRIBED, CAPITAL STOCK LIABILITY FOR CONVERSION,</t>
  </si>
  <si>
    <t>such amounts identified by "Est."</t>
  </si>
  <si>
    <t>Respondent's exact legal name :</t>
  </si>
  <si>
    <t xml:space="preserve"> </t>
  </si>
  <si>
    <t>Address line 1:</t>
  </si>
  <si>
    <t/>
  </si>
  <si>
    <t>Address line 2:</t>
  </si>
  <si>
    <t>Example</t>
  </si>
  <si>
    <t>Date of Report</t>
  </si>
  <si>
    <t>(Mo,Da,Yr)</t>
  </si>
  <si>
    <t>Report particulars of notes and accounts receivable from associated companies at end of year.</t>
  </si>
  <si>
    <t>Amortization of Loss on Reacquired Debt</t>
  </si>
  <si>
    <t>For columns (c), (d), and (e) report available information for each plant subaccount, account or functional classification</t>
  </si>
  <si>
    <t>332.A</t>
  </si>
  <si>
    <t>Name of Vendor</t>
  </si>
  <si>
    <t>Kind of</t>
  </si>
  <si>
    <t>purchased or</t>
  </si>
  <si>
    <t>Power</t>
  </si>
  <si>
    <t>transferred</t>
  </si>
  <si>
    <t>LIPA</t>
  </si>
  <si>
    <t>Electric</t>
  </si>
  <si>
    <t>Page 310</t>
  </si>
  <si>
    <t>account affected in column (b).</t>
  </si>
  <si>
    <t>propriation is to be recurrent, state the number and annual</t>
  </si>
  <si>
    <t>Which Use Material</t>
  </si>
  <si>
    <t>the court and date of court order under which such certificates</t>
  </si>
  <si>
    <t xml:space="preserve">accrual of interest (e.g. in the company's last rate case a portion of the reserve may have been used to reduce rate base).  </t>
  </si>
  <si>
    <t>This amount should reflect the addition of a pro rata portion of the service cost and interest cost and the subtraction of</t>
  </si>
  <si>
    <t>basins or beds</t>
  </si>
  <si>
    <t>Daily capacity</t>
  </si>
  <si>
    <t>and designation of system</t>
  </si>
  <si>
    <t>or installation</t>
  </si>
  <si>
    <t>sq. ft.</t>
  </si>
  <si>
    <t>........gals*</t>
  </si>
  <si>
    <t>On line 24, the term "Maximum Amount Deductible" shall mean the amount of pension expense that is allowable under</t>
  </si>
  <si>
    <t>Actual Return on Plan Assets [(Gain) or Loss]</t>
  </si>
  <si>
    <t>Section 415 of the Internal Revenue Code.</t>
  </si>
  <si>
    <t>Deferral of Asset Gain or (Loss)</t>
  </si>
  <si>
    <t>12.</t>
  </si>
  <si>
    <t>Report on line 26 the dollar amount applicable to the reporting company which has been included in the amount on line 18.</t>
  </si>
  <si>
    <t>Amortization of Transition Amount</t>
  </si>
  <si>
    <t>13.</t>
  </si>
  <si>
    <t>104-105</t>
  </si>
  <si>
    <t>12-95</t>
  </si>
  <si>
    <t>Security Holders and Voting Powers</t>
  </si>
  <si>
    <t>106-107</t>
  </si>
  <si>
    <t>Important Changes During the Year</t>
  </si>
  <si>
    <t>108-109</t>
  </si>
  <si>
    <t>AFUDC - Net of Tax - Plant</t>
  </si>
  <si>
    <t xml:space="preserve">         (Less) Allowance for Other Funds Used During Construction</t>
  </si>
  <si>
    <t>1438</t>
  </si>
  <si>
    <t>72</t>
  </si>
  <si>
    <t>1471</t>
  </si>
  <si>
    <t>VIL. OF MALVERNE</t>
  </si>
  <si>
    <t>25.5</t>
  </si>
  <si>
    <t>491</t>
  </si>
  <si>
    <t>1100</t>
  </si>
  <si>
    <t>1966</t>
  </si>
  <si>
    <t>607</t>
  </si>
  <si>
    <t>60</t>
  </si>
  <si>
    <t>1984</t>
  </si>
  <si>
    <t>518</t>
  </si>
  <si>
    <t>VIL. OF VALLEY STREAM</t>
  </si>
  <si>
    <t>1986</t>
  </si>
  <si>
    <t>322</t>
  </si>
  <si>
    <t>1200</t>
  </si>
  <si>
    <t>1955,81&amp;2000</t>
  </si>
  <si>
    <t>485</t>
  </si>
  <si>
    <t>80</t>
  </si>
  <si>
    <t>1965&amp;95</t>
  </si>
  <si>
    <t>516</t>
  </si>
  <si>
    <t>93</t>
  </si>
  <si>
    <t>1971,96</t>
  </si>
  <si>
    <t>539</t>
  </si>
  <si>
    <t>150</t>
  </si>
  <si>
    <t>1980</t>
  </si>
  <si>
    <t>1600</t>
  </si>
  <si>
    <t xml:space="preserve">TOWN OF HEMPSTEAD </t>
  </si>
  <si>
    <t>BALDWIN</t>
  </si>
  <si>
    <t>SHALLOW</t>
  </si>
  <si>
    <t>1912</t>
  </si>
  <si>
    <t>SUCTION</t>
  </si>
  <si>
    <t>1913</t>
  </si>
  <si>
    <t>1921</t>
  </si>
  <si>
    <t>1924</t>
  </si>
  <si>
    <t>1925</t>
  </si>
  <si>
    <t>Pr.1925</t>
  </si>
  <si>
    <t>1955</t>
  </si>
  <si>
    <t>31-34</t>
  </si>
  <si>
    <t>1948</t>
  </si>
  <si>
    <t>1953</t>
  </si>
  <si>
    <t>Interest Rate Applied to NYS Jurisdiction Internal Reserve Balance</t>
  </si>
  <si>
    <t>is no taxable income for the year.  Indicate clearly the nature of each reconciling amount.</t>
  </si>
  <si>
    <t xml:space="preserve">                                     Section B. Balances at End of Year According to Functional Classifications</t>
  </si>
  <si>
    <t>Source of Supply</t>
  </si>
  <si>
    <t>Pumping</t>
  </si>
  <si>
    <t>BT-ERP-HR-Kronos-Capital</t>
  </si>
  <si>
    <t>BT-ERP-HR-Kronos Training-Scap</t>
  </si>
  <si>
    <t>BT-ERP-Tech-Kronos-ITS-H2R-Cap</t>
  </si>
  <si>
    <t>Miscellaneous Deferred Debits (Misc 1)</t>
  </si>
  <si>
    <t>Deferred Security Costs</t>
  </si>
  <si>
    <t>Deferred Customer Service Center Costs</t>
  </si>
  <si>
    <t>Loss on Disposition of Property:</t>
  </si>
  <si>
    <t>TOTAL LOSS</t>
  </si>
  <si>
    <t>Page 317</t>
  </si>
  <si>
    <t>PARTICULARS CONCERNING CERTAIN INCOME DEDUCTIONS AND INTEREST CHARGES ACCOUNTS</t>
  </si>
  <si>
    <t xml:space="preserve">beginning of year, credits, debits, and balance at end of year with a designation of the nature of </t>
  </si>
  <si>
    <t>Name of Fund and trustee if any</t>
  </si>
  <si>
    <t>Deductions on Return Not Charged Against Book Income</t>
  </si>
  <si>
    <t xml:space="preserve">   PSC Assessment</t>
  </si>
  <si>
    <t>311-312</t>
  </si>
  <si>
    <t>Miscellaneous General Expenses</t>
  </si>
  <si>
    <t>328-330</t>
  </si>
  <si>
    <t>313</t>
  </si>
  <si>
    <t>(I)</t>
  </si>
  <si>
    <t>(J)</t>
  </si>
  <si>
    <t>(K)</t>
  </si>
  <si>
    <t>(L)</t>
  </si>
  <si>
    <t>(M)</t>
  </si>
  <si>
    <t>1963&amp;2008</t>
  </si>
  <si>
    <t xml:space="preserve"> Pre-stressed Concrete&amp;Aluminum</t>
  </si>
  <si>
    <t>votes cast by proxy.</t>
  </si>
  <si>
    <t>Total:</t>
  </si>
  <si>
    <t>By proxy:</t>
  </si>
  <si>
    <t>Depreciation and Amortization</t>
  </si>
  <si>
    <t>Depreciation Exp</t>
  </si>
  <si>
    <t xml:space="preserve">     Total Depre and Amort</t>
  </si>
  <si>
    <t>Income Taxes- Operating</t>
  </si>
  <si>
    <t>COMPARATIVE STATEMENT OF UTILITY PLANT AND SELECTED RATIOS</t>
  </si>
  <si>
    <t>Plant in Service</t>
  </si>
  <si>
    <t>Intangible</t>
  </si>
  <si>
    <t>Pg 203, L 5 (g)</t>
  </si>
  <si>
    <t>Pg 203, L 15 (g)</t>
  </si>
  <si>
    <t>Pg 203, L 26 (g)</t>
  </si>
  <si>
    <t>Pg 203, L 31 (g)</t>
  </si>
  <si>
    <t>Pg 203, L 43 (g)</t>
  </si>
  <si>
    <t>Pg 205, L 56 (g)</t>
  </si>
  <si>
    <t xml:space="preserve">Purchased or Sold </t>
  </si>
  <si>
    <t>Pg 200, L 5=&gt;7 (c)</t>
  </si>
  <si>
    <t>5. CUSTOMER ACCOUNTS EXPENSES</t>
  </si>
  <si>
    <t>SUPERVISION</t>
  </si>
  <si>
    <t>METER READING EXPENSES</t>
  </si>
  <si>
    <t>CUSTOMER RECORDS AND COLLECTION EXPENSES</t>
  </si>
  <si>
    <t>UNCOLLECTIBLE ACCOUNTS</t>
  </si>
  <si>
    <t>MISC CUSTOMER ACCOUNT EXPENSES</t>
  </si>
  <si>
    <t>Page 308</t>
  </si>
  <si>
    <t>6. SALES EXPENSES</t>
  </si>
  <si>
    <t>SALES EXPENSES</t>
  </si>
  <si>
    <t>343.A</t>
  </si>
  <si>
    <t>343.B</t>
  </si>
  <si>
    <t>343.C</t>
  </si>
  <si>
    <t>390.A</t>
  </si>
  <si>
    <t>390.B</t>
  </si>
  <si>
    <t>391.A</t>
  </si>
  <si>
    <t>391.B</t>
  </si>
  <si>
    <t>391.C</t>
  </si>
  <si>
    <t>392.A</t>
  </si>
  <si>
    <t>392.B</t>
  </si>
  <si>
    <t>394.A</t>
  </si>
  <si>
    <t>394.B</t>
  </si>
  <si>
    <t>Struct &amp; Improvement SS</t>
  </si>
  <si>
    <t>Struct &amp; Improvement Pumping</t>
  </si>
  <si>
    <t>Other Power Equpment</t>
  </si>
  <si>
    <t>Other Office Equip</t>
  </si>
  <si>
    <t>Electrice Pump Equip</t>
  </si>
  <si>
    <t>Diesel Pump Equip</t>
  </si>
  <si>
    <t>Trans Equip Autos</t>
  </si>
  <si>
    <t>Pump Equip Hydraulic</t>
  </si>
  <si>
    <t>Stores Equipment</t>
  </si>
  <si>
    <t>Struct &amp; Improve Water Treatment</t>
  </si>
  <si>
    <t>Laboratory Equipment</t>
  </si>
  <si>
    <t>Ground Level Facilities</t>
  </si>
  <si>
    <t>Comm Equip Non Telephone</t>
  </si>
  <si>
    <t>Misc Equipment</t>
  </si>
  <si>
    <t>Services</t>
  </si>
  <si>
    <t>Hydrants</t>
  </si>
  <si>
    <t>Deficient Deferred FIT Balance Related to:</t>
  </si>
  <si>
    <t>1986 &amp; Prior Vintage Yr. Assets/Liab.</t>
  </si>
  <si>
    <t xml:space="preserve">   4.  State the classes of utility and other services furnished by respondent during the year</t>
  </si>
  <si>
    <t>in each State in which the respondent operated.</t>
  </si>
  <si>
    <t xml:space="preserve">   5.  Have you engaged as the principal accountant to audit your financial statements an accountant who </t>
  </si>
  <si>
    <t>Extraordinary Deductions (Account 435):</t>
  </si>
  <si>
    <t xml:space="preserve">     Total Extraordinary Deductions</t>
  </si>
  <si>
    <t>Net Extraordinary Items</t>
  </si>
  <si>
    <t>Page 321</t>
  </si>
  <si>
    <t>REGULATORY COMMISSION EXPENSES (Account 928)</t>
  </si>
  <si>
    <t>REGULATORY COMMISSION EXPENSES (Continued)</t>
  </si>
  <si>
    <t xml:space="preserve">  1.  Report particulars (details) of regulatory commission expenses</t>
  </si>
  <si>
    <t xml:space="preserve">  2.  Report in columns (b) and (c) only the current year's</t>
  </si>
  <si>
    <t>briefly in a footnote.</t>
  </si>
  <si>
    <t>duration of trust, and principal holders of beneficiary</t>
  </si>
  <si>
    <t>Report below the accumulated deferred Federal income tax assets/liabilities, as of December 31 of the reporting year, that result</t>
  </si>
  <si>
    <t>4.  Enter on this page engineering, supervision, administrative, and allowance for funds used during construction, etc., which are first</t>
  </si>
  <si>
    <t>American Water Capital Corp</t>
  </si>
  <si>
    <t>Total Other Deductions</t>
  </si>
  <si>
    <t>amount reserved or appropriated.  If such reservation or ap-</t>
  </si>
  <si>
    <t>New York American Water Company, Inc. (f/k/a Long Island Water Corp)</t>
  </si>
  <si>
    <t>Water Produced</t>
  </si>
  <si>
    <t>C  o  n  s  u  m  p  t  i  o  n</t>
  </si>
  <si>
    <t>Losses Accounted for</t>
  </si>
  <si>
    <t>Public*</t>
  </si>
  <si>
    <t>Respondent</t>
  </si>
  <si>
    <t>M. gals.</t>
  </si>
  <si>
    <t>(N)</t>
  </si>
  <si>
    <t>(O)</t>
  </si>
  <si>
    <t>* Include all sales to public authorities except those made under service classifications having general consumer applications.</t>
  </si>
  <si>
    <t>Water Used at Office &amp; Meter Shop, Filter surface washes and Treatment plants (After Distribution).</t>
  </si>
  <si>
    <t>6-1</t>
  </si>
  <si>
    <t>10-1</t>
  </si>
  <si>
    <t>14-1</t>
  </si>
  <si>
    <t>15-1</t>
  </si>
  <si>
    <t>24-1</t>
  </si>
  <si>
    <t>24-2</t>
  </si>
  <si>
    <t>8-1</t>
  </si>
  <si>
    <t>8-2A</t>
  </si>
  <si>
    <t>1953,79</t>
  </si>
  <si>
    <t>23-1</t>
  </si>
  <si>
    <t>23-2</t>
  </si>
  <si>
    <t>7-1A</t>
  </si>
  <si>
    <t>7-2</t>
  </si>
  <si>
    <t>7-3</t>
  </si>
  <si>
    <t>20-1</t>
  </si>
  <si>
    <t>4-16</t>
  </si>
  <si>
    <t>4-17</t>
  </si>
  <si>
    <t>12-1</t>
  </si>
  <si>
    <t>12-2</t>
  </si>
  <si>
    <t>22-1</t>
  </si>
  <si>
    <t>2-1A</t>
  </si>
  <si>
    <t>3-1</t>
  </si>
  <si>
    <t>3-2</t>
  </si>
  <si>
    <t>17-1</t>
  </si>
  <si>
    <t>17-2</t>
  </si>
  <si>
    <t>19-1</t>
  </si>
  <si>
    <t>19-2</t>
  </si>
  <si>
    <t>1-13</t>
  </si>
  <si>
    <t>1-17A</t>
  </si>
  <si>
    <t>1-18</t>
  </si>
  <si>
    <t>16-1</t>
  </si>
  <si>
    <t>18-1</t>
  </si>
  <si>
    <t>18-2</t>
  </si>
  <si>
    <t>Franklin Ave.</t>
  </si>
  <si>
    <t>In plants containing multiple 'pumping units (plts. 18, 19  &amp; 23)</t>
  </si>
  <si>
    <t>*Part of the pumpage appearing on line 5 for plants 5, 6 &amp; 7</t>
  </si>
  <si>
    <t>SODIUM HYPOCHLORITE PUMP</t>
  </si>
  <si>
    <t>SODIUM SILICATE TANK</t>
  </si>
  <si>
    <t>SODIUM SILICATE PUMP</t>
  </si>
  <si>
    <t>1987,01</t>
  </si>
  <si>
    <t>…T...gals*</t>
  </si>
  <si>
    <t>2007,10</t>
  </si>
  <si>
    <t>1996,07</t>
  </si>
  <si>
    <t>1933,34,40</t>
  </si>
  <si>
    <t>PLANT #6 ATLANTIC BEACH</t>
  </si>
  <si>
    <t>12 ft. diam.</t>
  </si>
  <si>
    <t>5 ft.</t>
  </si>
  <si>
    <t>1989,07</t>
  </si>
  <si>
    <t>....T..gals*</t>
  </si>
  <si>
    <t>2011</t>
  </si>
  <si>
    <t>3 filters, 3 cells ea.</t>
  </si>
  <si>
    <t>10 ft. diam.</t>
  </si>
  <si>
    <t>30 ft. long</t>
  </si>
  <si>
    <t>2 filters, 4 cells ea.</t>
  </si>
  <si>
    <t>11 ft. diam.</t>
  </si>
  <si>
    <t xml:space="preserve">    "     "       "</t>
  </si>
  <si>
    <t>1975,84</t>
  </si>
  <si>
    <t>This page intentionally left blank</t>
  </si>
  <si>
    <t>Director - Finance &amp; Treasurer</t>
  </si>
  <si>
    <t>John N. Casillo</t>
  </si>
  <si>
    <t>Assistant Treasurer &amp; Assistant Secretary</t>
  </si>
  <si>
    <t>Carl Meyers</t>
  </si>
  <si>
    <t>Michael A. Sgro</t>
  </si>
  <si>
    <t>General Counsel</t>
  </si>
  <si>
    <r>
      <t xml:space="preserve">system which serves a population of about </t>
    </r>
    <r>
      <rPr>
        <b/>
        <sz val="12"/>
        <color indexed="10"/>
        <rFont val="Arial"/>
        <family val="2"/>
      </rPr>
      <t>230,000</t>
    </r>
    <r>
      <rPr>
        <sz val="12"/>
        <rFont val="Arial"/>
        <family val="2"/>
      </rPr>
      <t xml:space="preserve"> in the southwest portion of Nassau County, New York.</t>
    </r>
  </si>
  <si>
    <r>
      <t xml:space="preserve">New York American Water supplies water for nearly </t>
    </r>
    <r>
      <rPr>
        <b/>
        <sz val="12"/>
        <color indexed="10"/>
        <rFont val="Arial"/>
        <family val="2"/>
      </rPr>
      <t>74,000</t>
    </r>
    <r>
      <rPr>
        <b/>
        <sz val="12"/>
        <rFont val="Arial"/>
        <family val="2"/>
      </rPr>
      <t xml:space="preserve"> </t>
    </r>
    <r>
      <rPr>
        <sz val="12"/>
        <rFont val="Arial"/>
        <family val="2"/>
      </rPr>
      <t>residential, commercial, industrial, public</t>
    </r>
  </si>
  <si>
    <t xml:space="preserve">New York American Water was incorporated on May 4, 1925 and is a wholly owned subsidiary of </t>
  </si>
  <si>
    <t>American Water Works Company of Voorhees, New Jersey since June 25, 1999.</t>
  </si>
  <si>
    <t xml:space="preserve">New York American Water Company, Inc. (f/k/a Long Island Water Corp) owns and operates a water supply </t>
  </si>
  <si>
    <t>and private fire protection customers.</t>
  </si>
  <si>
    <t xml:space="preserve">(a) New York American Water Company's  parent company is American Water Works Company, and </t>
  </si>
  <si>
    <t>(b) American Water Works Company owns 100% of the common stock of New York American Water.</t>
  </si>
  <si>
    <t>This page intentionally left blank.</t>
  </si>
  <si>
    <t>New York American Water Company, Inc.  audited report with footnotes to be submitted when available.</t>
  </si>
  <si>
    <t>I38-030008-01</t>
  </si>
  <si>
    <t>Plant #13 Rehab 2--0.75MG Tanks</t>
  </si>
  <si>
    <t>I38-030011-01</t>
  </si>
  <si>
    <t>I38-030015-01</t>
  </si>
  <si>
    <t>Unallocated Engineering Overhead</t>
  </si>
  <si>
    <t>I38-030024-01</t>
  </si>
  <si>
    <t>R38-03B1.07-P-0018</t>
  </si>
  <si>
    <t>replc 6"wm Miller pl Baldwin</t>
  </si>
  <si>
    <t>R38-03B1.07-P-0019</t>
  </si>
  <si>
    <t>replc 8"wm N Seaman Ave, baldwin</t>
  </si>
  <si>
    <t>R38-03B1.07-P-0026</t>
  </si>
  <si>
    <t>replc 8"wm lawrence ave inwood</t>
  </si>
  <si>
    <t>R38-03B1.08-P-0022</t>
  </si>
  <si>
    <t>tie-in 8"wm grove st cedarhurst</t>
  </si>
  <si>
    <t>R38-03B1.08-P-0024</t>
  </si>
  <si>
    <t>replc 8"wm westervelt st, hewlett</t>
  </si>
  <si>
    <t>R38-03B1.08-P-0025</t>
  </si>
  <si>
    <t>replc 8"wm Daub St, Hewlett</t>
  </si>
  <si>
    <t>R38-03B1.08-P-0026</t>
  </si>
  <si>
    <t>replc 8"wm Malecon st, bay park</t>
  </si>
  <si>
    <t>R38-03B1.08-P-0027</t>
  </si>
  <si>
    <t>replc 8"wm dart st, bay park</t>
  </si>
  <si>
    <t>R38-03B1.08-P-0028</t>
  </si>
  <si>
    <t>replc 8"wm fifth st, cedarhurst</t>
  </si>
  <si>
    <t>R38-03B1.08-P-0031</t>
  </si>
  <si>
    <t>replc 8"wm evergreen, lynbrook</t>
  </si>
  <si>
    <t>R38-03B1.08-P-0032</t>
  </si>
  <si>
    <t>replc 8"wm madison st, cedarhurst</t>
  </si>
  <si>
    <t>R38-03B1.08-P-0033</t>
  </si>
  <si>
    <t>tie-in 8"wm gregory st, valley stre</t>
  </si>
  <si>
    <t>R38-03B1.08-P-0036</t>
  </si>
  <si>
    <t>tie-in redfield rd, island park</t>
  </si>
  <si>
    <t>R38-03B1.08-P-0040</t>
  </si>
  <si>
    <t>replc 8"wm langdon pl, lynbrook</t>
  </si>
  <si>
    <t>R38-03B1.08-P-0043</t>
  </si>
  <si>
    <t>replc 6"wm Fraser Pl, Valley Stream</t>
  </si>
  <si>
    <t>R38-03B1.08-P-0044</t>
  </si>
  <si>
    <t>R38-03B1.08-P-0046</t>
  </si>
  <si>
    <t>replc 8"wm barrett rd phase 1</t>
  </si>
  <si>
    <t>R38-03B1.08-P-0047</t>
  </si>
  <si>
    <t>R38-03B1.08-P-0049</t>
  </si>
  <si>
    <t>replc 6"wm sperry st, E Rockaway</t>
  </si>
  <si>
    <t>R38-03B1.08-P-0050</t>
  </si>
  <si>
    <t>replc 6"wm cooke st east, east rock</t>
  </si>
  <si>
    <t>R38-03B1.08-P-0052</t>
  </si>
  <si>
    <t>replc 6"wm emmett ave, easy rockawa</t>
  </si>
  <si>
    <t>R38-03B1.08-P-0053</t>
  </si>
  <si>
    <t>tie-in w jamaica av valley stream</t>
  </si>
  <si>
    <t>R38-03B1.08-P-0080</t>
  </si>
  <si>
    <t>replc main southard st, baldwin</t>
  </si>
  <si>
    <t>R38-03B1.08-P-0082</t>
  </si>
  <si>
    <t>replc main linwood ave, cedarhurst</t>
  </si>
  <si>
    <t>R38-03B1.08-P-0100</t>
  </si>
  <si>
    <t>8" replc Bay Front Dr. Bald, TOH</t>
  </si>
  <si>
    <t>R38-03B1.08-P-0101</t>
  </si>
  <si>
    <t>R38-03B1.08-P-0106</t>
  </si>
  <si>
    <t>Quebec Rd, Island Pk Replc 8" DI</t>
  </si>
  <si>
    <t>R38-03B1.08-P-0107</t>
  </si>
  <si>
    <t>R38-03B1.08-P-0108</t>
  </si>
  <si>
    <t>Roxbury Rd E.Rock Replc 8" DI</t>
  </si>
  <si>
    <t>R38-03B1.08-P-0110</t>
  </si>
  <si>
    <t>R38-03B1.08-P-0111</t>
  </si>
  <si>
    <t>R38-03B1.08-P-0115</t>
  </si>
  <si>
    <t>R38-03B1.08-P-0119</t>
  </si>
  <si>
    <t>R38-03B1.09-P-0006</t>
  </si>
  <si>
    <t>Brookside Ave, Roosevelt TieIn 8"DI</t>
  </si>
  <si>
    <t>R38-03B1.09-P-0011</t>
  </si>
  <si>
    <t>Brookside Dr Baldwin 6" DI</t>
  </si>
  <si>
    <t>R38-03B1.09-P-0012</t>
  </si>
  <si>
    <t>Olive Pl Lynbrook 6" DI</t>
  </si>
  <si>
    <t>R38-03B1.09-P-0014</t>
  </si>
  <si>
    <t>Brook Ct Baldwin 6" DI</t>
  </si>
  <si>
    <t>R38-03B1.09-P-0015</t>
  </si>
  <si>
    <t>Laurel Ct Baldwin 6" DI</t>
  </si>
  <si>
    <t>R38-03B1.09-P-0016</t>
  </si>
  <si>
    <t>Lake St Oceanside 6" DI</t>
  </si>
  <si>
    <t>R38-03B1.09-P-0024</t>
  </si>
  <si>
    <t>Chapman Ave,Woodmere Repl 8" DI</t>
  </si>
  <si>
    <t>R38-03B1.09-P-0031</t>
  </si>
  <si>
    <t>R38-03B1.09-P-0032</t>
  </si>
  <si>
    <t>Perkins Ave, Oceanside 6" DI Pipe</t>
  </si>
  <si>
    <t>R38-03B1.09-P-0033</t>
  </si>
  <si>
    <t>Moore Ave Oceanside Repl 6" DI Pipe</t>
  </si>
  <si>
    <t>R38-03B1.09-P-0034</t>
  </si>
  <si>
    <t>Cortland Ave Oceanside 6" DI Tie In</t>
  </si>
  <si>
    <t>R38-03B1.09-P-0039</t>
  </si>
  <si>
    <t>Marion Pl Baldwin Repl 6" DI Pipe</t>
  </si>
  <si>
    <t>R38-03B1.09-P-0040</t>
  </si>
  <si>
    <t>Montgomery Ave Oceanside 6" DI Repl</t>
  </si>
  <si>
    <t>R38-03B1.09-P-0041</t>
  </si>
  <si>
    <t>Harbor Rd Hewlett Hr Vil 12"DI Repl</t>
  </si>
  <si>
    <t>R38-03B1.09-P-0042</t>
  </si>
  <si>
    <t>Benedict Ave VS 8"&amp;6" DI Pipe Repl</t>
  </si>
  <si>
    <t>R38-03B1.09-P-0043</t>
  </si>
  <si>
    <t>Phipps Ave E Rock 6"DI Replc TieIn</t>
  </si>
  <si>
    <t>R38-03B1.10-P-0003</t>
  </si>
  <si>
    <t>E Argyle St. VS Replc 8" DI Pipe</t>
  </si>
  <si>
    <t>R38-03B1.10-P-0004</t>
  </si>
  <si>
    <t>E Fairview Ave VS Replc 6" DI Pipe</t>
  </si>
  <si>
    <t>R38-03B1.10-P-0005</t>
  </si>
  <si>
    <t>R38-03B1.10-P-0008</t>
  </si>
  <si>
    <t>E Mineola Ave VS Replc 6" DI Pipe</t>
  </si>
  <si>
    <t>R38-03B1.10-P-0009</t>
  </si>
  <si>
    <t>E. Oxford St VS Replc 6" DI Pipe</t>
  </si>
  <si>
    <t>R38-03B1.10-P-0010</t>
  </si>
  <si>
    <t>E Saint Marks St VS Replc 8" DI Pip</t>
  </si>
  <si>
    <t>R38-03B1.10-P-0011</t>
  </si>
  <si>
    <t>Manor Rd VS Replc 6" DI Pipe</t>
  </si>
  <si>
    <t>R38-03B1.10-P-0013</t>
  </si>
  <si>
    <t>W Argyle St VS Replc 6" DI Pipe</t>
  </si>
  <si>
    <t>R38-03B1.10-P-0014</t>
  </si>
  <si>
    <t>Clinton St VS Tie In 6" DI Pipe</t>
  </si>
  <si>
    <t>R38-03B1.10-P-0015</t>
  </si>
  <si>
    <t>W Chester St VS Replc 6" DI Pipe</t>
  </si>
  <si>
    <t>R38-03B1.10-P-0016</t>
  </si>
  <si>
    <t>W Euclid St VS Replc 6" DI Pipe</t>
  </si>
  <si>
    <t>R38-03B1.10-P-0017</t>
  </si>
  <si>
    <t>W Saint Marks Pl VS Replc 8" DI Pip</t>
  </si>
  <si>
    <t>R38-03B1.10-P-0019</t>
  </si>
  <si>
    <t>Nassau Ln Island Pk Replc 8" DI Pip</t>
  </si>
  <si>
    <t>R38-03B1.10-P-0022</t>
  </si>
  <si>
    <t>R38-03B1.10-P-0035</t>
  </si>
  <si>
    <t>Lawrence Replc 8" DI</t>
  </si>
  <si>
    <t>R38-03B1.10-P-0036</t>
  </si>
  <si>
    <t>Ocean Ave Lawrence Replc 8" DI Pip</t>
  </si>
  <si>
    <t>R38-03B1.10-P-0037</t>
  </si>
  <si>
    <t>Oneida Ave Atlantic Bch Repl 8" TJ</t>
  </si>
  <si>
    <t>R38-03B1.11-P-0002</t>
  </si>
  <si>
    <t>R38-03B1.11-P-0004</t>
  </si>
  <si>
    <t>Cail Dr. E Rock 12" DI Pipe</t>
  </si>
  <si>
    <t>R38-03B1.11-P-0013</t>
  </si>
  <si>
    <t>R38-03B1.11-P-0014</t>
  </si>
  <si>
    <t>R38-03B1.11-P-0019</t>
  </si>
  <si>
    <t>Hicks St VS Tie-In 6" DI Pipe</t>
  </si>
  <si>
    <t>R38-03B1.11-P-0024</t>
  </si>
  <si>
    <t>W. Fairview Ave V.S Replc 8" DI Pip</t>
  </si>
  <si>
    <t>R38-03B1.11-P-0025</t>
  </si>
  <si>
    <t>W. Lincoln Ave V.S. 8" &amp; 6" Replc</t>
  </si>
  <si>
    <t>R38-03B1.11-P-0029</t>
  </si>
  <si>
    <t>Fishermans Rd Baldwin Replc 8" DI</t>
  </si>
  <si>
    <t>R38-03B1.11-P-0030</t>
  </si>
  <si>
    <t>Montgomery St VS Replc 6" DI Pipe</t>
  </si>
  <si>
    <t>R38-03B1.11-P-0033</t>
  </si>
  <si>
    <t>Cottage St VS 6" DI Pipe Replc</t>
  </si>
  <si>
    <t>R38-03B1.11-P-0034</t>
  </si>
  <si>
    <t>Harding St Oceanside 6" DI Tie-In</t>
  </si>
  <si>
    <t>R38-03B1.11-P-0036</t>
  </si>
  <si>
    <t>Hayes Pl Baldwin 6" DI Pipe Replc</t>
  </si>
  <si>
    <t>R38-03B1.11-P-0037</t>
  </si>
  <si>
    <t>Jackson Pl Baldwin 6" DI Replc</t>
  </si>
  <si>
    <t>R38-03B1.11-P-0039</t>
  </si>
  <si>
    <t>Washington Pl Baldwin 6" DI Pipe</t>
  </si>
  <si>
    <t>R38-03B1.11-P-0040</t>
  </si>
  <si>
    <t>Rockaway Rd Hewlett 8" DI Replc</t>
  </si>
  <si>
    <t>R38-03B1.11-P-0041</t>
  </si>
  <si>
    <t>Island Pkwy Island Pk 8" Tie-In</t>
  </si>
  <si>
    <t>R38-03B1.11-P-0044</t>
  </si>
  <si>
    <t>Colony Dr Baldwin 8" &amp; 6" DI Pipe</t>
  </si>
  <si>
    <t>R38-03B1.11-P-0045</t>
  </si>
  <si>
    <t>R38-03B1.11-P-0047</t>
  </si>
  <si>
    <t>Oak St Woodmere Replc 8" DI Pipe</t>
  </si>
  <si>
    <t>R38-03B1.11-P-0049</t>
  </si>
  <si>
    <t>Pine St Woodmere Replc 8" DI Pipe</t>
  </si>
  <si>
    <t>R38-03B1.11-P-0050</t>
  </si>
  <si>
    <t>R38-03B1.11-P-0051</t>
  </si>
  <si>
    <t>R38-03B1.11-P-0052</t>
  </si>
  <si>
    <t>R38-03B1.11-P-0053</t>
  </si>
  <si>
    <t>Lancaster St Lynbrook 6" DI Pipe</t>
  </si>
  <si>
    <t>R38-03B1.11-P-0055</t>
  </si>
  <si>
    <t>R38-03B1.11-P-0057</t>
  </si>
  <si>
    <t>R38-03B1.12-P-0001</t>
  </si>
  <si>
    <t>R38-03B1.12-P-0002</t>
  </si>
  <si>
    <t>Edna Ct Baldwin 8" / 6" DI Replc</t>
  </si>
  <si>
    <t>R38-03B1.12-P-0006</t>
  </si>
  <si>
    <t>R38-03B1.12-P-0011</t>
  </si>
  <si>
    <t>R38-03B1.12-P-0014</t>
  </si>
  <si>
    <t>Northumberland Gate Valley Stream</t>
  </si>
  <si>
    <t>R38-03B1.12-P-0020</t>
  </si>
  <si>
    <t>Jackson Pl Hewlett 6" DI Pipe</t>
  </si>
  <si>
    <t>R38-03B1.12-P-0027</t>
  </si>
  <si>
    <t>R38-03B1.12-P-0040</t>
  </si>
  <si>
    <t>R38-03B1.12-P-0042</t>
  </si>
  <si>
    <t>Emerson Ave Baldwin Replc</t>
  </si>
  <si>
    <t>R38-03B1.12-P-0047</t>
  </si>
  <si>
    <t>Broadway Hewlett 4" GV Replc</t>
  </si>
  <si>
    <t>R38-03B1.12-P-0061</t>
  </si>
  <si>
    <t>Reyem Dr Inwood 6" DI Replc</t>
  </si>
  <si>
    <t>R38-03D1.12-P-0001</t>
  </si>
  <si>
    <t>R38-03H1.07-P-0004</t>
  </si>
  <si>
    <t>R38-03H1.07-P-0005</t>
  </si>
  <si>
    <t>R38-03J1.07-P-0001</t>
  </si>
  <si>
    <t>R38-03J1.07-P-0002</t>
  </si>
  <si>
    <t>R38-03J1.07-P-0006</t>
  </si>
  <si>
    <t>R38-03J1.07-P-0007</t>
  </si>
  <si>
    <t>R38-03J1.07-P-0008</t>
  </si>
  <si>
    <t>R38-03J1.07-P-0009</t>
  </si>
  <si>
    <t>R38-03J1.07-P-0010</t>
  </si>
  <si>
    <t>R38-03J1.07-P-0016</t>
  </si>
  <si>
    <t>R38-03J1.07-P-0023</t>
  </si>
  <si>
    <t>R38-03J1.07-P-0030</t>
  </si>
  <si>
    <t>R38-03L1.11-P-0001</t>
  </si>
  <si>
    <t>R38-03L1.12-P-0001</t>
  </si>
  <si>
    <t>SCADA Equipment and Systems</t>
  </si>
  <si>
    <t>R38-03M1.11-P-0002</t>
  </si>
  <si>
    <t>R38-03N1.12-P-0005</t>
  </si>
  <si>
    <t>2012 Hurricane Sandy</t>
  </si>
  <si>
    <t>R38-03Q1.10-P-0002</t>
  </si>
  <si>
    <t>R38-03Q1.11-P-0090</t>
  </si>
  <si>
    <t>R38-03Q1.12-P-0008</t>
  </si>
  <si>
    <t>R38-03Q1.12-P-0028</t>
  </si>
  <si>
    <t>Plt 24 Water Treatment Pilot Study</t>
  </si>
  <si>
    <t>R38-03S1.07-P-0001</t>
  </si>
  <si>
    <t>Design Cost Baldwin 20" Main</t>
  </si>
  <si>
    <t>R38-03S1.10-P-0001</t>
  </si>
  <si>
    <t>Baldwin 20" Transmission Main</t>
  </si>
  <si>
    <t>R38-03S1.10-P-0002</t>
  </si>
  <si>
    <t>R38-03S1.11-P-0002</t>
  </si>
  <si>
    <t>R38-03S1.12-P-0001</t>
  </si>
  <si>
    <t>NYC Interconnections Study</t>
  </si>
  <si>
    <t>R38-03S1.12-P-0002</t>
  </si>
  <si>
    <t>Caustic Treatment Study</t>
  </si>
  <si>
    <t>R38-03S1.12-P-0003</t>
  </si>
  <si>
    <t>ARC GIS Project LIAW Data Migration</t>
  </si>
  <si>
    <t>T38-0302-P-0060</t>
  </si>
  <si>
    <t>T38-0302-P-0062</t>
  </si>
  <si>
    <t>BT-ERP-HR-"Ad Hocs"-Kronos-Capital</t>
  </si>
  <si>
    <t>T38-0302-P-0087</t>
  </si>
  <si>
    <t>T38-0302-P-0104</t>
  </si>
  <si>
    <t>T38-0302-P-0112</t>
  </si>
  <si>
    <t>BT-ERP-Implmt-Bus-Kronos-Capital</t>
  </si>
  <si>
    <t>T38-0302-P-0114</t>
  </si>
  <si>
    <t>BT-ERP-Implmt-ITS-Kronos-Capital</t>
  </si>
  <si>
    <t>T38-0302-P-0219</t>
  </si>
  <si>
    <t>BT-HR Project-Implementation-HR-Cap</t>
  </si>
  <si>
    <t>T38-0302-P-0221</t>
  </si>
  <si>
    <t>BT-HR ProjectData Conversion-HR-PIS</t>
  </si>
  <si>
    <t>392.C</t>
  </si>
  <si>
    <t>392.D</t>
  </si>
  <si>
    <t>Other P/E CPS</t>
  </si>
  <si>
    <t>Trans Equip Lt Duty Trks</t>
  </si>
  <si>
    <t>Trans Equip Hvy Duty Trks</t>
  </si>
  <si>
    <t>Trans Equip Other</t>
  </si>
  <si>
    <t>a rep</t>
  </si>
  <si>
    <t>A/P Intercompany</t>
  </si>
  <si>
    <t>Rate Case 2011 - Amortize for 36 month per PSC</t>
  </si>
  <si>
    <t>State Current Tax Provision</t>
  </si>
  <si>
    <t>Inc Tax Recoverable thru Rates</t>
  </si>
  <si>
    <t>A/R Associated Company(SVC Co)</t>
  </si>
  <si>
    <t>AEROTEK ENVIRONMENTAL</t>
  </si>
  <si>
    <t xml:space="preserve">4.30% Senior Notes </t>
  </si>
  <si>
    <t>various</t>
  </si>
  <si>
    <t>Page 208-A</t>
  </si>
  <si>
    <t>Misc Sales Billed Unmetered</t>
  </si>
  <si>
    <t>New Well 20-2  AS</t>
  </si>
  <si>
    <t>I38-030026-01</t>
  </si>
  <si>
    <t>Plant 5 Common Suction wells Ph 2B</t>
  </si>
  <si>
    <t>I38-030032-01</t>
  </si>
  <si>
    <t>NYAW Main Office level 1</t>
  </si>
  <si>
    <t>replc 12wm gates ave inwood AS</t>
  </si>
  <si>
    <t>replc 8wm barrett rd phase 2 AS</t>
  </si>
  <si>
    <t>Chauncey Way Law Village 8 Tie in</t>
  </si>
  <si>
    <t>Horton St Malverne Replc 8 DI AS</t>
  </si>
  <si>
    <t>Sealy Ct.Lawrence Replc 8 DI Pipe</t>
  </si>
  <si>
    <t>Burton LnLawrence Tie In 1350' AS</t>
  </si>
  <si>
    <t xml:space="preserve">Rutherford Ln, Lawrence Replc 8"DI </t>
  </si>
  <si>
    <t xml:space="preserve">Riverside Dr, Oceanside Repl 8" DI </t>
  </si>
  <si>
    <t>E Maujer St VS Replc 8 DI Pipe AS</t>
  </si>
  <si>
    <t>Bannisters Ln Lawrence 8 DI Pipe A</t>
  </si>
  <si>
    <t xml:space="preserve">Oceanside Rd Oceanside 8" DI </t>
  </si>
  <si>
    <t>Nassau Blvd Malverne Replc 8 DI  A</t>
  </si>
  <si>
    <t>Lexintgton Ave Malverne Rep 8 DI A</t>
  </si>
  <si>
    <t xml:space="preserve">Elm St Woodmere Replc 8" DI Pipe </t>
  </si>
  <si>
    <t>Brower's Point Branch Wd 8 DI Pipe</t>
  </si>
  <si>
    <t>DeSibio Place Inwood 8/ 6 DI Pipe</t>
  </si>
  <si>
    <t>E Chester St VS 8 / 6 DI Pipe AS</t>
  </si>
  <si>
    <t>Railroad Ave Island Pk 8 / 6 DI A</t>
  </si>
  <si>
    <t>Ruth Pl Lynbrook 6 DI Pipe AS</t>
  </si>
  <si>
    <t>R38-03B1.11-P-0058</t>
  </si>
  <si>
    <t>Washington Pl Island Pk 6 DI Pipe</t>
  </si>
  <si>
    <t>Coda Ct Lakeview 16 HDPE  AS</t>
  </si>
  <si>
    <t>Sherborne Island Pk 4 Blow off AS</t>
  </si>
  <si>
    <t>Frost Place Vill of Lawrence AS</t>
  </si>
  <si>
    <t>R38-03B1.12-P-0012</t>
  </si>
  <si>
    <t>Cornell Pl E Rockaway 6" DI Tie-In</t>
  </si>
  <si>
    <t>R38-03B1.12-P-0013</t>
  </si>
  <si>
    <t>Munro Blvd Valley Stream DI Pipe AS</t>
  </si>
  <si>
    <t>R38-03B1.12-P-0015</t>
  </si>
  <si>
    <t>Quay Ave Hewlett 8 DI Pipe AS</t>
  </si>
  <si>
    <t>R38-03B1.12-P-0018</t>
  </si>
  <si>
    <t>Gold Pl Malverne 6 DI Pipe AS</t>
  </si>
  <si>
    <t>R38-03B1.12-P-0021</t>
  </si>
  <si>
    <t>Oakmere Drive Baldwin Replc DI Pipe</t>
  </si>
  <si>
    <t>R38-03B1.12-P-0023</t>
  </si>
  <si>
    <t>Pershing Pl Island Park DI Pipe AS</t>
  </si>
  <si>
    <t>Woodmere Blvd Woodsburgh AS</t>
  </si>
  <si>
    <t>R38-03B1.12-P-0038</t>
  </si>
  <si>
    <t>Wedgewood Ln Lawrence 6 DI  AS</t>
  </si>
  <si>
    <t>R38-03B1.12-P-0039</t>
  </si>
  <si>
    <t>Wildarce Ave Lawrence 6 DI Pipe AS</t>
  </si>
  <si>
    <t>Woodfield Rd Lakeview  AS</t>
  </si>
  <si>
    <t>R38-03B1.12-P-0049</t>
  </si>
  <si>
    <t>Mott St &amp; Lorrie Dr Oceanside GV AS</t>
  </si>
  <si>
    <t>R38-03B1.12-P-0060</t>
  </si>
  <si>
    <t>Central Ave &amp; Sutton Pl Lawrence 8"</t>
  </si>
  <si>
    <t>R38-03B1.13-P-0004</t>
  </si>
  <si>
    <t>Dean St VS</t>
  </si>
  <si>
    <t>R38-03B1.13-P-0005</t>
  </si>
  <si>
    <t>Elmwood St VS</t>
  </si>
  <si>
    <t>R38-03B1.13-P-0009</t>
  </si>
  <si>
    <t>State St VS</t>
  </si>
  <si>
    <t>R38-03B1.13-P-0014</t>
  </si>
  <si>
    <t>Seaman Ave &amp; Harte St Baldwin 12" W</t>
  </si>
  <si>
    <t>R38-03B1.13-P-0016</t>
  </si>
  <si>
    <t>Oceanpoint Avenue Cedarhurst 8" WM</t>
  </si>
  <si>
    <t>R38-03B1.13-P-0017</t>
  </si>
  <si>
    <t>Sealy Drive Lawrence 8" WM</t>
  </si>
  <si>
    <t>R38-03B1.13-P-0018</t>
  </si>
  <si>
    <t>Albro Lane Lawrence 8" WM</t>
  </si>
  <si>
    <t>R38-03B1.13-P-0019</t>
  </si>
  <si>
    <t>Meadow Drive Lawrence 8" WM</t>
  </si>
  <si>
    <t>R38-03B1.13-P-0032</t>
  </si>
  <si>
    <t>Bond Ave Malverne 8 DI Pipe</t>
  </si>
  <si>
    <t>R38-03B1.13-P-0034</t>
  </si>
  <si>
    <t>Franklin Place &amp; Central Hewlett 12</t>
  </si>
  <si>
    <t>R38-03B1.13-P-0036</t>
  </si>
  <si>
    <t>Eva Ct &amp; Everett Ct Baldwin 8" DI P</t>
  </si>
  <si>
    <t>R38-03B1.13-P-0037</t>
  </si>
  <si>
    <t>Hempstead Gardens Dr W Hempstead 8"</t>
  </si>
  <si>
    <t>R38-03B1.13-P-0038</t>
  </si>
  <si>
    <t>Eagle Ave W Hempstead 8" WM</t>
  </si>
  <si>
    <t>R38-03B1.13-P-0039</t>
  </si>
  <si>
    <t>Park Ave (Dorn St) W Hempstead 8" W</t>
  </si>
  <si>
    <t>R38-03B1.13-P-0046</t>
  </si>
  <si>
    <t>Ivanhoe Pl &amp; Jefferson Ave VS 8" WM</t>
  </si>
  <si>
    <t>R38-03B1.13-P-0047</t>
  </si>
  <si>
    <t>Mott Street Oceanside 8" WM Leak</t>
  </si>
  <si>
    <t>R38-03B1.13-P-0052</t>
  </si>
  <si>
    <t>Lakewood Blvd Lynbrook 8 DI Pipe</t>
  </si>
  <si>
    <t>R38-03B1.13-P-0054</t>
  </si>
  <si>
    <t>Royal Ave &amp; Albern Ave Oceanside 8"</t>
  </si>
  <si>
    <t>R38-03B1.13-P-0055</t>
  </si>
  <si>
    <t>Hartwell Pl Hewlett Replc Hydrant N</t>
  </si>
  <si>
    <t>R38-03B1.13-P-0056</t>
  </si>
  <si>
    <t>Main Offset Main St &amp; Walnut E Rock</t>
  </si>
  <si>
    <t>R38-03B1.13-P-0057</t>
  </si>
  <si>
    <t>East Rockway Rd East Rockaway 8" WM</t>
  </si>
  <si>
    <t>R38-03C1.13-P-0001</t>
  </si>
  <si>
    <t>Unsch Main Repl Valve Repl Blow Off</t>
  </si>
  <si>
    <t>R38-03C1.13-P-0002</t>
  </si>
  <si>
    <t>R38-03C1.13-P-0003</t>
  </si>
  <si>
    <t>R38-03C1.13-P-0004</t>
  </si>
  <si>
    <t>R38-03C1.13-P-0005</t>
  </si>
  <si>
    <t>R38-03C1.13-P-0006</t>
  </si>
  <si>
    <t>R38-03C1.13-P-0008</t>
  </si>
  <si>
    <t>R38-03C1.13-P-0010</t>
  </si>
  <si>
    <t>R38-03C1.13-P-0011</t>
  </si>
  <si>
    <t>R38-03C1.13-P-0013</t>
  </si>
  <si>
    <t>Unsch Main Repl, Valve Repl, Blow O</t>
  </si>
  <si>
    <t>Temporary D1 Work Order for BT AS</t>
  </si>
  <si>
    <t>R38-03E1.13-P-0001</t>
  </si>
  <si>
    <t xml:space="preserve">Hyd &amp; Vlvs-New-NYAW WEST - Town of </t>
  </si>
  <si>
    <t>R38-03E1.13-P-0004</t>
  </si>
  <si>
    <t>Hyd &amp; Vlvs-New-Lynbrook</t>
  </si>
  <si>
    <t>R38-03E1.13-P-0011</t>
  </si>
  <si>
    <t>Hydr &amp; Vlvs-New-Valley Stream</t>
  </si>
  <si>
    <t>R38-03F1.13-P-0001</t>
  </si>
  <si>
    <t xml:space="preserve">Hyd &amp; Vlvs-Repl-NYAW WEST- Town of </t>
  </si>
  <si>
    <t>R38-03F1.13-P-0003</t>
  </si>
  <si>
    <t>Hyd &amp; Vlvs-Repl-Island Park</t>
  </si>
  <si>
    <t>R38-03F1.13-P-0004</t>
  </si>
  <si>
    <t>Hyd &amp; Vlvs-Repl-Lynbrook</t>
  </si>
  <si>
    <t>R38-03F1.13-P-0005</t>
  </si>
  <si>
    <t>Hyd &amp; Vlvs-Repl-Malverne</t>
  </si>
  <si>
    <t>R38-03F1.13-P-0006</t>
  </si>
  <si>
    <t>Hydr &amp; Vlvs-Rep-Cedarhurst</t>
  </si>
  <si>
    <t>R38-03F1.13-P-0010</t>
  </si>
  <si>
    <t>R38-03F1.13-P-0011</t>
  </si>
  <si>
    <t>Hydr &amp; Vlvs-Repl-Valley Stream</t>
  </si>
  <si>
    <t>R38-03F1.13-P-0013</t>
  </si>
  <si>
    <t>Hyd &amp; Vlvs-Rep-E Rockaway</t>
  </si>
  <si>
    <t>R38-03G1.13-P-0001</t>
  </si>
  <si>
    <t>Services-New-NYAW WEST - Town of He</t>
  </si>
  <si>
    <t>R38-03G1.13-P-0003</t>
  </si>
  <si>
    <t>Services-New-Island Park</t>
  </si>
  <si>
    <t>R38-03G1.13-P-0004</t>
  </si>
  <si>
    <t>R38-03G1.13-P-0005</t>
  </si>
  <si>
    <t>Services-New-Malverne</t>
  </si>
  <si>
    <t>R38-03G1.13-P-0009</t>
  </si>
  <si>
    <t>Services-New-Hewlett Neck</t>
  </si>
  <si>
    <t>R38-03G1.13-P-0010</t>
  </si>
  <si>
    <t>R38-03G1.13-P-0011</t>
  </si>
  <si>
    <t>Services New-Valley Stream</t>
  </si>
  <si>
    <t>R38-03G1.13-P-0013</t>
  </si>
  <si>
    <t>Services-New-E Rockaway</t>
  </si>
  <si>
    <t>Services-Repl-Island Park AS</t>
  </si>
  <si>
    <t>Services-Repl-Oceanside AS</t>
  </si>
  <si>
    <t>R38-03H1.13-P-0001</t>
  </si>
  <si>
    <t>Services-Repl-NYAW WEST - Town of H</t>
  </si>
  <si>
    <t>R38-03H1.13-P-0002</t>
  </si>
  <si>
    <t>R38-03H1.13-P-0003</t>
  </si>
  <si>
    <t>R38-03H1.13-P-0004</t>
  </si>
  <si>
    <t>R38-03H1.13-P-0005</t>
  </si>
  <si>
    <t>R38-03H1.13-P-0006</t>
  </si>
  <si>
    <t>Services-Repl-Cedarhurst</t>
  </si>
  <si>
    <t>R38-03H1.13-P-0007</t>
  </si>
  <si>
    <t>Services-Repl-Hewlett Bay Park</t>
  </si>
  <si>
    <t>R38-03H1.13-P-0008</t>
  </si>
  <si>
    <t>Services-Repl-Hewlett Harbor</t>
  </si>
  <si>
    <t>R38-03H1.13-P-0009</t>
  </si>
  <si>
    <t>Services-Repl-Hewlett Neck</t>
  </si>
  <si>
    <t>R38-03H1.13-P-0010</t>
  </si>
  <si>
    <t>Services-Repl-Lawrence</t>
  </si>
  <si>
    <t>R38-03H1.13-P-0011</t>
  </si>
  <si>
    <t>Services Repl-Valley Stream</t>
  </si>
  <si>
    <t>R38-03H1.13-P-0012</t>
  </si>
  <si>
    <t>Services-Repl-Woodsburgh</t>
  </si>
  <si>
    <t>R38-03H1.13-P-0013</t>
  </si>
  <si>
    <t>Services-Repl-E Rockaway</t>
  </si>
  <si>
    <t>R38-03I1.13-P-0001</t>
  </si>
  <si>
    <t>Meters-New-NYAW WEST - Town of Hemp</t>
  </si>
  <si>
    <t>Meters-Repl-Oceanside AS</t>
  </si>
  <si>
    <t>Meters-Repl-Roosevelt AS</t>
  </si>
  <si>
    <t>R38-03J1.07-P-0003</t>
  </si>
  <si>
    <t>Meters-Repl-Lakeview AS</t>
  </si>
  <si>
    <t>R38-03J1.07-P-0005</t>
  </si>
  <si>
    <t>Meters-Repl-Malverne AS</t>
  </si>
  <si>
    <t>Meters-Repl-Baldwin AS</t>
  </si>
  <si>
    <t>Meters-Repl-Inwood AS</t>
  </si>
  <si>
    <t>Meters-Repl-Hewlett Vly Stream AS</t>
  </si>
  <si>
    <t>Meters-Repl-Atlantic Beach AS</t>
  </si>
  <si>
    <t>Meters-Repl-S. Hempstead AS</t>
  </si>
  <si>
    <t>R38-03J1.07-P-0011</t>
  </si>
  <si>
    <t>Meters-Repl-Island Park AS</t>
  </si>
  <si>
    <t>R38-03J1.07-P-0012</t>
  </si>
  <si>
    <t>Meters-Rep-Cedarhurst AS</t>
  </si>
  <si>
    <t>Meters-Rep-Hewlett Bay Park AS</t>
  </si>
  <si>
    <t>R38-03J1.07-P-0019</t>
  </si>
  <si>
    <t>Meters-Rep-Barnum Island AS</t>
  </si>
  <si>
    <t>R38-03J1.07-P-0021</t>
  </si>
  <si>
    <t>Meters-Rep-Hewlett Harbor   AS</t>
  </si>
  <si>
    <t>Meters-Rep-Lawrence AS</t>
  </si>
  <si>
    <t>R38-03J1.07-P-0028</t>
  </si>
  <si>
    <t>Meters-Rep-North Woodmere AS</t>
  </si>
  <si>
    <t>Meters-Rep-Woodmere AS</t>
  </si>
  <si>
    <t>R38-03J1.13-P-0001</t>
  </si>
  <si>
    <t>Meters-Repl-NYAW WEST - Town of Hem</t>
  </si>
  <si>
    <t>R38-03J1.13-P-0002</t>
  </si>
  <si>
    <t>2013 Water Meter Replacements</t>
  </si>
  <si>
    <t>R38-03K1.13-P-0004</t>
  </si>
  <si>
    <t>Wireless Infrastructure Installatio</t>
  </si>
  <si>
    <t xml:space="preserve">REPLC SCADA SOFTWARE </t>
  </si>
  <si>
    <t>R38-03L1.13-P-0001</t>
  </si>
  <si>
    <t>Work Order</t>
  </si>
  <si>
    <t>R38-03L1.13-P-0002</t>
  </si>
  <si>
    <t>Plant 12 SCADA Upgrade</t>
  </si>
  <si>
    <t>Security &amp; Cyber Locks for LIAW AS</t>
  </si>
  <si>
    <t>R38-03O1.13-P-0009</t>
  </si>
  <si>
    <t>BT Vehicle Hotspot Purchases NYAW W</t>
  </si>
  <si>
    <t>Plant 15 Surveying of Land AS</t>
  </si>
  <si>
    <t>Plant 13 Tank Rehab AS</t>
  </si>
  <si>
    <t>Plt 5 Control Rm SCADA Upgrade AS</t>
  </si>
  <si>
    <t>R38-03Q1.13-P-0009</t>
  </si>
  <si>
    <t>2013 Bleach Tank &amp; Eyewash Replacem</t>
  </si>
  <si>
    <t>R38-03Q1.13-P-0012</t>
  </si>
  <si>
    <t>2013 Heater Replacements</t>
  </si>
  <si>
    <t>R38-03Q1.13-P-0026</t>
  </si>
  <si>
    <t>Remove Plant 9 Cross Connection</t>
  </si>
  <si>
    <t>R38-03Q1.13-P-0029</t>
  </si>
  <si>
    <t>Plant 23 Main Bearing</t>
  </si>
  <si>
    <t>R38-03Q1.13-P-0034</t>
  </si>
  <si>
    <t>Well 14-1 Modifications</t>
  </si>
  <si>
    <t>R38-03Q1.13-P-0041</t>
  </si>
  <si>
    <t>Plant 11 Platform w Stairs and Rail</t>
  </si>
  <si>
    <t>R38-03Q1.13-P-0042</t>
  </si>
  <si>
    <t>Plant 3 Aluminum Pit Cover</t>
  </si>
  <si>
    <t>R38-03Q1.13-P-0048</t>
  </si>
  <si>
    <t>Plant 3 Drainage Work</t>
  </si>
  <si>
    <t>R38-03Q1.13-P-0049</t>
  </si>
  <si>
    <t>Plant 23 Replace Heater</t>
  </si>
  <si>
    <t>R38-03Q1.13-P-0051</t>
  </si>
  <si>
    <t>Plant 5 Rebuild Electric Motor</t>
  </si>
  <si>
    <t>R38-03Q1.13-P-0053</t>
  </si>
  <si>
    <t>Plant 16 Replace Heater</t>
  </si>
  <si>
    <t>R38-03S1.11-P-0001</t>
  </si>
  <si>
    <t>CMMS Project AS</t>
  </si>
  <si>
    <t xml:space="preserve">GIS Project </t>
  </si>
  <si>
    <t>R38-01K3.13-P-0001</t>
  </si>
  <si>
    <t>Testing Automation</t>
  </si>
  <si>
    <t>R38-01K3.13-P-0002</t>
  </si>
  <si>
    <t>ERP Cutover</t>
  </si>
  <si>
    <t>R38-01K3.13-P-0003</t>
  </si>
  <si>
    <t>Merger Acquisition &amp; Divestiture Mo</t>
  </si>
  <si>
    <t>R38-01K3.13-P-0004</t>
  </si>
  <si>
    <t>ITS SAP Enhancement Release - 2013</t>
  </si>
  <si>
    <t>R38-01K3.13-P-0005</t>
  </si>
  <si>
    <t>Mobile User Interface</t>
  </si>
  <si>
    <t>R38-01K3.13-P-0006</t>
  </si>
  <si>
    <t>Aquisitions/Tuck-ins</t>
  </si>
  <si>
    <t>R38-01K3.13-P-0007</t>
  </si>
  <si>
    <t>SET Enhancements</t>
  </si>
  <si>
    <t>R38-01K3.13-P-0008</t>
  </si>
  <si>
    <t>PTP/RTR 195</t>
  </si>
  <si>
    <t>T38-0302-P-0284</t>
  </si>
  <si>
    <t>BT-Architecture-Stabilization-CIS</t>
  </si>
  <si>
    <t>T38-0302-P-0285</t>
  </si>
  <si>
    <t>BT-Architecture-Stabilization-EAM</t>
  </si>
  <si>
    <t>T38-0302-P-0289</t>
  </si>
  <si>
    <t>BT-Data Management-Stabil-CIS-Bus</t>
  </si>
  <si>
    <t>Pension</t>
  </si>
  <si>
    <t>General Tax</t>
  </si>
  <si>
    <t xml:space="preserve">  Other Dr. or Cr. Items (Describe):Adjust Property Held for Future Use &amp; Reserve Adjustments</t>
  </si>
  <si>
    <t>Depreciable Property @ 12/31/13</t>
  </si>
  <si>
    <t>December 31, 2013</t>
  </si>
  <si>
    <t>January 1, 2013</t>
  </si>
  <si>
    <t>Susan K. Cole</t>
  </si>
  <si>
    <t>Susan Cole</t>
  </si>
  <si>
    <t>Brian Bruce</t>
  </si>
  <si>
    <t>Vice President - Operations</t>
  </si>
  <si>
    <t>Software Licenses</t>
  </si>
  <si>
    <t>A/R Associated Company(AWW Subs)</t>
  </si>
  <si>
    <t>Preliminary Financing Expense</t>
  </si>
  <si>
    <t xml:space="preserve">      Series M</t>
  </si>
  <si>
    <t xml:space="preserve">    discount  4.30% series and related amortization</t>
  </si>
  <si>
    <t>Deferred PBOP</t>
  </si>
  <si>
    <t>Deferred Pension internal reserve</t>
  </si>
  <si>
    <t>Customer Information</t>
  </si>
  <si>
    <t>Lobbying Expense</t>
  </si>
  <si>
    <t>Rate Case 2014</t>
  </si>
  <si>
    <t>A L A C CONTRACTING CORP</t>
  </si>
  <si>
    <t>A&amp;I MECHANICAL SERVICES INC</t>
  </si>
  <si>
    <t>Accenture</t>
  </si>
  <si>
    <t>American Water Works Service Co.</t>
  </si>
  <si>
    <t>BANCKER CONSTRUCTION CORP</t>
  </si>
  <si>
    <t>BEN ELECTRIC INC</t>
  </si>
  <si>
    <t>Corix Utilities Inc</t>
  </si>
  <si>
    <t>Cullen and Dykman</t>
  </si>
  <si>
    <t>DILIGENT BOARD MEMBER SERVICES</t>
  </si>
  <si>
    <t>DVIRKA &amp; BARTILUCCI CONSULTING</t>
  </si>
  <si>
    <t>EAGLE CONTROL CORP</t>
  </si>
  <si>
    <t>GENSERVE INC</t>
  </si>
  <si>
    <t>Goodman Marks Associates Inc</t>
  </si>
  <si>
    <t>HOLZMACHER MCLENDON &amp; MURELL P</t>
  </si>
  <si>
    <t>LAYNE CHRISTENSEN CO</t>
  </si>
  <si>
    <t>Littler Mendelson PC</t>
  </si>
  <si>
    <t>Michael Haberman Associates</t>
  </si>
  <si>
    <t>Microe Enterprises</t>
  </si>
  <si>
    <t>ORC</t>
  </si>
  <si>
    <t>OGLETREE DEAKINS NASH SMOAK &amp;</t>
  </si>
  <si>
    <t>SCHNEIDER ELECTRIC USA INC</t>
  </si>
  <si>
    <t>SIDNEY B BOWNE &amp; SONS LLP</t>
  </si>
  <si>
    <t>SOUTH SHORE ELECTRIC INC</t>
  </si>
  <si>
    <t>Towers Watson</t>
  </si>
  <si>
    <t>Tyco Integrated Security LLC</t>
  </si>
  <si>
    <t>Yoh</t>
  </si>
  <si>
    <t>Legal Services</t>
  </si>
  <si>
    <t>Price Waterhouse Coopers</t>
  </si>
  <si>
    <t>Internal Reserve Interest</t>
  </si>
  <si>
    <t>TSA Interest</t>
  </si>
  <si>
    <t>Interest on Garbage Refund</t>
  </si>
  <si>
    <t xml:space="preserve">                 Deferred Programmed Maintenance, Rate Case</t>
  </si>
  <si>
    <t xml:space="preserve">                           Provision for Bad Debts</t>
  </si>
  <si>
    <t xml:space="preserve">                            Regulatory Assets and Liabilities, other misc</t>
  </si>
  <si>
    <t xml:space="preserve">         Other: Debt Issuance costs</t>
  </si>
  <si>
    <t>*Sales &amp; Use Account - various</t>
  </si>
  <si>
    <t>**not used</t>
  </si>
  <si>
    <t>***not used</t>
  </si>
  <si>
    <t>Allocation adjustment for Federal Taxable Income</t>
  </si>
  <si>
    <t>cost was $ 1,186,047.</t>
  </si>
  <si>
    <t xml:space="preserve">benefits payments from the Plan are made by the trustees.  The 2013 FAS 87 net periodic </t>
  </si>
  <si>
    <t>insurance benefits.  The net periodic OPEB cost for 2013 was $ 584,892.</t>
  </si>
  <si>
    <t>Annual Report of New York American Water Company, Inc. (f/k/a Long Island Water Corp)                                     Year Ended  December 31, 2013</t>
  </si>
  <si>
    <t>Annual Report of New York American Water Company, Inc. (f/k/a Long Island Water Corp)                                                                Year Ended  December 31, 2013</t>
  </si>
  <si>
    <t>Annual Report of New York American Water Company, Inc. (f/k/a Long Island Water Corp)                                                                               Year Ended  December 31, 2013</t>
  </si>
  <si>
    <t>15-2A</t>
  </si>
  <si>
    <t>9-1A</t>
  </si>
  <si>
    <t>9-2B</t>
  </si>
  <si>
    <t>5-1</t>
  </si>
  <si>
    <t>5-2</t>
  </si>
  <si>
    <t>5-3</t>
  </si>
  <si>
    <t>5-4</t>
  </si>
  <si>
    <t>5-5</t>
  </si>
  <si>
    <t>5-6</t>
  </si>
  <si>
    <t>5-7</t>
  </si>
  <si>
    <t>5-8</t>
  </si>
  <si>
    <t>5-9</t>
  </si>
  <si>
    <t>5-10</t>
  </si>
  <si>
    <t>5-11</t>
  </si>
  <si>
    <t>5-12</t>
  </si>
  <si>
    <t>5-13</t>
  </si>
  <si>
    <t>5-14</t>
  </si>
  <si>
    <t>HEWLETT continued</t>
  </si>
  <si>
    <t>5-15</t>
  </si>
  <si>
    <t>5-16</t>
  </si>
  <si>
    <t>5-17</t>
  </si>
  <si>
    <t>5-18</t>
  </si>
  <si>
    <t>5-19</t>
  </si>
  <si>
    <t>5-20</t>
  </si>
  <si>
    <t>5-21</t>
  </si>
  <si>
    <t>5-22</t>
  </si>
  <si>
    <t>5-23</t>
  </si>
  <si>
    <t>5-43</t>
  </si>
  <si>
    <t>5-44</t>
  </si>
  <si>
    <t>5-45</t>
  </si>
  <si>
    <t>5-46</t>
  </si>
  <si>
    <t>5-47</t>
  </si>
  <si>
    <t>5-48</t>
  </si>
  <si>
    <t>5-49</t>
  </si>
  <si>
    <t>5-50</t>
  </si>
  <si>
    <t>5-51</t>
  </si>
  <si>
    <t>5-52</t>
  </si>
  <si>
    <t>5-53</t>
  </si>
  <si>
    <t>5-54</t>
  </si>
  <si>
    <t>5-55</t>
  </si>
  <si>
    <t>5-56</t>
  </si>
  <si>
    <t>5-57</t>
  </si>
  <si>
    <t>5-58</t>
  </si>
  <si>
    <t>Year Ended December 31, 2013</t>
  </si>
  <si>
    <t>5-59</t>
  </si>
  <si>
    <t>5-60</t>
  </si>
  <si>
    <t>5-61</t>
  </si>
  <si>
    <t>5-62</t>
  </si>
  <si>
    <t>5-63</t>
  </si>
  <si>
    <t>Page 402   sheet  5  of  5</t>
  </si>
  <si>
    <t>Page 402   sheet  4  of  5</t>
  </si>
  <si>
    <t>Page 402   sheet  3  of  5</t>
  </si>
  <si>
    <t>Page 402   sheet  2  of  5</t>
  </si>
  <si>
    <t>Page 402   sheet  1  of  5</t>
  </si>
  <si>
    <t>FEB. 27, 2013</t>
  </si>
  <si>
    <t>JAN. 1, 2013</t>
  </si>
  <si>
    <t>FEB. 10, 2013</t>
  </si>
  <si>
    <t>JUL. 7, 2013</t>
  </si>
  <si>
    <t>JUL. 17, 2013</t>
  </si>
  <si>
    <t>In some plants containing multiple pumping units (plts. 5, 6, 7)</t>
  </si>
  <si>
    <t>JUL. 19, 2013</t>
  </si>
  <si>
    <t>AUG. 21, 2013</t>
  </si>
  <si>
    <t>JUL. 18, 2013</t>
  </si>
  <si>
    <t>MAR. 25, 2013</t>
  </si>
  <si>
    <t>JUN. 3, 2013</t>
  </si>
  <si>
    <t>**Plants  5, 6, 7, 8 &amp; 9 each contain a standby diesel generator.</t>
  </si>
  <si>
    <t>In plants containing multiple pumping units (plts. 11,  13 )</t>
  </si>
  <si>
    <t>JUN. 25, 2013</t>
  </si>
  <si>
    <t>AUG. 8, 2013</t>
  </si>
  <si>
    <t>OCT. 29, 2013</t>
  </si>
  <si>
    <t>MAY 19, 2013</t>
  </si>
  <si>
    <t>DEC. 5, 2013</t>
  </si>
  <si>
    <t>**Plant 15 contains a standby diesel generator.</t>
  </si>
  <si>
    <t>JAN. 14, 2013</t>
  </si>
  <si>
    <t>JAN. 6, 2013</t>
  </si>
  <si>
    <t>MAR. 3, 2013</t>
  </si>
  <si>
    <t>**Plant 17 contains a standby diesel generator.</t>
  </si>
  <si>
    <t>***Plant 18, 19  &amp; 23 each contain a standby diesel on one unit.</t>
  </si>
  <si>
    <t>(15)**</t>
  </si>
  <si>
    <t>(17)**</t>
  </si>
  <si>
    <t>(18)***</t>
  </si>
  <si>
    <t>(19)***</t>
  </si>
  <si>
    <t>(23)***</t>
  </si>
  <si>
    <t>Seop. 16, 2013</t>
  </si>
  <si>
    <t>2013</t>
  </si>
  <si>
    <t>2007,13</t>
  </si>
  <si>
    <t>SODIUM HYDROXIDE TANK</t>
  </si>
  <si>
    <t>SODIUM HYDROXIDE PUMP</t>
  </si>
  <si>
    <t>2,000 ea.</t>
  </si>
  <si>
    <t>Filtration  -Pressure Filter</t>
  </si>
  <si>
    <t>SODIUM HYDROXIDE</t>
  </si>
  <si>
    <t>NaOH 25%</t>
  </si>
  <si>
    <t>1954&amp;2013</t>
  </si>
  <si>
    <t xml:space="preserve">         </t>
  </si>
  <si>
    <t xml:space="preserve">     New York American Water does not have any subsidiary companies.</t>
  </si>
  <si>
    <t>Angela Sedlacek, Assistant Comptroller</t>
  </si>
  <si>
    <t>60 Brooklyn Avenue</t>
  </si>
  <si>
    <t>Merrick, NY 11566</t>
  </si>
  <si>
    <t>John N Casillo, Financial Manager (516) 378-3922</t>
  </si>
  <si>
    <t>60 Brooklyn Avenue, Merrick NY 11566</t>
  </si>
  <si>
    <t>(c) n/a</t>
  </si>
  <si>
    <t>Natalie Cutler</t>
  </si>
  <si>
    <t>Assistant Treasurer</t>
  </si>
  <si>
    <t>Effective October 3, 2013, New York American filed amended and restated articles of incorporation.  No significant changes were made with respect to the Company's status, activities, or structure.  Changes were made to update corporate governance with changes in laws and align with best practices.</t>
  </si>
  <si>
    <t xml:space="preserve">                Deferred Debt Issuance Costs</t>
  </si>
  <si>
    <t>Allocation adjustment for State Taxable Income</t>
  </si>
  <si>
    <t>*Shares are for NY American Water Co.</t>
  </si>
  <si>
    <t>Water Utility Revenues</t>
  </si>
  <si>
    <t>Property Tax Stabilization</t>
  </si>
  <si>
    <t>Revenue Stabilization</t>
  </si>
  <si>
    <t>2 - 2 days</t>
  </si>
  <si>
    <t>3 - N/A</t>
  </si>
  <si>
    <t>Misc Service Revenue</t>
  </si>
  <si>
    <t>Late Charge</t>
  </si>
  <si>
    <t xml:space="preserve">The ABO, Plan Assets and Unrecognized Transition amount above  represent the </t>
  </si>
  <si>
    <t>on a subsidiary level due to the merger with the American Water Plan</t>
  </si>
  <si>
    <t>On January 1, 2013, as authorized by the Commission per Case 11-W-0695, the Company issued a one-time credit to customers.  The total refunds associated with this credit amounted to approximately $1,198.  These amounts represented the second installment of garbage tax settlements for town of Hempstead.</t>
  </si>
  <si>
    <t>The 2013 Cost for the Medical, Vision, and Group Life Insurance was $ 700,511.</t>
  </si>
  <si>
    <t xml:space="preserve">Certain information on page 360 and 362 has not been included because such information is not prepared </t>
  </si>
  <si>
    <t>consists of  the Annual Report of the Public Service Commission for the year ended December 31, 2013</t>
  </si>
  <si>
    <t>says:   I am the Assistant Comptroller of New York American Water Company (f/k/a Long Island Water Corporation)</t>
  </si>
  <si>
    <t>Annual Report of New York American Water Company, Inc. (f/k/a Long Island Water Corp)                                                                                                  Year Ended  December 31, 2013</t>
  </si>
  <si>
    <t>Annual Report of New York American Water Company, Inc. (f/k/a Long Island Water Corp)                                                                     Year Ended  December 31, 2013</t>
  </si>
</sst>
</file>

<file path=xl/styles.xml><?xml version="1.0" encoding="utf-8"?>
<styleSheet xmlns="http://schemas.openxmlformats.org/spreadsheetml/2006/main">
  <numFmts count="33">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_)"/>
    <numFmt numFmtId="165" formatCode="mm/dd/yy_)"/>
    <numFmt numFmtId="166" formatCode="&quot;$&quot;#,##0.0000_);\(&quot;$&quot;#,##0.0000\)"/>
    <numFmt numFmtId="167" formatCode="#,##0.0000_);\(#,##0.0000\)"/>
    <numFmt numFmtId="168" formatCode="0.000%"/>
    <numFmt numFmtId="169" formatCode="#,##0.0_);\(#,##0.0\)"/>
    <numFmt numFmtId="170" formatCode="0.0%"/>
    <numFmt numFmtId="171" formatCode=";;;"/>
    <numFmt numFmtId="172" formatCode="0.00_)"/>
    <numFmt numFmtId="173" formatCode="0.0_)"/>
    <numFmt numFmtId="174" formatCode="mm/dd/yy"/>
    <numFmt numFmtId="175" formatCode="mmmm\ d\,\ yyyy"/>
    <numFmt numFmtId="176" formatCode="_(* #,##0_);_(* \(#,##0\);_(* &quot;-&quot;??_);_(@_)"/>
    <numFmt numFmtId="177" formatCode="_(&quot;$&quot;* #,##0_);_(&quot;$&quot;* \(#,##0\);_(&quot;$&quot;* &quot;-&quot;??_);_(@_)"/>
    <numFmt numFmtId="178" formatCode="&quot;$&quot;#,##0"/>
    <numFmt numFmtId="179" formatCode="&quot;$&quot;#,##0.00"/>
    <numFmt numFmtId="180" formatCode="0.000_)"/>
    <numFmt numFmtId="181" formatCode="_-* #,##0_-;\-* #,##0_-;_-* &quot;-&quot;_-;_-@_-"/>
    <numFmt numFmtId="182" formatCode="#,##0.00_ ;[Red]\-#,##0.00;\-"/>
    <numFmt numFmtId="183" formatCode="\£\ #,##0_);[Red]\(\£\ #,##0\)"/>
    <numFmt numFmtId="184" formatCode="\ \ _•\–\ \ \ \ @"/>
    <numFmt numFmtId="185" formatCode="\€#,##0.00;[Red]\(\€#,##0.00\)"/>
    <numFmt numFmtId="186" formatCode="General_)"/>
    <numFmt numFmtId="187" formatCode="m/d/yy;@"/>
    <numFmt numFmtId="188" formatCode="###,000"/>
  </numFmts>
  <fonts count="156">
    <font>
      <sz val="12"/>
      <name val="Arial"/>
    </font>
    <font>
      <sz val="10"/>
      <name val="Arial"/>
      <family val="2"/>
    </font>
    <font>
      <sz val="10"/>
      <name val="Arial"/>
      <family val="2"/>
    </font>
    <font>
      <b/>
      <sz val="14"/>
      <name val="Arial"/>
      <family val="2"/>
    </font>
    <font>
      <sz val="12"/>
      <name val="Arial"/>
      <family val="2"/>
    </font>
    <font>
      <b/>
      <sz val="12"/>
      <name val="Arial"/>
      <family val="2"/>
    </font>
    <font>
      <b/>
      <u/>
      <sz val="12"/>
      <name val="Arial"/>
      <family val="2"/>
    </font>
    <font>
      <u/>
      <sz val="12"/>
      <name val="Arial"/>
      <family val="2"/>
    </font>
    <font>
      <u/>
      <sz val="12"/>
      <name val="Arial"/>
      <family val="2"/>
    </font>
    <font>
      <sz val="14"/>
      <name val="Arial MT"/>
    </font>
    <font>
      <sz val="24"/>
      <name val="Arial"/>
      <family val="2"/>
    </font>
    <font>
      <sz val="24"/>
      <name val="Arial MT"/>
      <family val="2"/>
    </font>
    <font>
      <sz val="18"/>
      <name val="Arial MT"/>
      <family val="2"/>
    </font>
    <font>
      <u/>
      <sz val="18"/>
      <name val="Arial MT"/>
      <family val="2"/>
    </font>
    <font>
      <sz val="14"/>
      <name val="Arial"/>
      <family val="2"/>
    </font>
    <font>
      <b/>
      <sz val="18"/>
      <color indexed="9"/>
      <name val="Times New Roman"/>
      <family val="1"/>
    </font>
    <font>
      <sz val="12"/>
      <name val="Arial MT"/>
      <family val="2"/>
    </font>
    <font>
      <sz val="16"/>
      <name val="Arial"/>
      <family val="2"/>
    </font>
    <font>
      <sz val="14"/>
      <name val="Arial MT"/>
      <family val="2"/>
    </font>
    <font>
      <sz val="10"/>
      <color indexed="12"/>
      <name val="Courier"/>
      <family val="3"/>
    </font>
    <font>
      <sz val="14"/>
      <color indexed="12"/>
      <name val="Arial MT"/>
      <family val="2"/>
    </font>
    <font>
      <u/>
      <sz val="12"/>
      <color indexed="8"/>
      <name val="Arial"/>
      <family val="2"/>
    </font>
    <font>
      <sz val="14"/>
      <color indexed="63"/>
      <name val="Arial MT"/>
      <family val="2"/>
    </font>
    <font>
      <sz val="12"/>
      <color indexed="12"/>
      <name val="Arial MT"/>
      <family val="2"/>
    </font>
    <font>
      <sz val="12"/>
      <color indexed="63"/>
      <name val="Arial"/>
      <family val="2"/>
    </font>
    <font>
      <sz val="12"/>
      <color indexed="9"/>
      <name val="Arial"/>
      <family val="2"/>
    </font>
    <font>
      <sz val="14"/>
      <color indexed="63"/>
      <name val="Arial"/>
      <family val="2"/>
    </font>
    <font>
      <sz val="14"/>
      <color indexed="12"/>
      <name val="Arial"/>
      <family val="2"/>
    </font>
    <font>
      <sz val="12"/>
      <color indexed="12"/>
      <name val="Arial"/>
      <family val="2"/>
    </font>
    <font>
      <sz val="10"/>
      <name val="Arial"/>
      <family val="2"/>
    </font>
    <font>
      <b/>
      <sz val="9"/>
      <name val="Arial MT"/>
      <family val="2"/>
    </font>
    <font>
      <sz val="6"/>
      <name val="Arial MT"/>
      <family val="2"/>
    </font>
    <font>
      <b/>
      <sz val="24"/>
      <name val="Arial MT"/>
      <family val="2"/>
    </font>
    <font>
      <b/>
      <sz val="24"/>
      <color indexed="8"/>
      <name val="Arial MT"/>
      <family val="2"/>
    </font>
    <font>
      <b/>
      <sz val="32"/>
      <name val="Arial MT"/>
      <family val="2"/>
    </font>
    <font>
      <b/>
      <sz val="14"/>
      <name val="Arial MT"/>
      <family val="2"/>
    </font>
    <font>
      <sz val="18"/>
      <name val="Arial"/>
      <family val="2"/>
    </font>
    <font>
      <sz val="10"/>
      <name val="Arial MT"/>
      <family val="2"/>
    </font>
    <font>
      <b/>
      <sz val="10"/>
      <name val="Arial MT"/>
      <family val="2"/>
    </font>
    <font>
      <b/>
      <sz val="12"/>
      <color indexed="8"/>
      <name val="Arial MT"/>
      <family val="2"/>
    </font>
    <font>
      <sz val="8"/>
      <name val="Arial MT"/>
      <family val="2"/>
    </font>
    <font>
      <sz val="10"/>
      <color indexed="8"/>
      <name val="Arial MT"/>
      <family val="2"/>
    </font>
    <font>
      <b/>
      <sz val="10"/>
      <color indexed="8"/>
      <name val="Arial MT"/>
      <family val="2"/>
    </font>
    <font>
      <b/>
      <sz val="18"/>
      <color indexed="8"/>
      <name val="Arial MT"/>
      <family val="2"/>
    </font>
    <font>
      <b/>
      <sz val="18"/>
      <name val="Arial MT"/>
      <family val="2"/>
    </font>
    <font>
      <i/>
      <sz val="12"/>
      <name val="Arial"/>
      <family val="2"/>
    </font>
    <font>
      <b/>
      <sz val="12"/>
      <color indexed="12"/>
      <name val="Arial MT"/>
      <family val="2"/>
    </font>
    <font>
      <sz val="12"/>
      <color indexed="8"/>
      <name val="Arial"/>
      <family val="2"/>
    </font>
    <font>
      <b/>
      <sz val="12"/>
      <color indexed="8"/>
      <name val="Arial"/>
      <family val="2"/>
    </font>
    <font>
      <sz val="10"/>
      <color indexed="8"/>
      <name val="Arial"/>
      <family val="2"/>
    </font>
    <font>
      <sz val="12"/>
      <name val="Arial MT"/>
    </font>
    <font>
      <sz val="12"/>
      <color indexed="55"/>
      <name val="Arial"/>
      <family val="2"/>
    </font>
    <font>
      <sz val="11"/>
      <name val="Arial"/>
      <family val="2"/>
    </font>
    <font>
      <b/>
      <sz val="11"/>
      <name val="Arial"/>
      <family val="2"/>
    </font>
    <font>
      <sz val="12"/>
      <color indexed="8"/>
      <name val="Arial MT"/>
      <family val="2"/>
    </font>
    <font>
      <sz val="12"/>
      <name val="Times New Roman"/>
      <family val="1"/>
    </font>
    <font>
      <sz val="10"/>
      <color indexed="12"/>
      <name val="Arial"/>
      <family val="2"/>
    </font>
    <font>
      <sz val="14"/>
      <color indexed="8"/>
      <name val="Arial"/>
      <family val="2"/>
    </font>
    <font>
      <sz val="11"/>
      <color indexed="8"/>
      <name val="Arial"/>
      <family val="2"/>
    </font>
    <font>
      <sz val="12"/>
      <color indexed="10"/>
      <name val="Arial"/>
      <family val="2"/>
    </font>
    <font>
      <u/>
      <sz val="12"/>
      <color indexed="12"/>
      <name val="Arial"/>
      <family val="2"/>
    </font>
    <font>
      <sz val="14"/>
      <name val="Arial"/>
      <family val="2"/>
    </font>
    <font>
      <sz val="12"/>
      <name val="Arial"/>
      <family val="2"/>
    </font>
    <font>
      <b/>
      <sz val="16"/>
      <name val="Arial"/>
      <family val="2"/>
    </font>
    <font>
      <b/>
      <sz val="12"/>
      <name val="Arial MT"/>
      <family val="2"/>
    </font>
    <font>
      <b/>
      <i/>
      <sz val="12"/>
      <color indexed="8"/>
      <name val="Arial"/>
      <family val="2"/>
    </font>
    <font>
      <u/>
      <sz val="12"/>
      <color indexed="12"/>
      <name val="Arial"/>
      <family val="2"/>
    </font>
    <font>
      <sz val="12"/>
      <color indexed="12"/>
      <name val="Courier"/>
      <family val="3"/>
    </font>
    <font>
      <b/>
      <sz val="12"/>
      <name val="Arial MT"/>
    </font>
    <font>
      <i/>
      <sz val="12"/>
      <color indexed="8"/>
      <name val="Arial"/>
      <family val="2"/>
    </font>
    <font>
      <u/>
      <sz val="10"/>
      <color indexed="12"/>
      <name val="Courier"/>
      <family val="3"/>
    </font>
    <font>
      <b/>
      <u/>
      <sz val="14"/>
      <name val="Arial MT"/>
      <family val="2"/>
    </font>
    <font>
      <sz val="13"/>
      <name val="Arial"/>
      <family val="2"/>
    </font>
    <font>
      <sz val="13"/>
      <color indexed="8"/>
      <name val="Arial"/>
      <family val="2"/>
    </font>
    <font>
      <u/>
      <sz val="12"/>
      <color indexed="8"/>
      <name val="Arial MT"/>
    </font>
    <font>
      <b/>
      <sz val="16"/>
      <name val="Times New Roman"/>
      <family val="1"/>
    </font>
    <font>
      <sz val="10"/>
      <name val="Courier"/>
      <family val="3"/>
    </font>
    <font>
      <sz val="14"/>
      <name val="Courier"/>
      <family val="3"/>
    </font>
    <font>
      <b/>
      <u/>
      <sz val="12"/>
      <name val="Arial MT"/>
      <family val="2"/>
    </font>
    <font>
      <sz val="11"/>
      <name val="Arial MT"/>
      <family val="2"/>
    </font>
    <font>
      <sz val="11"/>
      <color indexed="12"/>
      <name val="Arial MT"/>
      <family val="2"/>
    </font>
    <font>
      <sz val="10"/>
      <color indexed="12"/>
      <name val="Arial MT"/>
      <family val="2"/>
    </font>
    <font>
      <sz val="9"/>
      <color indexed="12"/>
      <name val="Arial MT"/>
      <family val="2"/>
    </font>
    <font>
      <sz val="8"/>
      <color indexed="12"/>
      <name val="Arial MT"/>
      <family val="2"/>
    </font>
    <font>
      <sz val="12"/>
      <color indexed="8"/>
      <name val="Times New Roman"/>
      <family val="1"/>
    </font>
    <font>
      <sz val="9"/>
      <name val="Arial"/>
      <family val="2"/>
    </font>
    <font>
      <sz val="9"/>
      <color indexed="8"/>
      <name val="Arial"/>
      <family val="2"/>
    </font>
    <font>
      <b/>
      <i/>
      <sz val="12"/>
      <name val="Times New Roman"/>
      <family val="1"/>
    </font>
    <font>
      <i/>
      <sz val="12"/>
      <name val="Times New Roman"/>
      <family val="1"/>
    </font>
    <font>
      <sz val="10"/>
      <name val="Times New Roman"/>
      <family val="1"/>
    </font>
    <font>
      <sz val="8"/>
      <name val="Arial"/>
      <family val="2"/>
    </font>
    <font>
      <b/>
      <sz val="10"/>
      <name val="Arial"/>
      <family val="2"/>
    </font>
    <font>
      <b/>
      <sz val="12"/>
      <color indexed="17"/>
      <name val="Arial"/>
      <family val="2"/>
    </font>
    <font>
      <sz val="11"/>
      <color indexed="12"/>
      <name val="Arial"/>
      <family val="2"/>
    </font>
    <font>
      <b/>
      <sz val="12"/>
      <color indexed="12"/>
      <name val="Arial"/>
      <family val="2"/>
    </font>
    <font>
      <u/>
      <sz val="11"/>
      <name val="Arial"/>
      <family val="2"/>
    </font>
    <font>
      <sz val="10"/>
      <name val="Times New Roman"/>
      <family val="1"/>
    </font>
    <font>
      <sz val="12"/>
      <name val="Times New Roman"/>
      <family val="1"/>
    </font>
    <font>
      <sz val="10"/>
      <color indexed="48"/>
      <name val="Courier"/>
      <family val="3"/>
    </font>
    <font>
      <sz val="12"/>
      <color indexed="48"/>
      <name val="Arial"/>
      <family val="2"/>
    </font>
    <font>
      <b/>
      <sz val="16"/>
      <color indexed="10"/>
      <name val="Arial"/>
      <family val="2"/>
    </font>
    <font>
      <sz val="10"/>
      <color indexed="8"/>
      <name val="Arial Narrow"/>
      <family val="2"/>
    </font>
    <font>
      <b/>
      <sz val="10"/>
      <color indexed="8"/>
      <name val="Arial Narrow"/>
      <family val="2"/>
    </font>
    <font>
      <sz val="11"/>
      <color indexed="8"/>
      <name val="Calibri"/>
      <family val="2"/>
    </font>
    <font>
      <b/>
      <i/>
      <sz val="12"/>
      <name val="Arial"/>
      <family val="2"/>
    </font>
    <font>
      <sz val="14"/>
      <name val="Times New Roman"/>
      <family val="1"/>
    </font>
    <font>
      <b/>
      <sz val="12"/>
      <name val="Arial"/>
      <family val="2"/>
    </font>
    <font>
      <sz val="12"/>
      <color indexed="8"/>
      <name val="Arial"/>
      <family val="2"/>
    </font>
    <font>
      <i/>
      <sz val="10"/>
      <name val="Arial"/>
      <family val="2"/>
    </font>
    <font>
      <b/>
      <i/>
      <sz val="10"/>
      <name val="Arial"/>
      <family val="2"/>
    </font>
    <font>
      <b/>
      <i/>
      <sz val="9"/>
      <name val="Arial"/>
      <family val="2"/>
    </font>
    <font>
      <b/>
      <sz val="9"/>
      <name val="Arial"/>
      <family val="2"/>
    </font>
    <font>
      <sz val="8"/>
      <name val="Arial"/>
      <family val="2"/>
    </font>
    <font>
      <b/>
      <u val="singleAccounting"/>
      <sz val="10"/>
      <color indexed="18"/>
      <name val="Arial"/>
      <family val="2"/>
    </font>
    <font>
      <sz val="11"/>
      <color indexed="9"/>
      <name val="Calibri"/>
      <family val="2"/>
    </font>
    <font>
      <sz val="11"/>
      <color indexed="20"/>
      <name val="Calibri"/>
      <family val="2"/>
    </font>
    <font>
      <sz val="8"/>
      <color indexed="12"/>
      <name val="Tms Rmn"/>
    </font>
    <font>
      <b/>
      <sz val="12"/>
      <name val="Times New Roman"/>
      <family val="1"/>
    </font>
    <font>
      <b/>
      <sz val="10"/>
      <color indexed="8"/>
      <name val="Times New Roman"/>
      <family val="1"/>
    </font>
    <font>
      <b/>
      <sz val="11"/>
      <color indexed="52"/>
      <name val="Calibri"/>
      <family val="2"/>
    </font>
    <font>
      <b/>
      <sz val="18"/>
      <name val="Times"/>
      <family val="1"/>
    </font>
    <font>
      <b/>
      <sz val="11"/>
      <color indexed="9"/>
      <name val="Calibri"/>
      <family val="2"/>
    </font>
    <font>
      <sz val="11"/>
      <name val="Tms Rmn"/>
      <family val="1"/>
    </font>
    <font>
      <sz val="10"/>
      <name val="Helv"/>
    </font>
    <font>
      <sz val="11"/>
      <color indexed="12"/>
      <name val="Book Antiqua"/>
      <family val="1"/>
    </font>
    <font>
      <i/>
      <sz val="11"/>
      <color indexed="23"/>
      <name val="Calibri"/>
      <family val="2"/>
    </font>
    <font>
      <sz val="11"/>
      <color indexed="17"/>
      <name val="Calibri"/>
      <family val="2"/>
    </font>
    <font>
      <sz val="10"/>
      <color indexed="8"/>
      <name val="Times New Roman"/>
      <family val="1"/>
    </font>
    <font>
      <sz val="10"/>
      <color indexed="12"/>
      <name val="Times New Roman"/>
      <family val="1"/>
    </font>
    <font>
      <sz val="11"/>
      <color indexed="52"/>
      <name val="Calibri"/>
      <family val="2"/>
    </font>
    <font>
      <sz val="11"/>
      <color indexed="60"/>
      <name val="Calibri"/>
      <family val="2"/>
    </font>
    <font>
      <b/>
      <i/>
      <sz val="16"/>
      <name val="Helv"/>
    </font>
    <font>
      <b/>
      <sz val="11"/>
      <color indexed="63"/>
      <name val="Calibri"/>
      <family val="2"/>
    </font>
    <font>
      <sz val="10"/>
      <name val="Palatino"/>
      <family val="1"/>
    </font>
    <font>
      <sz val="10"/>
      <name val="MS Sans Serif"/>
      <family val="2"/>
    </font>
    <font>
      <b/>
      <sz val="10"/>
      <name val="MS Sans Serif"/>
      <family val="2"/>
    </font>
    <font>
      <b/>
      <sz val="10"/>
      <color indexed="8"/>
      <name val="Arial"/>
      <family val="2"/>
    </font>
    <font>
      <sz val="10"/>
      <color indexed="8"/>
      <name val="HLV"/>
    </font>
    <font>
      <b/>
      <sz val="12"/>
      <name val="Times New Roman"/>
      <family val="1"/>
    </font>
    <font>
      <b/>
      <sz val="18"/>
      <color indexed="56"/>
      <name val="Cambria"/>
      <family val="2"/>
    </font>
    <font>
      <b/>
      <sz val="14"/>
      <name val="Times"/>
      <family val="1"/>
    </font>
    <font>
      <sz val="12"/>
      <color indexed="8"/>
      <name val="Arial MT"/>
    </font>
    <font>
      <sz val="11"/>
      <color indexed="10"/>
      <name val="Calibri"/>
      <family val="2"/>
    </font>
    <font>
      <sz val="11"/>
      <name val="ＭＳ Ｐゴシック"/>
      <charset val="128"/>
    </font>
    <font>
      <sz val="12"/>
      <color indexed="8"/>
      <name val="Courier"/>
      <family val="3"/>
    </font>
    <font>
      <b/>
      <sz val="12"/>
      <color indexed="10"/>
      <name val="Arial"/>
      <family val="2"/>
    </font>
    <font>
      <sz val="12"/>
      <color indexed="12"/>
      <name val="Arial"/>
      <family val="2"/>
    </font>
    <font>
      <sz val="8"/>
      <color indexed="81"/>
      <name val="Tahoma"/>
      <family val="2"/>
    </font>
    <font>
      <b/>
      <sz val="8"/>
      <color indexed="81"/>
      <name val="Tahoma"/>
      <family val="2"/>
    </font>
    <font>
      <b/>
      <sz val="12"/>
      <color rgb="FF000000"/>
      <name val="Arial"/>
      <family val="2"/>
    </font>
    <font>
      <sz val="8"/>
      <color theme="1"/>
      <name val="Verdana"/>
      <family val="2"/>
    </font>
    <font>
      <sz val="8"/>
      <color rgb="FF000000"/>
      <name val="Verdana"/>
      <family val="2"/>
    </font>
    <font>
      <sz val="14"/>
      <color theme="1" tint="4.9989318521683403E-2"/>
      <name val="Times New Roman"/>
      <family val="1"/>
    </font>
    <font>
      <sz val="9"/>
      <color indexed="81"/>
      <name val="Tahoma"/>
      <family val="2"/>
    </font>
    <font>
      <b/>
      <sz val="9"/>
      <color indexed="81"/>
      <name val="Tahoma"/>
      <family val="2"/>
    </font>
    <font>
      <sz val="12"/>
      <color theme="1"/>
      <name val="Arial"/>
      <family val="2"/>
    </font>
  </fonts>
  <fills count="5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bgColor indexed="64"/>
      </patternFill>
    </fill>
    <fill>
      <patternFill patternType="solid">
        <fgColor indexed="55"/>
      </patternFill>
    </fill>
    <fill>
      <patternFill patternType="solid">
        <fgColor indexed="9"/>
        <bgColor indexed="64"/>
      </patternFill>
    </fill>
    <fill>
      <patternFill patternType="solid">
        <fgColor indexed="43"/>
      </patternFill>
    </fill>
    <fill>
      <patternFill patternType="solid">
        <fgColor indexed="26"/>
      </patternFill>
    </fill>
    <fill>
      <patternFill patternType="mediumGray">
        <fgColor indexed="22"/>
      </patternFill>
    </fill>
    <fill>
      <patternFill patternType="solid">
        <fgColor indexed="9"/>
        <bgColor indexed="9"/>
      </patternFill>
    </fill>
    <fill>
      <patternFill patternType="solid">
        <fgColor indexed="61"/>
        <bgColor indexed="61"/>
      </patternFill>
    </fill>
    <fill>
      <patternFill patternType="solid">
        <fgColor indexed="13"/>
        <bgColor indexed="13"/>
      </patternFill>
    </fill>
    <fill>
      <patternFill patternType="solid">
        <fgColor indexed="15"/>
        <bgColor indexed="15"/>
      </patternFill>
    </fill>
    <fill>
      <patternFill patternType="solid">
        <fgColor indexed="35"/>
        <bgColor indexed="35"/>
      </patternFill>
    </fill>
    <fill>
      <patternFill patternType="solid">
        <fgColor indexed="42"/>
        <bgColor indexed="42"/>
      </patternFill>
    </fill>
    <fill>
      <patternFill patternType="lightGray">
        <fgColor indexed="8"/>
      </patternFill>
    </fill>
    <fill>
      <patternFill patternType="lightGray">
        <fgColor indexed="8"/>
        <bgColor indexed="9"/>
      </patternFill>
    </fill>
    <fill>
      <patternFill patternType="solid">
        <fgColor indexed="23"/>
      </patternFill>
    </fill>
    <fill>
      <patternFill patternType="solid">
        <fgColor indexed="9"/>
      </patternFill>
    </fill>
    <fill>
      <patternFill patternType="solid">
        <fgColor indexed="55"/>
        <bgColor indexed="55"/>
      </patternFill>
    </fill>
    <fill>
      <patternFill patternType="darkHorizontal">
        <fgColor indexed="8"/>
      </patternFill>
    </fill>
    <fill>
      <patternFill patternType="darkHorizontal">
        <fgColor indexed="8"/>
        <bgColor indexed="9"/>
      </patternFill>
    </fill>
    <fill>
      <patternFill patternType="solid">
        <fgColor indexed="22"/>
        <bgColor indexed="22"/>
      </patternFill>
    </fill>
    <fill>
      <patternFill patternType="lightGray">
        <fgColor indexed="22"/>
        <bgColor indexed="8"/>
      </patternFill>
    </fill>
    <fill>
      <patternFill patternType="darkHorizontal">
        <fgColor indexed="8"/>
        <bgColor indexed="8"/>
      </patternFill>
    </fill>
    <fill>
      <patternFill patternType="solid">
        <fgColor indexed="8"/>
        <bgColor indexed="22"/>
      </patternFill>
    </fill>
    <fill>
      <patternFill patternType="solid">
        <fgColor indexed="23"/>
        <bgColor indexed="64"/>
      </patternFill>
    </fill>
    <fill>
      <patternFill patternType="solid">
        <fgColor indexed="9"/>
        <bgColor indexed="61"/>
      </patternFill>
    </fill>
    <fill>
      <patternFill patternType="solid">
        <fgColor indexed="65"/>
        <bgColor indexed="8"/>
      </patternFill>
    </fill>
    <fill>
      <patternFill patternType="darkHorizontal">
        <fgColor indexed="9"/>
      </patternFill>
    </fill>
    <fill>
      <patternFill patternType="darkHorizontal">
        <fgColor indexed="9"/>
        <bgColor indexed="9"/>
      </patternFill>
    </fill>
    <fill>
      <patternFill patternType="solid">
        <fgColor indexed="13"/>
        <bgColor indexed="64"/>
      </patternFill>
    </fill>
    <fill>
      <patternFill patternType="solid">
        <fgColor indexed="11"/>
        <bgColor indexed="64"/>
      </patternFill>
    </fill>
    <fill>
      <patternFill patternType="gray0625"/>
    </fill>
    <fill>
      <patternFill patternType="solid">
        <fgColor rgb="FFFFFF00"/>
        <bgColor indexed="64"/>
      </patternFill>
    </fill>
    <fill>
      <patternFill patternType="solid">
        <fgColor rgb="FFFFFFFF"/>
        <bgColor rgb="FFFFFFFF"/>
      </patternFill>
    </fill>
    <fill>
      <patternFill patternType="solid">
        <fgColor rgb="FFF1F5FB"/>
        <bgColor rgb="FF000000"/>
      </patternFill>
    </fill>
    <fill>
      <patternFill patternType="solid">
        <fgColor rgb="FFE9EFF7"/>
        <bgColor rgb="FF000000"/>
      </patternFill>
    </fill>
    <fill>
      <patternFill patternType="solid">
        <fgColor rgb="FFCCFFCC"/>
        <bgColor indexed="64"/>
      </patternFill>
    </fill>
  </fills>
  <borders count="197">
    <border>
      <left/>
      <right/>
      <top/>
      <bottom/>
      <diagonal/>
    </border>
    <border>
      <left/>
      <right/>
      <top/>
      <bottom style="hair">
        <color indexed="22"/>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double">
        <color indexed="64"/>
      </left>
      <right style="medium">
        <color indexed="64"/>
      </right>
      <top style="medium">
        <color indexed="64"/>
      </top>
      <bottom/>
      <diagonal/>
    </border>
    <border>
      <left/>
      <right/>
      <top/>
      <bottom style="thin">
        <color indexed="8"/>
      </bottom>
      <diagonal/>
    </border>
    <border>
      <left/>
      <right/>
      <top style="double">
        <color indexed="64"/>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right/>
      <top/>
      <bottom style="medium">
        <color indexed="8"/>
      </bottom>
      <diagonal/>
    </border>
    <border>
      <left/>
      <right/>
      <top/>
      <bottom style="hair">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right style="medium">
        <color indexed="8"/>
      </right>
      <top style="thin">
        <color indexed="8"/>
      </top>
      <bottom/>
      <diagonal/>
    </border>
    <border>
      <left/>
      <right style="thin">
        <color indexed="8"/>
      </right>
      <top/>
      <bottom/>
      <diagonal/>
    </border>
    <border>
      <left style="thin">
        <color indexed="8"/>
      </left>
      <right style="thin">
        <color indexed="8"/>
      </right>
      <top/>
      <bottom/>
      <diagonal/>
    </border>
    <border>
      <left style="medium">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8"/>
      </right>
      <top/>
      <bottom style="thin">
        <color indexed="8"/>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top/>
      <bottom/>
      <diagonal/>
    </border>
    <border>
      <left style="thin">
        <color indexed="8"/>
      </left>
      <right style="medium">
        <color indexed="8"/>
      </right>
      <top/>
      <bottom/>
      <diagonal/>
    </border>
    <border>
      <left style="thin">
        <color indexed="8"/>
      </left>
      <right/>
      <top style="thin">
        <color indexed="8"/>
      </top>
      <bottom/>
      <diagonal/>
    </border>
    <border>
      <left style="thin">
        <color indexed="8"/>
      </left>
      <right style="medium">
        <color indexed="8"/>
      </right>
      <top style="thin">
        <color indexed="8"/>
      </top>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style="medium">
        <color indexed="8"/>
      </left>
      <right style="thin">
        <color indexed="8"/>
      </right>
      <top/>
      <bottom style="medium">
        <color indexed="8"/>
      </bottom>
      <diagonal/>
    </border>
    <border>
      <left style="thin">
        <color indexed="8"/>
      </left>
      <right style="medium">
        <color indexed="8"/>
      </right>
      <top/>
      <bottom style="medium">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top/>
      <bottom style="medium">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thin">
        <color indexed="8"/>
      </top>
      <bottom style="thin">
        <color indexed="8"/>
      </bottom>
      <diagonal/>
    </border>
    <border>
      <left style="medium">
        <color indexed="8"/>
      </left>
      <right/>
      <top style="thin">
        <color indexed="8"/>
      </top>
      <bottom style="thin">
        <color indexed="8"/>
      </bottom>
      <diagonal/>
    </border>
    <border>
      <left/>
      <right/>
      <top style="thin">
        <color indexed="8"/>
      </top>
      <bottom style="medium">
        <color indexed="8"/>
      </bottom>
      <diagonal/>
    </border>
    <border>
      <left/>
      <right style="medium">
        <color indexed="8"/>
      </right>
      <top style="thin">
        <color indexed="8"/>
      </top>
      <bottom style="double">
        <color indexed="8"/>
      </bottom>
      <diagonal/>
    </border>
    <border>
      <left style="thin">
        <color indexed="8"/>
      </left>
      <right style="medium">
        <color indexed="8"/>
      </right>
      <top style="thin">
        <color indexed="8"/>
      </top>
      <bottom style="double">
        <color indexed="8"/>
      </bottom>
      <diagonal/>
    </border>
    <border>
      <left style="medium">
        <color indexed="8"/>
      </left>
      <right/>
      <top style="thin">
        <color indexed="8"/>
      </top>
      <bottom style="medium">
        <color indexed="8"/>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thin">
        <color indexed="8"/>
      </left>
      <right style="thin">
        <color indexed="8"/>
      </right>
      <top/>
      <bottom style="double">
        <color indexed="8"/>
      </bottom>
      <diagonal/>
    </border>
    <border>
      <left/>
      <right style="thin">
        <color indexed="8"/>
      </right>
      <top/>
      <bottom style="double">
        <color indexed="8"/>
      </bottom>
      <diagonal/>
    </border>
    <border>
      <left/>
      <right style="medium">
        <color indexed="8"/>
      </right>
      <top/>
      <bottom style="double">
        <color indexed="8"/>
      </bottom>
      <diagonal/>
    </border>
    <border>
      <left style="thin">
        <color indexed="8"/>
      </left>
      <right/>
      <top style="thin">
        <color indexed="8"/>
      </top>
      <bottom style="double">
        <color indexed="8"/>
      </bottom>
      <diagonal/>
    </border>
    <border>
      <left style="medium">
        <color indexed="8"/>
      </left>
      <right style="medium">
        <color indexed="8"/>
      </right>
      <top style="thin">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style="medium">
        <color indexed="8"/>
      </left>
      <right style="medium">
        <color indexed="8"/>
      </right>
      <top style="medium">
        <color indexed="8"/>
      </top>
      <bottom/>
      <diagonal/>
    </border>
    <border>
      <left style="medium">
        <color indexed="8"/>
      </left>
      <right style="medium">
        <color indexed="8"/>
      </right>
      <top style="medium">
        <color indexed="8"/>
      </top>
      <bottom style="medium">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8"/>
      </left>
      <right style="thin">
        <color indexed="64"/>
      </right>
      <top/>
      <bottom/>
      <diagonal/>
    </border>
    <border>
      <left style="thin">
        <color indexed="8"/>
      </left>
      <right style="thick">
        <color indexed="8"/>
      </right>
      <top/>
      <bottom style="medium">
        <color indexed="8"/>
      </bottom>
      <diagonal/>
    </border>
    <border>
      <left/>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n">
        <color indexed="8"/>
      </bottom>
      <diagonal/>
    </border>
    <border>
      <left/>
      <right style="thick">
        <color indexed="8"/>
      </right>
      <top/>
      <bottom style="thin">
        <color indexed="8"/>
      </bottom>
      <diagonal/>
    </border>
    <border>
      <left style="thick">
        <color indexed="8"/>
      </left>
      <right style="thin">
        <color indexed="8"/>
      </right>
      <top/>
      <bottom/>
      <diagonal/>
    </border>
    <border>
      <left style="thin">
        <color indexed="8"/>
      </left>
      <right style="thick">
        <color indexed="8"/>
      </right>
      <top/>
      <bottom/>
      <diagonal/>
    </border>
    <border>
      <left style="thick">
        <color indexed="8"/>
      </left>
      <right style="thin">
        <color indexed="8"/>
      </right>
      <top/>
      <bottom style="thin">
        <color indexed="8"/>
      </bottom>
      <diagonal/>
    </border>
    <border>
      <left style="thin">
        <color indexed="8"/>
      </left>
      <right style="thick">
        <color indexed="8"/>
      </right>
      <top/>
      <bottom style="thin">
        <color indexed="8"/>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right style="medium">
        <color indexed="64"/>
      </right>
      <top style="thick">
        <color indexed="8"/>
      </top>
      <bottom/>
      <diagonal/>
    </border>
    <border>
      <left/>
      <right style="thick">
        <color indexed="8"/>
      </right>
      <top style="thick">
        <color indexed="8"/>
      </top>
      <bottom/>
      <diagonal/>
    </border>
    <border>
      <left/>
      <right style="thin">
        <color indexed="64"/>
      </right>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ck">
        <color indexed="8"/>
      </right>
      <top style="thin">
        <color indexed="8"/>
      </top>
      <bottom style="double">
        <color indexed="8"/>
      </bottom>
      <diagonal/>
    </border>
    <border>
      <left style="thick">
        <color indexed="8"/>
      </left>
      <right style="medium">
        <color indexed="8"/>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bottom style="thin">
        <color indexed="64"/>
      </bottom>
      <diagonal/>
    </border>
    <border>
      <left style="thin">
        <color indexed="64"/>
      </left>
      <right/>
      <top/>
      <bottom/>
      <diagonal/>
    </border>
    <border>
      <left style="thin">
        <color indexed="8"/>
      </left>
      <right style="medium">
        <color indexed="8"/>
      </right>
      <top style="medium">
        <color indexed="8"/>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8"/>
      </top>
      <bottom/>
      <diagonal/>
    </border>
    <border>
      <left style="thin">
        <color indexed="64"/>
      </left>
      <right style="thin">
        <color indexed="64"/>
      </right>
      <top style="thin">
        <color indexed="8"/>
      </top>
      <bottom style="thin">
        <color indexed="8"/>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8"/>
      </left>
      <right style="thin">
        <color indexed="64"/>
      </right>
      <top style="thin">
        <color indexed="8"/>
      </top>
      <bottom style="double">
        <color indexed="8"/>
      </bottom>
      <diagonal/>
    </border>
    <border>
      <left/>
      <right style="thin">
        <color indexed="64"/>
      </right>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medium">
        <color indexed="8"/>
      </top>
      <bottom/>
      <diagonal/>
    </border>
    <border>
      <left style="thin">
        <color indexed="8"/>
      </left>
      <right style="thin">
        <color indexed="8"/>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8"/>
      </bottom>
      <diagonal/>
    </border>
    <border>
      <left/>
      <right style="medium">
        <color indexed="64"/>
      </right>
      <top/>
      <bottom style="thin">
        <color indexed="8"/>
      </bottom>
      <diagonal/>
    </border>
    <border>
      <left style="thick">
        <color indexed="8"/>
      </left>
      <right/>
      <top style="thick">
        <color indexed="8"/>
      </top>
      <bottom/>
      <diagonal/>
    </border>
    <border>
      <left/>
      <right style="thick">
        <color indexed="8"/>
      </right>
      <top style="thin">
        <color indexed="8"/>
      </top>
      <bottom/>
      <diagonal/>
    </border>
    <border>
      <left/>
      <right style="thin">
        <color indexed="8"/>
      </right>
      <top style="medium">
        <color indexed="8"/>
      </top>
      <bottom/>
      <diagonal/>
    </border>
    <border>
      <left style="thick">
        <color theme="1"/>
      </left>
      <right/>
      <top style="thick">
        <color theme="1"/>
      </top>
      <bottom/>
      <diagonal/>
    </border>
    <border>
      <left/>
      <right/>
      <top style="thick">
        <color theme="1"/>
      </top>
      <bottom/>
      <diagonal/>
    </border>
    <border>
      <left/>
      <right style="thick">
        <color theme="1"/>
      </right>
      <top style="thick">
        <color theme="1"/>
      </top>
      <bottom/>
      <diagonal/>
    </border>
    <border>
      <left/>
      <right style="thick">
        <color theme="1"/>
      </right>
      <top/>
      <bottom/>
      <diagonal/>
    </border>
    <border>
      <left style="thick">
        <color theme="1"/>
      </left>
      <right/>
      <top/>
      <bottom style="thin">
        <color indexed="8"/>
      </bottom>
      <diagonal/>
    </border>
    <border>
      <left/>
      <right style="thick">
        <color theme="1"/>
      </right>
      <top/>
      <bottom style="thin">
        <color indexed="8"/>
      </bottom>
      <diagonal/>
    </border>
    <border>
      <left style="thick">
        <color theme="1"/>
      </left>
      <right/>
      <top/>
      <bottom/>
      <diagonal/>
    </border>
    <border>
      <left style="thick">
        <color theme="1"/>
      </left>
      <right style="thin">
        <color indexed="8"/>
      </right>
      <top/>
      <bottom/>
      <diagonal/>
    </border>
    <border>
      <left style="thin">
        <color indexed="8"/>
      </left>
      <right style="thick">
        <color theme="1"/>
      </right>
      <top/>
      <bottom/>
      <diagonal/>
    </border>
    <border>
      <left style="thick">
        <color theme="1"/>
      </left>
      <right style="thin">
        <color indexed="8"/>
      </right>
      <top/>
      <bottom style="thin">
        <color indexed="8"/>
      </bottom>
      <diagonal/>
    </border>
    <border>
      <left style="thin">
        <color indexed="8"/>
      </left>
      <right style="thick">
        <color theme="1"/>
      </right>
      <top/>
      <bottom style="thin">
        <color indexed="8"/>
      </bottom>
      <diagonal/>
    </border>
    <border>
      <left style="thick">
        <color theme="1"/>
      </left>
      <right/>
      <top/>
      <bottom style="thick">
        <color theme="1"/>
      </bottom>
      <diagonal/>
    </border>
    <border>
      <left/>
      <right/>
      <top/>
      <bottom style="thick">
        <color theme="1"/>
      </bottom>
      <diagonal/>
    </border>
    <border>
      <left/>
      <right style="thick">
        <color theme="1"/>
      </right>
      <top/>
      <bottom style="thick">
        <color theme="1"/>
      </bottom>
      <diagonal/>
    </border>
    <border>
      <left style="thin">
        <color indexed="8"/>
      </left>
      <right style="thick">
        <color theme="1"/>
      </right>
      <top style="thin">
        <color indexed="8"/>
      </top>
      <bottom style="thin">
        <color indexed="8"/>
      </bottom>
      <diagonal/>
    </border>
    <border>
      <left style="medium">
        <color theme="1"/>
      </left>
      <right style="thin">
        <color indexed="8"/>
      </right>
      <top/>
      <bottom style="thin">
        <color indexed="64"/>
      </bottom>
      <diagonal/>
    </border>
    <border>
      <left/>
      <right style="medium">
        <color theme="1"/>
      </right>
      <top/>
      <bottom/>
      <diagonal/>
    </border>
    <border>
      <left style="thin">
        <color indexed="8"/>
      </left>
      <right style="medium">
        <color theme="1"/>
      </right>
      <top/>
      <bottom/>
      <diagonal/>
    </border>
    <border>
      <left style="thin">
        <color indexed="8"/>
      </left>
      <right style="medium">
        <color theme="1"/>
      </right>
      <top/>
      <bottom style="thin">
        <color indexed="8"/>
      </bottom>
      <diagonal/>
    </border>
    <border>
      <left style="thin">
        <color indexed="8"/>
      </left>
      <right style="medium">
        <color theme="1"/>
      </right>
      <top style="thin">
        <color indexed="8"/>
      </top>
      <bottom style="thin">
        <color indexed="8"/>
      </bottom>
      <diagonal/>
    </border>
    <border>
      <left style="thin">
        <color theme="1"/>
      </left>
      <right style="thin">
        <color theme="1"/>
      </right>
      <top style="thin">
        <color indexed="8"/>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indexed="8"/>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style="medium">
        <color theme="1"/>
      </left>
      <right/>
      <top/>
      <bottom style="thin">
        <color indexed="8"/>
      </bottom>
      <diagonal/>
    </border>
    <border>
      <left/>
      <right style="medium">
        <color theme="1"/>
      </right>
      <top/>
      <bottom style="thin">
        <color indexed="8"/>
      </bottom>
      <diagonal/>
    </border>
    <border>
      <left style="medium">
        <color theme="1"/>
      </left>
      <right style="thin">
        <color indexed="8"/>
      </right>
      <top/>
      <bottom/>
      <diagonal/>
    </border>
    <border>
      <left/>
      <right style="medium">
        <color theme="1"/>
      </right>
      <top style="thin">
        <color indexed="8"/>
      </top>
      <bottom/>
      <diagonal/>
    </border>
    <border>
      <left style="medium">
        <color theme="1"/>
      </left>
      <right style="thin">
        <color indexed="8"/>
      </right>
      <top/>
      <bottom style="thin">
        <color indexed="8"/>
      </bottom>
      <diagonal/>
    </border>
    <border>
      <left/>
      <right style="medium">
        <color theme="1"/>
      </right>
      <top style="thin">
        <color indexed="8"/>
      </top>
      <bottom style="thin">
        <color indexed="8"/>
      </bottom>
      <diagonal/>
    </border>
    <border>
      <left/>
      <right style="medium">
        <color theme="1"/>
      </right>
      <top/>
      <bottom style="thin">
        <color indexed="64"/>
      </bottom>
      <diagonal/>
    </border>
    <border>
      <left style="medium">
        <color theme="1"/>
      </left>
      <right style="thin">
        <color indexed="8"/>
      </right>
      <top/>
      <bottom style="medium">
        <color indexed="8"/>
      </bottom>
      <diagonal/>
    </border>
    <border>
      <left/>
      <right style="medium">
        <color theme="1"/>
      </right>
      <top/>
      <bottom style="medium">
        <color indexed="8"/>
      </bottom>
      <diagonal/>
    </border>
    <border>
      <left style="medium">
        <color theme="1"/>
      </left>
      <right/>
      <top style="medium">
        <color indexed="8"/>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theme="1"/>
      </left>
      <right style="thick">
        <color theme="1"/>
      </right>
      <top style="thin">
        <color indexed="8"/>
      </top>
      <bottom style="thin">
        <color theme="1"/>
      </bottom>
      <diagonal/>
    </border>
    <border>
      <left style="thin">
        <color theme="1"/>
      </left>
      <right style="thick">
        <color theme="1"/>
      </right>
      <top style="thin">
        <color theme="1"/>
      </top>
      <bottom style="thin">
        <color theme="1"/>
      </bottom>
      <diagonal/>
    </border>
    <border>
      <left style="medium">
        <color indexed="8"/>
      </left>
      <right/>
      <top style="thin">
        <color theme="1"/>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medium">
        <color indexed="8"/>
      </right>
      <top style="thin">
        <color theme="1"/>
      </top>
      <bottom/>
      <diagonal/>
    </border>
    <border>
      <left style="medium">
        <color indexed="8"/>
      </left>
      <right/>
      <top style="thin">
        <color indexed="64"/>
      </top>
      <bottom style="thin">
        <color indexed="64"/>
      </bottom>
      <diagonal/>
    </border>
    <border>
      <left style="thin">
        <color theme="1"/>
      </left>
      <right/>
      <top/>
      <bottom/>
      <diagonal/>
    </border>
    <border>
      <left/>
      <right style="thin">
        <color theme="1"/>
      </right>
      <top/>
      <bottom/>
      <diagonal/>
    </border>
    <border>
      <left style="medium">
        <color indexed="8"/>
      </left>
      <right/>
      <top style="thin">
        <color indexed="64"/>
      </top>
      <bottom style="medium">
        <color indexed="8"/>
      </bottom>
      <diagonal/>
    </border>
    <border>
      <left style="thin">
        <color theme="1"/>
      </left>
      <right style="thin">
        <color indexed="64"/>
      </right>
      <top style="thin">
        <color indexed="64"/>
      </top>
      <bottom style="medium">
        <color indexed="8"/>
      </bottom>
      <diagonal/>
    </border>
    <border>
      <left style="thin">
        <color indexed="64"/>
      </left>
      <right style="thin">
        <color indexed="64"/>
      </right>
      <top style="thin">
        <color indexed="64"/>
      </top>
      <bottom style="medium">
        <color indexed="8"/>
      </bottom>
      <diagonal/>
    </border>
    <border>
      <left/>
      <right style="thin">
        <color theme="1"/>
      </right>
      <top/>
      <bottom style="medium">
        <color indexed="8"/>
      </bottom>
      <diagonal/>
    </border>
    <border>
      <left style="thin">
        <color theme="1"/>
      </left>
      <right style="medium">
        <color indexed="8"/>
      </right>
      <top style="thin">
        <color theme="1"/>
      </top>
      <bottom style="medium">
        <color indexed="8"/>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rgb="FF808080"/>
      </left>
      <right style="thin">
        <color rgb="FF808080"/>
      </right>
      <top style="thin">
        <color rgb="FF808080"/>
      </top>
      <bottom style="thin">
        <color rgb="FF808080"/>
      </bottom>
      <diagonal/>
    </border>
    <border>
      <left style="thin">
        <color theme="1"/>
      </left>
      <right style="thin">
        <color indexed="8"/>
      </right>
      <top/>
      <bottom/>
      <diagonal/>
    </border>
    <border>
      <left/>
      <right style="thin">
        <color indexed="8"/>
      </right>
      <top style="thin">
        <color indexed="8"/>
      </top>
      <bottom style="double">
        <color indexed="8"/>
      </bottom>
      <diagonal/>
    </border>
    <border>
      <left style="medium">
        <color indexed="8"/>
      </left>
      <right style="thin">
        <color indexed="8"/>
      </right>
      <top style="thin">
        <color indexed="8"/>
      </top>
      <bottom style="double">
        <color indexed="8"/>
      </bottom>
      <diagonal/>
    </border>
    <border>
      <left style="thin">
        <color theme="1" tint="4.9989318521683403E-2"/>
      </left>
      <right style="thin">
        <color theme="1" tint="4.9989318521683403E-2"/>
      </right>
      <top style="thin">
        <color theme="1" tint="4.9989318521683403E-2"/>
      </top>
      <bottom/>
      <diagonal/>
    </border>
    <border>
      <left style="thin">
        <color theme="1" tint="4.9989318521683403E-2"/>
      </left>
      <right style="thin">
        <color theme="1" tint="4.9989318521683403E-2"/>
      </right>
      <top/>
      <bottom/>
      <diagonal/>
    </border>
    <border>
      <left style="thin">
        <color theme="1" tint="4.9989318521683403E-2"/>
      </left>
      <right style="thin">
        <color theme="1" tint="4.9989318521683403E-2"/>
      </right>
      <top/>
      <bottom style="thin">
        <color indexed="8"/>
      </bottom>
      <diagonal/>
    </border>
    <border>
      <left/>
      <right/>
      <top style="hair">
        <color indexed="8"/>
      </top>
      <bottom style="hair">
        <color indexed="8"/>
      </bottom>
      <diagonal/>
    </border>
    <border>
      <left style="thin">
        <color indexed="64"/>
      </left>
      <right style="thin">
        <color indexed="8"/>
      </right>
      <top/>
      <bottom/>
      <diagonal/>
    </border>
  </borders>
  <cellStyleXfs count="185">
    <xf numFmtId="0" fontId="0" fillId="0" borderId="0"/>
    <xf numFmtId="0" fontId="1" fillId="2" borderId="0"/>
    <xf numFmtId="0" fontId="91" fillId="2" borderId="0"/>
    <xf numFmtId="0" fontId="108" fillId="2" borderId="0"/>
    <xf numFmtId="0" fontId="109" fillId="2" borderId="0"/>
    <xf numFmtId="0" fontId="110" fillId="2" borderId="0"/>
    <xf numFmtId="0" fontId="111" fillId="2" borderId="0"/>
    <xf numFmtId="0" fontId="112" fillId="2" borderId="0"/>
    <xf numFmtId="182" fontId="29" fillId="3" borderId="1"/>
    <xf numFmtId="181" fontId="1" fillId="3" borderId="1"/>
    <xf numFmtId="0" fontId="108" fillId="3" borderId="0"/>
    <xf numFmtId="0" fontId="1" fillId="2" borderId="0"/>
    <xf numFmtId="0" fontId="91" fillId="2" borderId="0"/>
    <xf numFmtId="0" fontId="108" fillId="2" borderId="0"/>
    <xf numFmtId="0" fontId="29" fillId="2" borderId="0"/>
    <xf numFmtId="0" fontId="110" fillId="2" borderId="0"/>
    <xf numFmtId="0" fontId="111" fillId="2" borderId="0"/>
    <xf numFmtId="0" fontId="112" fillId="2" borderId="0"/>
    <xf numFmtId="0" fontId="113" fillId="0" borderId="0" applyNumberFormat="0" applyFill="0" applyBorder="0" applyProtection="0">
      <alignment horizontal="centerContinuous"/>
    </xf>
    <xf numFmtId="0" fontId="1" fillId="0" borderId="0"/>
    <xf numFmtId="183" fontId="97" fillId="0" borderId="0" applyFont="0" applyFill="0" applyBorder="0" applyAlignment="0" applyProtection="0"/>
    <xf numFmtId="0" fontId="97" fillId="0" borderId="0" applyFont="0" applyFill="0" applyBorder="0" applyAlignment="0" applyProtection="0"/>
    <xf numFmtId="0" fontId="4" fillId="0" borderId="0"/>
    <xf numFmtId="0" fontId="103" fillId="4" borderId="0" applyNumberFormat="0" applyBorder="0" applyAlignment="0" applyProtection="0"/>
    <xf numFmtId="0" fontId="103" fillId="5" borderId="0" applyNumberFormat="0" applyBorder="0" applyAlignment="0" applyProtection="0"/>
    <xf numFmtId="0" fontId="103" fillId="6" borderId="0" applyNumberFormat="0" applyBorder="0" applyAlignment="0" applyProtection="0"/>
    <xf numFmtId="0" fontId="103" fillId="7" borderId="0" applyNumberFormat="0" applyBorder="0" applyAlignment="0" applyProtection="0"/>
    <xf numFmtId="0" fontId="103" fillId="8" borderId="0" applyNumberFormat="0" applyBorder="0" applyAlignment="0" applyProtection="0"/>
    <xf numFmtId="0" fontId="103" fillId="9" borderId="0" applyNumberFormat="0" applyBorder="0" applyAlignment="0" applyProtection="0"/>
    <xf numFmtId="0" fontId="103" fillId="10" borderId="0" applyNumberFormat="0" applyBorder="0" applyAlignment="0" applyProtection="0"/>
    <xf numFmtId="0" fontId="103" fillId="11" borderId="0" applyNumberFormat="0" applyBorder="0" applyAlignment="0" applyProtection="0"/>
    <xf numFmtId="0" fontId="103" fillId="12" borderId="0" applyNumberFormat="0" applyBorder="0" applyAlignment="0" applyProtection="0"/>
    <xf numFmtId="0" fontId="103" fillId="7" borderId="0" applyNumberFormat="0" applyBorder="0" applyAlignment="0" applyProtection="0"/>
    <xf numFmtId="0" fontId="103" fillId="10" borderId="0" applyNumberFormat="0" applyBorder="0" applyAlignment="0" applyProtection="0"/>
    <xf numFmtId="0" fontId="103" fillId="13" borderId="0" applyNumberFormat="0" applyBorder="0" applyAlignment="0" applyProtection="0"/>
    <xf numFmtId="0" fontId="114" fillId="14" borderId="0" applyNumberFormat="0" applyBorder="0" applyAlignment="0" applyProtection="0"/>
    <xf numFmtId="0" fontId="114" fillId="11" borderId="0" applyNumberFormat="0" applyBorder="0" applyAlignment="0" applyProtection="0"/>
    <xf numFmtId="0" fontId="114" fillId="12"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14" fillId="17" borderId="0" applyNumberFormat="0" applyBorder="0" applyAlignment="0" applyProtection="0"/>
    <xf numFmtId="0" fontId="114" fillId="18" borderId="0" applyNumberFormat="0" applyBorder="0" applyAlignment="0" applyProtection="0"/>
    <xf numFmtId="0" fontId="114" fillId="19" borderId="0" applyNumberFormat="0" applyBorder="0" applyAlignment="0" applyProtection="0"/>
    <xf numFmtId="0" fontId="114" fillId="20"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14" fillId="21" borderId="0" applyNumberFormat="0" applyBorder="0" applyAlignment="0" applyProtection="0"/>
    <xf numFmtId="0" fontId="115" fillId="5" borderId="0" applyNumberFormat="0" applyBorder="0" applyAlignment="0" applyProtection="0"/>
    <xf numFmtId="0" fontId="116" fillId="0" borderId="0" applyNumberFormat="0" applyFill="0" applyBorder="0" applyAlignment="0" applyProtection="0"/>
    <xf numFmtId="0" fontId="117" fillId="0" borderId="2" applyNumberFormat="0" applyFill="0" applyAlignment="0" applyProtection="0"/>
    <xf numFmtId="0" fontId="97" fillId="0" borderId="0" applyFont="0" applyFill="0" applyBorder="0" applyAlignment="0" applyProtection="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0" fontId="119" fillId="22" borderId="3" applyNumberFormat="0" applyAlignment="0" applyProtection="0"/>
    <xf numFmtId="0" fontId="120" fillId="23" borderId="0">
      <alignment horizontal="centerContinuous" vertical="center"/>
    </xf>
    <xf numFmtId="0" fontId="121" fillId="24" borderId="4" applyNumberFormat="0" applyAlignment="0" applyProtection="0"/>
    <xf numFmtId="0" fontId="91" fillId="2" borderId="5">
      <alignment horizontal="center" vertical="center" wrapText="1"/>
    </xf>
    <xf numFmtId="43" fontId="2" fillId="0" borderId="0" applyFont="0" applyFill="0" applyBorder="0" applyAlignment="0" applyProtection="0"/>
    <xf numFmtId="180" fontId="122" fillId="0" borderId="0"/>
    <xf numFmtId="180" fontId="122" fillId="0" borderId="0"/>
    <xf numFmtId="180" fontId="122" fillId="0" borderId="0"/>
    <xf numFmtId="180" fontId="122" fillId="0" borderId="0"/>
    <xf numFmtId="180" fontId="122" fillId="0" borderId="0"/>
    <xf numFmtId="180" fontId="122" fillId="0" borderId="0"/>
    <xf numFmtId="180" fontId="122" fillId="0" borderId="0"/>
    <xf numFmtId="180" fontId="122" fillId="0" borderId="0"/>
    <xf numFmtId="43" fontId="2" fillId="0" borderId="0" applyFont="0" applyFill="0" applyBorder="0" applyAlignment="0" applyProtection="0"/>
    <xf numFmtId="37" fontId="1" fillId="0" borderId="0" applyFill="0" applyBorder="0" applyAlignment="0" applyProtection="0"/>
    <xf numFmtId="0" fontId="123" fillId="0" borderId="0"/>
    <xf numFmtId="41" fontId="1" fillId="0" borderId="0" applyFont="0" applyFill="0" applyBorder="0" applyAlignment="0" applyProtection="0"/>
    <xf numFmtId="44" fontId="2" fillId="0" borderId="0" applyFont="0" applyFill="0" applyBorder="0" applyAlignment="0" applyProtection="0"/>
    <xf numFmtId="8" fontId="124" fillId="0" borderId="6">
      <protection locked="0"/>
    </xf>
    <xf numFmtId="44" fontId="2" fillId="0" borderId="0" applyFont="0" applyFill="0" applyBorder="0" applyAlignment="0" applyProtection="0"/>
    <xf numFmtId="5" fontId="1" fillId="0" borderId="0" applyFill="0" applyBorder="0" applyAlignment="0" applyProtection="0"/>
    <xf numFmtId="42" fontId="1" fillId="0" borderId="0" applyFont="0" applyFill="0" applyBorder="0" applyAlignment="0" applyProtection="0"/>
    <xf numFmtId="184" fontId="97" fillId="0" borderId="0" applyFont="0" applyFill="0" applyBorder="0" applyAlignment="0" applyProtection="0"/>
    <xf numFmtId="175" fontId="1" fillId="0" borderId="0" applyFill="0" applyBorder="0" applyAlignment="0" applyProtection="0"/>
    <xf numFmtId="185" fontId="1" fillId="0" borderId="0" applyFont="0" applyFill="0" applyBorder="0" applyAlignment="0" applyProtection="0"/>
    <xf numFmtId="0" fontId="125" fillId="0" borderId="0" applyNumberFormat="0" applyFill="0" applyBorder="0" applyAlignment="0" applyProtection="0"/>
    <xf numFmtId="2" fontId="1" fillId="0" borderId="0" applyFill="0" applyBorder="0" applyAlignment="0" applyProtection="0"/>
    <xf numFmtId="0" fontId="126" fillId="6" borderId="0" applyNumberFormat="0" applyBorder="0" applyAlignment="0" applyProtection="0"/>
    <xf numFmtId="37" fontId="3" fillId="0" borderId="0"/>
    <xf numFmtId="37" fontId="5" fillId="0" borderId="0"/>
    <xf numFmtId="37" fontId="87" fillId="0" borderId="0"/>
    <xf numFmtId="37" fontId="88" fillId="0" borderId="0"/>
    <xf numFmtId="0" fontId="107" fillId="25" borderId="0"/>
    <xf numFmtId="0" fontId="127" fillId="10" borderId="0" applyNumberFormat="0" applyFont="0" applyBorder="0" applyAlignment="0">
      <protection locked="0"/>
    </xf>
    <xf numFmtId="0" fontId="128" fillId="0" borderId="0" applyNumberFormat="0" applyFill="0" applyBorder="0" applyAlignment="0">
      <protection locked="0"/>
    </xf>
    <xf numFmtId="0" fontId="129" fillId="0" borderId="7" applyNumberFormat="0" applyFill="0" applyAlignment="0" applyProtection="0"/>
    <xf numFmtId="0" fontId="130" fillId="26" borderId="0" applyNumberFormat="0" applyBorder="0" applyAlignment="0" applyProtection="0"/>
    <xf numFmtId="172" fontId="131" fillId="0" borderId="0"/>
    <xf numFmtId="0" fontId="2" fillId="0" borderId="0"/>
    <xf numFmtId="0" fontId="62" fillId="0" borderId="0"/>
    <xf numFmtId="0" fontId="62" fillId="0" borderId="0"/>
    <xf numFmtId="0" fontId="62" fillId="0" borderId="0"/>
    <xf numFmtId="0" fontId="62" fillId="0" borderId="0"/>
    <xf numFmtId="0" fontId="103" fillId="0" borderId="0"/>
    <xf numFmtId="0" fontId="62" fillId="0" borderId="0"/>
    <xf numFmtId="0" fontId="1" fillId="27" borderId="8" applyNumberFormat="0" applyFont="0" applyAlignment="0" applyProtection="0"/>
    <xf numFmtId="0" fontId="90" fillId="0" borderId="0" applyNumberFormat="0" applyFill="0" applyBorder="0" applyAlignment="0" applyProtection="0"/>
    <xf numFmtId="0" fontId="132" fillId="22" borderId="9" applyNumberFormat="0" applyAlignment="0" applyProtection="0"/>
    <xf numFmtId="9" fontId="2" fillId="0" borderId="0" applyFont="0" applyFill="0" applyBorder="0" applyAlignment="0" applyProtection="0"/>
    <xf numFmtId="7" fontId="133" fillId="0" borderId="0" applyFont="0" applyFill="0" applyBorder="0" applyAlignment="0" applyProtection="0"/>
    <xf numFmtId="0" fontId="134" fillId="0" borderId="0" applyNumberFormat="0" applyFont="0" applyFill="0" applyBorder="0" applyAlignment="0" applyProtection="0">
      <alignment horizontal="left"/>
    </xf>
    <xf numFmtId="15" fontId="134" fillId="0" borderId="0" applyFont="0" applyFill="0" applyBorder="0" applyAlignment="0" applyProtection="0"/>
    <xf numFmtId="4" fontId="134" fillId="0" borderId="0" applyFont="0" applyFill="0" applyBorder="0" applyAlignment="0" applyProtection="0"/>
    <xf numFmtId="0" fontId="135" fillId="0" borderId="10">
      <alignment horizontal="center"/>
    </xf>
    <xf numFmtId="3" fontId="134" fillId="0" borderId="0" applyFont="0" applyFill="0" applyBorder="0" applyAlignment="0" applyProtection="0"/>
    <xf numFmtId="0" fontId="134" fillId="28" borderId="0" applyNumberFormat="0" applyFont="0" applyBorder="0" applyAlignment="0" applyProtection="0"/>
    <xf numFmtId="0" fontId="108" fillId="0" borderId="0"/>
    <xf numFmtId="0" fontId="91" fillId="0" borderId="11">
      <alignment horizontal="center" vertical="center" wrapText="1"/>
    </xf>
    <xf numFmtId="169" fontId="127" fillId="0" borderId="0"/>
    <xf numFmtId="0" fontId="127" fillId="0" borderId="12">
      <alignment horizontal="centerContinuous"/>
    </xf>
    <xf numFmtId="0" fontId="127" fillId="0" borderId="12">
      <protection locked="0"/>
    </xf>
    <xf numFmtId="0" fontId="127" fillId="0" borderId="12">
      <alignment horizontal="centerContinuous"/>
    </xf>
    <xf numFmtId="169" fontId="127" fillId="0" borderId="0"/>
    <xf numFmtId="0" fontId="127" fillId="0" borderId="12">
      <protection locked="0"/>
    </xf>
    <xf numFmtId="169" fontId="127" fillId="0" borderId="0"/>
    <xf numFmtId="0" fontId="127" fillId="0" borderId="12">
      <alignment horizontal="centerContinuous"/>
    </xf>
    <xf numFmtId="169" fontId="127" fillId="0" borderId="0"/>
    <xf numFmtId="0" fontId="127" fillId="0" borderId="12">
      <protection locked="0"/>
    </xf>
    <xf numFmtId="0" fontId="127" fillId="0" borderId="12">
      <alignment horizontal="centerContinuous"/>
    </xf>
    <xf numFmtId="0" fontId="127" fillId="0" borderId="12">
      <alignment horizontal="centerContinuous"/>
    </xf>
    <xf numFmtId="169" fontId="127" fillId="0" borderId="0"/>
    <xf numFmtId="0" fontId="127" fillId="0" borderId="12">
      <alignment horizontal="centerContinuous"/>
    </xf>
    <xf numFmtId="0" fontId="127" fillId="0" borderId="12">
      <protection locked="0"/>
    </xf>
    <xf numFmtId="169" fontId="127" fillId="0" borderId="0"/>
    <xf numFmtId="169" fontId="127" fillId="0" borderId="0"/>
    <xf numFmtId="0" fontId="127" fillId="0" borderId="12">
      <alignment horizontal="centerContinuous"/>
    </xf>
    <xf numFmtId="0" fontId="127" fillId="0" borderId="12">
      <protection locked="0"/>
    </xf>
    <xf numFmtId="169" fontId="127" fillId="0" borderId="0"/>
    <xf numFmtId="0" fontId="127" fillId="0" borderId="12">
      <alignment horizontal="centerContinuous"/>
    </xf>
    <xf numFmtId="0" fontId="127" fillId="0" borderId="12">
      <protection locked="0"/>
    </xf>
    <xf numFmtId="0" fontId="127" fillId="0" borderId="12">
      <alignment horizontal="centerContinuous"/>
    </xf>
    <xf numFmtId="0" fontId="127" fillId="0" borderId="12">
      <protection locked="0"/>
    </xf>
    <xf numFmtId="0" fontId="127" fillId="0" borderId="12">
      <protection locked="0"/>
    </xf>
    <xf numFmtId="169" fontId="127" fillId="0" borderId="0"/>
    <xf numFmtId="0" fontId="127" fillId="0" borderId="12">
      <protection locked="0"/>
    </xf>
    <xf numFmtId="0" fontId="127" fillId="0" borderId="12">
      <alignment horizontal="centerContinuous"/>
    </xf>
    <xf numFmtId="0" fontId="127" fillId="0" borderId="12">
      <alignment horizontal="centerContinuous"/>
    </xf>
    <xf numFmtId="0" fontId="127" fillId="0" borderId="12">
      <protection locked="0"/>
    </xf>
    <xf numFmtId="169" fontId="127" fillId="0" borderId="0"/>
    <xf numFmtId="0" fontId="127" fillId="0" borderId="12">
      <alignment horizontal="centerContinuous"/>
    </xf>
    <xf numFmtId="0" fontId="127" fillId="0" borderId="12">
      <alignment horizontal="centerContinuous"/>
    </xf>
    <xf numFmtId="169" fontId="127" fillId="0" borderId="0"/>
    <xf numFmtId="0" fontId="127" fillId="0" borderId="12">
      <alignment horizontal="centerContinuous"/>
    </xf>
    <xf numFmtId="169" fontId="127" fillId="0" borderId="0"/>
    <xf numFmtId="0" fontId="127" fillId="0" borderId="12">
      <alignment horizontal="centerContinuous"/>
    </xf>
    <xf numFmtId="169" fontId="127" fillId="0" borderId="0"/>
    <xf numFmtId="0" fontId="127" fillId="0" borderId="12">
      <protection locked="0"/>
    </xf>
    <xf numFmtId="0" fontId="127" fillId="0" borderId="12">
      <alignment horizontal="centerContinuous"/>
    </xf>
    <xf numFmtId="169" fontId="127" fillId="0" borderId="0"/>
    <xf numFmtId="0" fontId="96" fillId="0" borderId="0"/>
    <xf numFmtId="0" fontId="49" fillId="0" borderId="0" applyNumberFormat="0" applyBorder="0" applyAlignment="0"/>
    <xf numFmtId="0" fontId="136" fillId="0" borderId="0" applyNumberFormat="0" applyBorder="0" applyAlignment="0"/>
    <xf numFmtId="0" fontId="137" fillId="29" borderId="0"/>
    <xf numFmtId="0" fontId="137" fillId="29" borderId="0"/>
    <xf numFmtId="0" fontId="137" fillId="29" borderId="0"/>
    <xf numFmtId="0" fontId="137" fillId="29" borderId="0"/>
    <xf numFmtId="0" fontId="137" fillId="29" borderId="0"/>
    <xf numFmtId="0" fontId="137" fillId="29" borderId="0"/>
    <xf numFmtId="0" fontId="137" fillId="29" borderId="0"/>
    <xf numFmtId="0" fontId="137" fillId="29" borderId="0"/>
    <xf numFmtId="0" fontId="138" fillId="0" borderId="2">
      <alignment horizontal="center"/>
    </xf>
    <xf numFmtId="0" fontId="139" fillId="0" borderId="0" applyNumberFormat="0" applyFill="0" applyBorder="0" applyAlignment="0" applyProtection="0"/>
    <xf numFmtId="0" fontId="140" fillId="0" borderId="0"/>
    <xf numFmtId="0" fontId="1" fillId="0" borderId="13" applyNumberFormat="0" applyFill="0" applyAlignment="0" applyProtection="0"/>
    <xf numFmtId="186" fontId="141" fillId="0" borderId="0"/>
    <xf numFmtId="0" fontId="142" fillId="0" borderId="0" applyNumberFormat="0" applyFill="0" applyBorder="0" applyAlignment="0" applyProtection="0"/>
    <xf numFmtId="0" fontId="143" fillId="0" borderId="0"/>
    <xf numFmtId="188" fontId="150" fillId="55" borderId="187" applyNumberFormat="0" applyAlignment="0" applyProtection="0">
      <alignment horizontal="left" vertical="center" indent="1"/>
    </xf>
    <xf numFmtId="0" fontId="151" fillId="56" borderId="188" applyNumberFormat="0" applyAlignment="0" applyProtection="0">
      <alignment horizontal="left" vertical="center" indent="1"/>
    </xf>
    <xf numFmtId="0" fontId="151" fillId="57" borderId="187" applyNumberFormat="0" applyAlignment="0" applyProtection="0">
      <alignment horizontal="left" vertical="center" indent="1"/>
    </xf>
  </cellStyleXfs>
  <cellXfs count="3082">
    <xf numFmtId="0" fontId="0" fillId="0" borderId="0" xfId="0"/>
    <xf numFmtId="0" fontId="3" fillId="0" borderId="0" xfId="0" applyFont="1" applyAlignment="1">
      <alignment horizontal="centerContinuous"/>
    </xf>
    <xf numFmtId="0" fontId="4" fillId="0" borderId="0" xfId="0" applyFont="1" applyAlignment="1">
      <alignment horizontal="centerContinuous" wrapText="1"/>
    </xf>
    <xf numFmtId="0" fontId="5" fillId="0" borderId="0" xfId="0" applyFont="1" applyAlignment="1">
      <alignment horizontal="centerContinuous" wrapText="1"/>
    </xf>
    <xf numFmtId="0" fontId="6" fillId="0" borderId="0" xfId="0" applyFont="1" applyAlignment="1">
      <alignment horizontal="centerContinuous" wrapText="1"/>
    </xf>
    <xf numFmtId="0" fontId="7" fillId="0" borderId="0" xfId="0" applyFont="1" applyAlignment="1">
      <alignment horizontal="left"/>
    </xf>
    <xf numFmtId="0" fontId="5" fillId="0" borderId="0" xfId="0" applyFont="1" applyAlignment="1">
      <alignment horizontal="centerContinuous"/>
    </xf>
    <xf numFmtId="0" fontId="7" fillId="0" borderId="0" xfId="0" applyFont="1" applyAlignment="1">
      <alignment horizontal="centerContinuous"/>
    </xf>
    <xf numFmtId="0" fontId="0" fillId="0" borderId="0" xfId="0" applyAlignment="1">
      <alignment horizontal="centerContinuous"/>
    </xf>
    <xf numFmtId="0" fontId="6" fillId="0" borderId="0" xfId="0" applyFont="1" applyAlignment="1">
      <alignment horizontal="centerContinuous"/>
    </xf>
    <xf numFmtId="0" fontId="8" fillId="0" borderId="0" xfId="0" applyFont="1" applyAlignment="1">
      <alignment horizontal="centerContinuous"/>
    </xf>
    <xf numFmtId="0" fontId="0" fillId="0" borderId="0" xfId="0" applyProtection="1"/>
    <xf numFmtId="0" fontId="9" fillId="0" borderId="0" xfId="0" applyFont="1" applyProtection="1"/>
    <xf numFmtId="0" fontId="4" fillId="0" borderId="0" xfId="0" applyFont="1" applyAlignment="1">
      <alignment horizontal="centerContinuous"/>
    </xf>
    <xf numFmtId="0" fontId="10" fillId="0" borderId="0" xfId="0" applyFont="1" applyAlignment="1">
      <alignment horizontal="centerContinuous"/>
    </xf>
    <xf numFmtId="0" fontId="11" fillId="0" borderId="0" xfId="0" applyFont="1" applyAlignment="1">
      <alignment horizontal="centerContinuous"/>
    </xf>
    <xf numFmtId="0" fontId="12" fillId="0" borderId="0" xfId="0" applyFont="1" applyAlignment="1">
      <alignment horizontal="centerContinuous"/>
    </xf>
    <xf numFmtId="0" fontId="13" fillId="0" borderId="0" xfId="0" applyFont="1" applyAlignment="1">
      <alignment horizontal="centerContinuous"/>
    </xf>
    <xf numFmtId="0" fontId="14" fillId="0" borderId="0" xfId="0" applyFont="1" applyAlignment="1">
      <alignment horizontal="centerContinuous"/>
    </xf>
    <xf numFmtId="0" fontId="12" fillId="0" borderId="0" xfId="0" applyFont="1" applyAlignment="1">
      <alignment horizontal="center"/>
    </xf>
    <xf numFmtId="0" fontId="15" fillId="30" borderId="0" xfId="0" applyFont="1" applyFill="1" applyAlignment="1">
      <alignment horizontal="left"/>
    </xf>
    <xf numFmtId="0" fontId="16" fillId="0" borderId="0" xfId="0" applyFont="1" applyAlignment="1">
      <alignment horizontal="centerContinuous" wrapText="1"/>
    </xf>
    <xf numFmtId="0" fontId="16" fillId="0" borderId="0" xfId="0" applyFont="1"/>
    <xf numFmtId="0" fontId="0" fillId="0" borderId="0" xfId="0" applyAlignment="1">
      <alignment vertical="top"/>
    </xf>
    <xf numFmtId="0" fontId="16" fillId="0" borderId="0" xfId="0" applyFont="1" applyAlignment="1">
      <alignment horizontal="centerContinuous"/>
    </xf>
    <xf numFmtId="0" fontId="17" fillId="0" borderId="0" xfId="0" applyFont="1" applyAlignment="1">
      <alignment horizontal="centerContinuous"/>
    </xf>
    <xf numFmtId="0" fontId="0" fillId="29" borderId="0" xfId="0" applyFill="1"/>
    <xf numFmtId="0" fontId="18" fillId="29" borderId="0" xfId="0" applyFont="1" applyFill="1"/>
    <xf numFmtId="0" fontId="18" fillId="0" borderId="0" xfId="0" applyFont="1"/>
    <xf numFmtId="0" fontId="18" fillId="31" borderId="0" xfId="0" applyFont="1" applyFill="1"/>
    <xf numFmtId="0" fontId="19" fillId="0" borderId="0" xfId="0" applyFont="1" applyProtection="1">
      <protection locked="0"/>
    </xf>
    <xf numFmtId="0" fontId="18" fillId="32" borderId="0" xfId="0" applyFont="1" applyFill="1"/>
    <xf numFmtId="0" fontId="0" fillId="32" borderId="0" xfId="0" applyFill="1"/>
    <xf numFmtId="0" fontId="20" fillId="0" borderId="0" xfId="0" applyFont="1" applyProtection="1">
      <protection locked="0"/>
    </xf>
    <xf numFmtId="0" fontId="0" fillId="31" borderId="0" xfId="0" applyFill="1"/>
    <xf numFmtId="0" fontId="20" fillId="31" borderId="0" xfId="0" applyFont="1" applyFill="1" applyProtection="1">
      <protection locked="0"/>
    </xf>
    <xf numFmtId="0" fontId="21" fillId="31" borderId="0" xfId="0" applyFont="1" applyFill="1" applyAlignment="1">
      <alignment horizontal="center"/>
    </xf>
    <xf numFmtId="0" fontId="22" fillId="33" borderId="0" xfId="0" applyFont="1" applyFill="1" applyProtection="1">
      <protection locked="0"/>
    </xf>
    <xf numFmtId="0" fontId="23" fillId="33" borderId="0" xfId="0" applyFont="1" applyFill="1" applyProtection="1">
      <protection locked="0"/>
    </xf>
    <xf numFmtId="0" fontId="12" fillId="31" borderId="0" xfId="0" applyFont="1" applyFill="1"/>
    <xf numFmtId="0" fontId="12" fillId="0" borderId="0" xfId="0" applyFont="1"/>
    <xf numFmtId="0" fontId="23" fillId="31" borderId="0" xfId="0" applyFont="1" applyFill="1" applyProtection="1">
      <protection locked="0"/>
    </xf>
    <xf numFmtId="0" fontId="25" fillId="31" borderId="0" xfId="0" applyFont="1" applyFill="1"/>
    <xf numFmtId="0" fontId="26" fillId="33" borderId="0" xfId="0" applyFont="1" applyFill="1" applyProtection="1">
      <protection locked="0"/>
    </xf>
    <xf numFmtId="0" fontId="24" fillId="31" borderId="0" xfId="0" applyFont="1" applyFill="1" applyProtection="1">
      <protection locked="0"/>
    </xf>
    <xf numFmtId="0" fontId="28" fillId="31" borderId="0" xfId="0" applyFont="1" applyFill="1" applyProtection="1">
      <protection locked="0"/>
    </xf>
    <xf numFmtId="0" fontId="19" fillId="31" borderId="0" xfId="0" applyFont="1" applyFill="1" applyProtection="1">
      <protection locked="0"/>
    </xf>
    <xf numFmtId="0" fontId="14" fillId="31" borderId="0" xfId="0" applyFont="1" applyFill="1"/>
    <xf numFmtId="0" fontId="29" fillId="0" borderId="0" xfId="0" applyFont="1"/>
    <xf numFmtId="0" fontId="0" fillId="34" borderId="14" xfId="0" applyFill="1" applyBorder="1" applyProtection="1"/>
    <xf numFmtId="0" fontId="0" fillId="34" borderId="15" xfId="0" applyFill="1" applyBorder="1" applyProtection="1"/>
    <xf numFmtId="0" fontId="30" fillId="34" borderId="15" xfId="0" applyFont="1" applyFill="1" applyBorder="1" applyAlignment="1" applyProtection="1">
      <alignment horizontal="left"/>
    </xf>
    <xf numFmtId="0" fontId="31" fillId="34" borderId="15" xfId="0" applyFont="1" applyFill="1" applyBorder="1" applyProtection="1"/>
    <xf numFmtId="0" fontId="0" fillId="34" borderId="16" xfId="0" applyFill="1" applyBorder="1" applyProtection="1"/>
    <xf numFmtId="0" fontId="0" fillId="34" borderId="17" xfId="0" applyFill="1" applyBorder="1" applyProtection="1"/>
    <xf numFmtId="0" fontId="0" fillId="34" borderId="0" xfId="0" applyFill="1" applyProtection="1"/>
    <xf numFmtId="0" fontId="0" fillId="34" borderId="18" xfId="0" applyFill="1" applyBorder="1" applyProtection="1"/>
    <xf numFmtId="0" fontId="32" fillId="34" borderId="17" xfId="0" applyFont="1" applyFill="1" applyBorder="1" applyAlignment="1" applyProtection="1">
      <alignment horizontal="centerContinuous" vertical="center"/>
    </xf>
    <xf numFmtId="0" fontId="0" fillId="34" borderId="0" xfId="0" applyFill="1" applyAlignment="1" applyProtection="1">
      <alignment horizontal="centerContinuous"/>
    </xf>
    <xf numFmtId="0" fontId="0" fillId="34" borderId="18" xfId="0" applyFill="1" applyBorder="1" applyAlignment="1" applyProtection="1">
      <alignment horizontal="centerContinuous"/>
    </xf>
    <xf numFmtId="0" fontId="33" fillId="34" borderId="17" xfId="0" applyFont="1" applyFill="1" applyBorder="1" applyAlignment="1" applyProtection="1">
      <alignment horizontal="centerContinuous" vertical="center"/>
    </xf>
    <xf numFmtId="0" fontId="34" fillId="34" borderId="17" xfId="0" applyFont="1" applyFill="1" applyBorder="1" applyAlignment="1" applyProtection="1">
      <alignment horizontal="centerContinuous" vertical="center"/>
    </xf>
    <xf numFmtId="0" fontId="32" fillId="34" borderId="0" xfId="0" applyFont="1" applyFill="1" applyAlignment="1" applyProtection="1">
      <alignment horizontal="centerContinuous"/>
    </xf>
    <xf numFmtId="0" fontId="32" fillId="34" borderId="18" xfId="0" applyFont="1" applyFill="1" applyBorder="1" applyAlignment="1" applyProtection="1">
      <alignment horizontal="centerContinuous"/>
    </xf>
    <xf numFmtId="0" fontId="35" fillId="34" borderId="17" xfId="0" applyFont="1" applyFill="1" applyBorder="1" applyAlignment="1" applyProtection="1">
      <alignment horizontal="centerContinuous"/>
    </xf>
    <xf numFmtId="0" fontId="36" fillId="34" borderId="0" xfId="0" applyFont="1" applyFill="1" applyAlignment="1" applyProtection="1">
      <alignment horizontal="centerContinuous"/>
    </xf>
    <xf numFmtId="0" fontId="37" fillId="34" borderId="17" xfId="0" applyFont="1" applyFill="1" applyBorder="1" applyProtection="1"/>
    <xf numFmtId="0" fontId="38" fillId="34" borderId="15" xfId="0" applyFont="1" applyFill="1" applyBorder="1" applyAlignment="1" applyProtection="1">
      <alignment horizontal="centerContinuous"/>
    </xf>
    <xf numFmtId="0" fontId="39" fillId="34" borderId="15" xfId="0" applyFont="1" applyFill="1" applyBorder="1" applyAlignment="1" applyProtection="1">
      <alignment horizontal="centerContinuous"/>
    </xf>
    <xf numFmtId="0" fontId="38" fillId="34" borderId="17" xfId="0" applyFont="1" applyFill="1" applyBorder="1" applyAlignment="1" applyProtection="1">
      <alignment horizontal="centerContinuous"/>
    </xf>
    <xf numFmtId="0" fontId="40" fillId="34" borderId="0" xfId="0" applyFont="1" applyFill="1" applyAlignment="1" applyProtection="1">
      <alignment horizontal="centerContinuous"/>
    </xf>
    <xf numFmtId="0" fontId="40" fillId="34" borderId="18" xfId="0" applyFont="1" applyFill="1" applyBorder="1" applyAlignment="1" applyProtection="1">
      <alignment horizontal="centerContinuous"/>
    </xf>
    <xf numFmtId="0" fontId="14" fillId="34" borderId="19" xfId="0" applyFont="1" applyFill="1" applyBorder="1" applyAlignment="1" applyProtection="1">
      <alignment horizontal="centerContinuous"/>
    </xf>
    <xf numFmtId="0" fontId="0" fillId="34" borderId="19" xfId="0" applyFill="1" applyBorder="1" applyAlignment="1" applyProtection="1">
      <alignment horizontal="centerContinuous"/>
    </xf>
    <xf numFmtId="0" fontId="41" fillId="34" borderId="17" xfId="0" applyFont="1" applyFill="1" applyBorder="1" applyProtection="1"/>
    <xf numFmtId="0" fontId="42" fillId="34" borderId="0" xfId="0" applyFont="1" applyFill="1" applyAlignment="1" applyProtection="1">
      <alignment horizontal="centerContinuous"/>
    </xf>
    <xf numFmtId="0" fontId="0" fillId="34" borderId="0" xfId="0" applyFill="1" applyAlignment="1" applyProtection="1">
      <alignment horizontal="right"/>
    </xf>
    <xf numFmtId="0" fontId="35" fillId="34" borderId="0" xfId="0" applyFont="1" applyFill="1" applyAlignment="1" applyProtection="1">
      <alignment horizontal="centerContinuous"/>
    </xf>
    <xf numFmtId="0" fontId="43" fillId="34" borderId="17" xfId="0" applyFont="1" applyFill="1" applyBorder="1" applyProtection="1"/>
    <xf numFmtId="0" fontId="43" fillId="34" borderId="0" xfId="0" applyFont="1" applyFill="1" applyAlignment="1" applyProtection="1">
      <alignment horizontal="centerContinuous"/>
    </xf>
    <xf numFmtId="0" fontId="44" fillId="34" borderId="0" xfId="0" applyFont="1" applyFill="1" applyAlignment="1" applyProtection="1">
      <alignment horizontal="centerContinuous"/>
    </xf>
    <xf numFmtId="0" fontId="8" fillId="34" borderId="0" xfId="0" applyFont="1" applyFill="1" applyAlignment="1" applyProtection="1">
      <alignment horizontal="centerContinuous"/>
    </xf>
    <xf numFmtId="0" fontId="16" fillId="34" borderId="0" xfId="0" applyFont="1" applyFill="1" applyProtection="1"/>
    <xf numFmtId="0" fontId="0" fillId="34" borderId="21" xfId="0" applyFill="1" applyBorder="1" applyProtection="1"/>
    <xf numFmtId="0" fontId="0" fillId="34" borderId="19" xfId="0" applyFill="1" applyBorder="1" applyProtection="1"/>
    <xf numFmtId="0" fontId="0" fillId="34" borderId="22" xfId="0" applyFill="1" applyBorder="1" applyProtection="1"/>
    <xf numFmtId="0" fontId="0" fillId="29" borderId="0" xfId="0" applyFill="1" applyProtection="1"/>
    <xf numFmtId="0" fontId="37" fillId="29" borderId="0" xfId="0" applyFont="1" applyFill="1" applyAlignment="1" applyProtection="1">
      <alignment horizontal="right"/>
    </xf>
    <xf numFmtId="0" fontId="29" fillId="0" borderId="0" xfId="0" applyFont="1" applyProtection="1"/>
    <xf numFmtId="0" fontId="18" fillId="0" borderId="0" xfId="0" applyFont="1" applyProtection="1"/>
    <xf numFmtId="0" fontId="0" fillId="0" borderId="14" xfId="0" applyBorder="1" applyProtection="1"/>
    <xf numFmtId="0" fontId="0" fillId="0" borderId="15" xfId="0" applyBorder="1" applyProtection="1"/>
    <xf numFmtId="0" fontId="0" fillId="0" borderId="16" xfId="0" applyBorder="1" applyProtection="1"/>
    <xf numFmtId="0" fontId="0" fillId="0" borderId="17" xfId="0" applyBorder="1" applyProtection="1"/>
    <xf numFmtId="0" fontId="5" fillId="0" borderId="0" xfId="0" applyFont="1" applyAlignment="1" applyProtection="1">
      <alignment horizontal="centerContinuous"/>
    </xf>
    <xf numFmtId="0" fontId="5" fillId="0" borderId="18" xfId="0" applyFont="1" applyBorder="1" applyAlignment="1" applyProtection="1">
      <alignment horizontal="centerContinuous"/>
    </xf>
    <xf numFmtId="0" fontId="4" fillId="0" borderId="17" xfId="0" applyFont="1" applyBorder="1" applyProtection="1"/>
    <xf numFmtId="0" fontId="4" fillId="0" borderId="0" xfId="0" applyFont="1" applyProtection="1"/>
    <xf numFmtId="0" fontId="4" fillId="0" borderId="18" xfId="0" applyFont="1" applyBorder="1" applyProtection="1"/>
    <xf numFmtId="0" fontId="4" fillId="0" borderId="23" xfId="0" applyFont="1" applyBorder="1" applyProtection="1"/>
    <xf numFmtId="0" fontId="45" fillId="0" borderId="24" xfId="0" applyFont="1" applyBorder="1" applyAlignment="1" applyProtection="1">
      <alignment horizontal="center"/>
    </xf>
    <xf numFmtId="0" fontId="4" fillId="0" borderId="24" xfId="0" applyFont="1" applyBorder="1" applyProtection="1"/>
    <xf numFmtId="0" fontId="4" fillId="0" borderId="6" xfId="0" applyFont="1" applyBorder="1" applyProtection="1"/>
    <xf numFmtId="0" fontId="4" fillId="0" borderId="25" xfId="0" applyFont="1" applyBorder="1" applyProtection="1"/>
    <xf numFmtId="0" fontId="4" fillId="0" borderId="26" xfId="0" applyFont="1" applyBorder="1" applyProtection="1"/>
    <xf numFmtId="0" fontId="4" fillId="0" borderId="0" xfId="0" applyFont="1" applyAlignment="1" applyProtection="1">
      <alignment horizontal="center"/>
    </xf>
    <xf numFmtId="0" fontId="4" fillId="0" borderId="27" xfId="0" applyFont="1" applyBorder="1" applyProtection="1"/>
    <xf numFmtId="0" fontId="4" fillId="0" borderId="28" xfId="0" applyFont="1" applyBorder="1" applyProtection="1"/>
    <xf numFmtId="0" fontId="4" fillId="0" borderId="29" xfId="0" applyFont="1" applyBorder="1" applyProtection="1"/>
    <xf numFmtId="0" fontId="4" fillId="0" borderId="12" xfId="0" applyFont="1" applyBorder="1" applyProtection="1"/>
    <xf numFmtId="0" fontId="4" fillId="0" borderId="30" xfId="0" applyFont="1" applyBorder="1" applyProtection="1"/>
    <xf numFmtId="0" fontId="4" fillId="0" borderId="31" xfId="0" applyFont="1" applyBorder="1" applyProtection="1"/>
    <xf numFmtId="0" fontId="4" fillId="0" borderId="32" xfId="0" applyFont="1" applyBorder="1" applyProtection="1"/>
    <xf numFmtId="0" fontId="5" fillId="0" borderId="27" xfId="0" applyFont="1" applyBorder="1" applyAlignment="1" applyProtection="1">
      <alignment horizontal="centerContinuous"/>
    </xf>
    <xf numFmtId="164" fontId="4" fillId="0" borderId="28" xfId="0" applyNumberFormat="1" applyFont="1" applyBorder="1" applyAlignment="1" applyProtection="1">
      <alignment horizontal="center"/>
    </xf>
    <xf numFmtId="164" fontId="4" fillId="0" borderId="17" xfId="0" applyNumberFormat="1" applyFont="1" applyBorder="1" applyAlignment="1" applyProtection="1">
      <alignment horizontal="center"/>
    </xf>
    <xf numFmtId="164" fontId="4" fillId="0" borderId="0" xfId="0" applyNumberFormat="1" applyFont="1" applyProtection="1"/>
    <xf numFmtId="0" fontId="5" fillId="0" borderId="0" xfId="0" applyFont="1" applyAlignment="1" applyProtection="1">
      <alignment horizontal="center"/>
    </xf>
    <xf numFmtId="0" fontId="5" fillId="0" borderId="27" xfId="0" applyFont="1" applyBorder="1" applyAlignment="1" applyProtection="1">
      <alignment horizontal="center"/>
    </xf>
    <xf numFmtId="0" fontId="4" fillId="0" borderId="0" xfId="0" applyFont="1" applyAlignment="1" applyProtection="1">
      <alignment horizontal="left"/>
    </xf>
    <xf numFmtId="0" fontId="4" fillId="0" borderId="28" xfId="0" applyFont="1" applyBorder="1" applyAlignment="1" applyProtection="1">
      <alignment horizontal="center"/>
    </xf>
    <xf numFmtId="0" fontId="4" fillId="0" borderId="17" xfId="0" applyFont="1" applyBorder="1" applyAlignment="1" applyProtection="1">
      <alignment horizontal="center"/>
    </xf>
    <xf numFmtId="0" fontId="4" fillId="0" borderId="27" xfId="0" applyFont="1" applyBorder="1" applyAlignment="1" applyProtection="1">
      <alignment horizontal="left"/>
    </xf>
    <xf numFmtId="164" fontId="4" fillId="0" borderId="21" xfId="0" applyNumberFormat="1" applyFont="1" applyBorder="1" applyAlignment="1" applyProtection="1">
      <alignment horizontal="center"/>
    </xf>
    <xf numFmtId="0" fontId="4" fillId="0" borderId="19" xfId="0" applyFont="1" applyBorder="1" applyProtection="1"/>
    <xf numFmtId="0" fontId="4" fillId="0" borderId="33" xfId="0" applyFont="1" applyBorder="1" applyProtection="1"/>
    <xf numFmtId="0" fontId="4" fillId="0" borderId="34" xfId="0" applyFont="1" applyBorder="1" applyProtection="1"/>
    <xf numFmtId="0" fontId="4" fillId="0" borderId="22" xfId="0" applyFont="1" applyBorder="1" applyProtection="1"/>
    <xf numFmtId="0" fontId="4" fillId="0" borderId="0" xfId="0" applyFont="1" applyAlignment="1" applyProtection="1">
      <alignment horizontal="centerContinuous"/>
    </xf>
    <xf numFmtId="0" fontId="4" fillId="0" borderId="27" xfId="0" applyFont="1" applyBorder="1" applyAlignment="1" applyProtection="1">
      <alignment horizontal="centerContinuous"/>
    </xf>
    <xf numFmtId="0" fontId="5" fillId="0" borderId="17" xfId="0" applyFont="1" applyBorder="1" applyAlignment="1" applyProtection="1">
      <alignment horizontal="centerContinuous"/>
    </xf>
    <xf numFmtId="0" fontId="0" fillId="0" borderId="0" xfId="0" applyAlignment="1" applyProtection="1">
      <alignment horizontal="centerContinuous"/>
    </xf>
    <xf numFmtId="0" fontId="0" fillId="0" borderId="18" xfId="0" applyBorder="1" applyAlignment="1" applyProtection="1">
      <alignment horizontal="centerContinuous"/>
    </xf>
    <xf numFmtId="0" fontId="0" fillId="0" borderId="29" xfId="0" applyBorder="1" applyAlignment="1" applyProtection="1">
      <alignment horizontal="centerContinuous"/>
    </xf>
    <xf numFmtId="0" fontId="0" fillId="0" borderId="12" xfId="0" applyBorder="1" applyAlignment="1" applyProtection="1">
      <alignment horizontal="centerContinuous"/>
    </xf>
    <xf numFmtId="0" fontId="0" fillId="0" borderId="32" xfId="0" applyBorder="1" applyAlignment="1" applyProtection="1">
      <alignment horizontal="centerContinuous"/>
    </xf>
    <xf numFmtId="0" fontId="0" fillId="0" borderId="29" xfId="0" applyBorder="1" applyProtection="1"/>
    <xf numFmtId="0" fontId="0" fillId="0" borderId="21" xfId="0" applyBorder="1" applyProtection="1"/>
    <xf numFmtId="0" fontId="0" fillId="0" borderId="19" xfId="0" applyBorder="1" applyProtection="1"/>
    <xf numFmtId="0" fontId="0" fillId="0" borderId="19" xfId="0" applyBorder="1" applyAlignment="1" applyProtection="1">
      <alignment horizontal="centerContinuous"/>
    </xf>
    <xf numFmtId="0" fontId="0" fillId="0" borderId="22" xfId="0" applyBorder="1" applyAlignment="1" applyProtection="1">
      <alignment horizontal="centerContinuous"/>
    </xf>
    <xf numFmtId="165" fontId="0" fillId="0" borderId="12" xfId="0" applyNumberFormat="1" applyBorder="1" applyAlignment="1" applyProtection="1">
      <alignment horizontal="center"/>
    </xf>
    <xf numFmtId="0" fontId="4" fillId="0" borderId="14" xfId="0" applyFont="1" applyBorder="1" applyProtection="1"/>
    <xf numFmtId="0" fontId="4" fillId="0" borderId="15" xfId="0" applyFont="1" applyBorder="1" applyProtection="1"/>
    <xf numFmtId="0" fontId="4" fillId="0" borderId="16" xfId="0" applyFont="1" applyBorder="1" applyProtection="1"/>
    <xf numFmtId="0" fontId="4" fillId="0" borderId="18" xfId="0" applyFont="1" applyBorder="1" applyAlignment="1" applyProtection="1">
      <alignment horizontal="centerContinuous"/>
    </xf>
    <xf numFmtId="0" fontId="4" fillId="0" borderId="12" xfId="0" applyFont="1" applyBorder="1" applyAlignment="1" applyProtection="1">
      <alignment horizontal="centerContinuous"/>
    </xf>
    <xf numFmtId="0" fontId="4" fillId="0" borderId="35" xfId="0" applyFont="1" applyBorder="1" applyAlignment="1" applyProtection="1">
      <alignment horizontal="centerContinuous"/>
    </xf>
    <xf numFmtId="0" fontId="4" fillId="0" borderId="36" xfId="0" applyFont="1" applyBorder="1" applyProtection="1"/>
    <xf numFmtId="5" fontId="0" fillId="0" borderId="0" xfId="0" applyNumberFormat="1" applyProtection="1"/>
    <xf numFmtId="0" fontId="4" fillId="0" borderId="37" xfId="0" applyFont="1" applyBorder="1" applyProtection="1"/>
    <xf numFmtId="5" fontId="28" fillId="0" borderId="25" xfId="0" applyNumberFormat="1" applyFont="1" applyBorder="1" applyProtection="1">
      <protection locked="0"/>
    </xf>
    <xf numFmtId="5" fontId="28" fillId="0" borderId="26" xfId="0" applyNumberFormat="1" applyFont="1" applyBorder="1" applyProtection="1">
      <protection locked="0"/>
    </xf>
    <xf numFmtId="5" fontId="4" fillId="0" borderId="23" xfId="0" applyNumberFormat="1" applyFont="1" applyBorder="1" applyProtection="1"/>
    <xf numFmtId="5" fontId="28" fillId="0" borderId="6" xfId="0" applyNumberFormat="1" applyFont="1" applyBorder="1" applyProtection="1">
      <protection locked="0"/>
    </xf>
    <xf numFmtId="5" fontId="4" fillId="29" borderId="24" xfId="0" applyNumberFormat="1" applyFont="1" applyFill="1" applyBorder="1" applyProtection="1"/>
    <xf numFmtId="0" fontId="4" fillId="0" borderId="38" xfId="0" applyFont="1" applyBorder="1" applyProtection="1"/>
    <xf numFmtId="37" fontId="19" fillId="0" borderId="0" xfId="0" applyNumberFormat="1" applyFont="1" applyProtection="1">
      <protection locked="0"/>
    </xf>
    <xf numFmtId="37" fontId="0" fillId="0" borderId="0" xfId="0" applyNumberFormat="1" applyProtection="1"/>
    <xf numFmtId="0" fontId="28" fillId="0" borderId="28" xfId="0" applyFont="1" applyBorder="1" applyProtection="1">
      <protection locked="0"/>
    </xf>
    <xf numFmtId="0" fontId="4" fillId="0" borderId="35" xfId="0" applyFont="1" applyBorder="1" applyProtection="1"/>
    <xf numFmtId="37" fontId="28" fillId="0" borderId="28" xfId="0" applyNumberFormat="1" applyFont="1" applyBorder="1" applyProtection="1">
      <protection locked="0"/>
    </xf>
    <xf numFmtId="37" fontId="28" fillId="0" borderId="18" xfId="0" applyNumberFormat="1" applyFont="1" applyBorder="1" applyProtection="1">
      <protection locked="0"/>
    </xf>
    <xf numFmtId="37" fontId="4" fillId="0" borderId="17" xfId="0" applyNumberFormat="1" applyFont="1" applyBorder="1" applyProtection="1"/>
    <xf numFmtId="37" fontId="28" fillId="0" borderId="27" xfId="0" applyNumberFormat="1" applyFont="1" applyBorder="1" applyProtection="1">
      <protection locked="0"/>
    </xf>
    <xf numFmtId="37" fontId="4" fillId="29" borderId="0" xfId="0" applyNumberFormat="1" applyFont="1" applyFill="1" applyProtection="1"/>
    <xf numFmtId="0" fontId="28" fillId="0" borderId="31" xfId="0" applyFont="1" applyBorder="1" applyProtection="1">
      <protection locked="0"/>
    </xf>
    <xf numFmtId="0" fontId="4" fillId="0" borderId="39" xfId="0" applyFont="1" applyBorder="1" applyProtection="1"/>
    <xf numFmtId="37" fontId="4" fillId="0" borderId="29" xfId="0" applyNumberFormat="1" applyFont="1" applyBorder="1" applyProtection="1"/>
    <xf numFmtId="37" fontId="28" fillId="0" borderId="30" xfId="0" applyNumberFormat="1" applyFont="1" applyBorder="1" applyProtection="1">
      <protection locked="0"/>
    </xf>
    <xf numFmtId="37" fontId="4" fillId="29" borderId="12" xfId="0" applyNumberFormat="1" applyFont="1" applyFill="1" applyBorder="1" applyProtection="1"/>
    <xf numFmtId="0" fontId="4" fillId="0" borderId="40" xfId="0" applyFont="1" applyBorder="1" applyProtection="1"/>
    <xf numFmtId="0" fontId="4" fillId="0" borderId="21" xfId="0" applyFont="1" applyBorder="1" applyProtection="1"/>
    <xf numFmtId="0" fontId="47" fillId="0" borderId="14" xfId="0" applyFont="1" applyBorder="1" applyProtection="1"/>
    <xf numFmtId="0" fontId="47" fillId="0" borderId="15" xfId="0" applyFont="1" applyBorder="1" applyProtection="1"/>
    <xf numFmtId="0" fontId="47" fillId="0" borderId="16" xfId="0" applyFont="1" applyBorder="1" applyProtection="1"/>
    <xf numFmtId="0" fontId="48" fillId="0" borderId="17" xfId="0" applyFont="1" applyBorder="1" applyAlignment="1" applyProtection="1">
      <alignment horizontal="centerContinuous"/>
    </xf>
    <xf numFmtId="0" fontId="47" fillId="0" borderId="0" xfId="0" applyFont="1" applyAlignment="1" applyProtection="1">
      <alignment horizontal="centerContinuous"/>
    </xf>
    <xf numFmtId="0" fontId="47" fillId="0" borderId="18" xfId="0" applyFont="1" applyBorder="1" applyAlignment="1" applyProtection="1">
      <alignment horizontal="centerContinuous"/>
    </xf>
    <xf numFmtId="0" fontId="47" fillId="0" borderId="29" xfId="0" applyFont="1" applyBorder="1" applyAlignment="1" applyProtection="1">
      <alignment horizontal="centerContinuous"/>
    </xf>
    <xf numFmtId="0" fontId="47" fillId="0" borderId="12" xfId="0" applyFont="1" applyBorder="1" applyAlignment="1" applyProtection="1">
      <alignment horizontal="centerContinuous"/>
    </xf>
    <xf numFmtId="0" fontId="47" fillId="0" borderId="32" xfId="0" applyFont="1" applyBorder="1" applyAlignment="1" applyProtection="1">
      <alignment horizontal="centerContinuous"/>
    </xf>
    <xf numFmtId="0" fontId="47" fillId="0" borderId="17" xfId="0" applyFont="1" applyBorder="1" applyAlignment="1" applyProtection="1">
      <alignment horizontal="centerContinuous"/>
    </xf>
    <xf numFmtId="0" fontId="47" fillId="0" borderId="17" xfId="0" applyFont="1" applyBorder="1" applyProtection="1"/>
    <xf numFmtId="0" fontId="49" fillId="0" borderId="0" xfId="0" applyFont="1" applyAlignment="1" applyProtection="1">
      <alignment horizontal="centerContinuous"/>
    </xf>
    <xf numFmtId="0" fontId="49" fillId="0" borderId="18" xfId="0" applyFont="1" applyBorder="1" applyAlignment="1" applyProtection="1">
      <alignment horizontal="centerContinuous"/>
    </xf>
    <xf numFmtId="0" fontId="49" fillId="0" borderId="0" xfId="0" applyFont="1" applyProtection="1"/>
    <xf numFmtId="0" fontId="47" fillId="0" borderId="29" xfId="0" applyFont="1" applyBorder="1" applyProtection="1"/>
    <xf numFmtId="0" fontId="49" fillId="0" borderId="12" xfId="0" applyFont="1" applyBorder="1" applyProtection="1"/>
    <xf numFmtId="0" fontId="49" fillId="0" borderId="12" xfId="0" applyFont="1" applyBorder="1" applyAlignment="1" applyProtection="1">
      <alignment horizontal="centerContinuous"/>
    </xf>
    <xf numFmtId="0" fontId="49" fillId="0" borderId="32" xfId="0" applyFont="1" applyBorder="1" applyAlignment="1" applyProtection="1">
      <alignment horizontal="centerContinuous"/>
    </xf>
    <xf numFmtId="0" fontId="47" fillId="0" borderId="41" xfId="0" applyFont="1" applyBorder="1" applyProtection="1"/>
    <xf numFmtId="0" fontId="47" fillId="0" borderId="35" xfId="0" applyFont="1" applyBorder="1" applyAlignment="1" applyProtection="1">
      <alignment horizontal="centerContinuous"/>
    </xf>
    <xf numFmtId="0" fontId="47" fillId="0" borderId="12" xfId="0" applyFont="1" applyBorder="1" applyProtection="1"/>
    <xf numFmtId="0" fontId="47" fillId="0" borderId="32" xfId="0" applyFont="1" applyBorder="1" applyProtection="1"/>
    <xf numFmtId="0" fontId="47" fillId="0" borderId="0" xfId="0" applyFont="1" applyProtection="1"/>
    <xf numFmtId="0" fontId="47" fillId="0" borderId="28" xfId="0" applyFont="1" applyBorder="1" applyProtection="1"/>
    <xf numFmtId="0" fontId="47" fillId="0" borderId="27" xfId="0" applyFont="1" applyBorder="1" applyProtection="1"/>
    <xf numFmtId="0" fontId="47" fillId="0" borderId="36" xfId="0" applyFont="1" applyBorder="1" applyProtection="1"/>
    <xf numFmtId="0" fontId="47" fillId="0" borderId="42" xfId="0" applyFont="1" applyBorder="1" applyProtection="1"/>
    <xf numFmtId="0" fontId="47" fillId="0" borderId="30" xfId="0" applyFont="1" applyBorder="1" applyAlignment="1" applyProtection="1">
      <alignment horizontal="centerContinuous"/>
    </xf>
    <xf numFmtId="0" fontId="47" fillId="0" borderId="40" xfId="0" applyFont="1" applyBorder="1" applyAlignment="1" applyProtection="1">
      <alignment horizontal="centerContinuous"/>
    </xf>
    <xf numFmtId="0" fontId="47" fillId="0" borderId="31" xfId="0" applyFont="1" applyBorder="1" applyProtection="1"/>
    <xf numFmtId="0" fontId="47" fillId="0" borderId="30" xfId="0" applyFont="1" applyBorder="1" applyProtection="1"/>
    <xf numFmtId="0" fontId="47" fillId="0" borderId="40" xfId="0" applyFont="1" applyBorder="1" applyProtection="1"/>
    <xf numFmtId="0" fontId="4" fillId="0" borderId="42" xfId="0" applyFont="1" applyBorder="1" applyProtection="1"/>
    <xf numFmtId="0" fontId="47" fillId="0" borderId="28" xfId="0" applyFont="1" applyBorder="1" applyAlignment="1" applyProtection="1">
      <alignment horizontal="centerContinuous"/>
    </xf>
    <xf numFmtId="0" fontId="47" fillId="0" borderId="27" xfId="0" applyFont="1" applyBorder="1" applyAlignment="1" applyProtection="1">
      <alignment horizontal="centerContinuous"/>
    </xf>
    <xf numFmtId="0" fontId="47" fillId="0" borderId="36" xfId="0" applyFont="1" applyBorder="1" applyAlignment="1" applyProtection="1">
      <alignment horizontal="centerContinuous"/>
    </xf>
    <xf numFmtId="0" fontId="47" fillId="0" borderId="0" xfId="0" applyFont="1" applyAlignment="1" applyProtection="1">
      <alignment horizontal="left"/>
    </xf>
    <xf numFmtId="0" fontId="47" fillId="0" borderId="43" xfId="0" applyFont="1" applyBorder="1" applyProtection="1"/>
    <xf numFmtId="0" fontId="47" fillId="0" borderId="19" xfId="0" applyFont="1" applyBorder="1" applyAlignment="1" applyProtection="1">
      <alignment horizontal="left"/>
    </xf>
    <xf numFmtId="0" fontId="47" fillId="0" borderId="34" xfId="0" applyFont="1" applyBorder="1" applyProtection="1"/>
    <xf numFmtId="0" fontId="47" fillId="0" borderId="33" xfId="0" applyFont="1" applyBorder="1" applyProtection="1"/>
    <xf numFmtId="0" fontId="47" fillId="0" borderId="19" xfId="0" applyFont="1" applyBorder="1" applyProtection="1"/>
    <xf numFmtId="0" fontId="47" fillId="0" borderId="44" xfId="0" applyFont="1" applyBorder="1" applyProtection="1"/>
    <xf numFmtId="39" fontId="49" fillId="0" borderId="18" xfId="0" applyNumberFormat="1" applyFont="1" applyBorder="1" applyAlignment="1" applyProtection="1">
      <alignment horizontal="centerContinuous"/>
    </xf>
    <xf numFmtId="37" fontId="49" fillId="0" borderId="0" xfId="0" applyNumberFormat="1" applyFont="1" applyAlignment="1" applyProtection="1">
      <alignment horizontal="centerContinuous"/>
    </xf>
    <xf numFmtId="37" fontId="49" fillId="0" borderId="18" xfId="0" applyNumberFormat="1" applyFont="1" applyBorder="1" applyAlignment="1" applyProtection="1">
      <alignment horizontal="centerContinuous"/>
    </xf>
    <xf numFmtId="37" fontId="49" fillId="0" borderId="0" xfId="0" applyNumberFormat="1" applyFont="1" applyProtection="1"/>
    <xf numFmtId="37" fontId="49" fillId="0" borderId="18" xfId="0" applyNumberFormat="1" applyFont="1" applyBorder="1" applyProtection="1"/>
    <xf numFmtId="37" fontId="49" fillId="0" borderId="12" xfId="0" applyNumberFormat="1" applyFont="1" applyBorder="1" applyProtection="1"/>
    <xf numFmtId="37" fontId="49" fillId="0" borderId="32" xfId="0" applyNumberFormat="1" applyFont="1" applyBorder="1" applyProtection="1"/>
    <xf numFmtId="37" fontId="47" fillId="0" borderId="0" xfId="0" applyNumberFormat="1" applyFont="1" applyProtection="1"/>
    <xf numFmtId="37" fontId="47" fillId="0" borderId="18" xfId="0" applyNumberFormat="1" applyFont="1" applyBorder="1" applyProtection="1"/>
    <xf numFmtId="0" fontId="47" fillId="0" borderId="21" xfId="0" applyFont="1" applyBorder="1" applyProtection="1"/>
    <xf numFmtId="0" fontId="47" fillId="0" borderId="19" xfId="0" applyFont="1" applyBorder="1" applyAlignment="1" applyProtection="1">
      <alignment horizontal="centerContinuous"/>
    </xf>
    <xf numFmtId="37" fontId="47" fillId="0" borderId="19" xfId="0" applyNumberFormat="1" applyFont="1" applyBorder="1" applyProtection="1"/>
    <xf numFmtId="37" fontId="47" fillId="0" borderId="22" xfId="0" applyNumberFormat="1" applyFont="1" applyBorder="1" applyProtection="1"/>
    <xf numFmtId="37" fontId="47" fillId="0" borderId="0" xfId="0" applyNumberFormat="1" applyFont="1" applyAlignment="1" applyProtection="1">
      <alignment horizontal="centerContinuous"/>
    </xf>
    <xf numFmtId="0" fontId="4" fillId="0" borderId="0" xfId="0" applyFont="1"/>
    <xf numFmtId="0" fontId="0" fillId="0" borderId="0" xfId="0" applyAlignment="1">
      <alignment horizontal="right"/>
    </xf>
    <xf numFmtId="0" fontId="0" fillId="0" borderId="14" xfId="0" applyBorder="1"/>
    <xf numFmtId="0" fontId="4" fillId="0" borderId="15" xfId="0" applyFont="1" applyBorder="1"/>
    <xf numFmtId="0" fontId="0" fillId="0" borderId="16" xfId="0" applyBorder="1"/>
    <xf numFmtId="0" fontId="5" fillId="0" borderId="17" xfId="0" applyFont="1" applyBorder="1" applyAlignment="1">
      <alignment horizontal="centerContinuous"/>
    </xf>
    <xf numFmtId="0" fontId="0" fillId="0" borderId="18" xfId="0" applyBorder="1" applyAlignment="1">
      <alignment horizontal="centerContinuous"/>
    </xf>
    <xf numFmtId="0" fontId="0" fillId="0" borderId="18" xfId="0" applyBorder="1"/>
    <xf numFmtId="0" fontId="4" fillId="0" borderId="17" xfId="0" applyFont="1" applyBorder="1"/>
    <xf numFmtId="0" fontId="28" fillId="0" borderId="0" xfId="0" applyFont="1" applyProtection="1">
      <protection locked="0"/>
    </xf>
    <xf numFmtId="0" fontId="0" fillId="0" borderId="17" xfId="0" applyBorder="1"/>
    <xf numFmtId="0" fontId="0" fillId="0" borderId="21" xfId="0" applyBorder="1"/>
    <xf numFmtId="0" fontId="28" fillId="0" borderId="19" xfId="0" applyFont="1" applyBorder="1" applyProtection="1">
      <protection locked="0"/>
    </xf>
    <xf numFmtId="0" fontId="0" fillId="0" borderId="22" xfId="0" applyBorder="1"/>
    <xf numFmtId="0" fontId="37" fillId="0" borderId="0" xfId="0" applyFont="1"/>
    <xf numFmtId="0" fontId="0" fillId="0" borderId="15" xfId="0" applyBorder="1"/>
    <xf numFmtId="0" fontId="50" fillId="0" borderId="0" xfId="0" applyFont="1" applyAlignment="1">
      <alignment horizontal="centerContinuous"/>
    </xf>
    <xf numFmtId="0" fontId="3" fillId="0" borderId="17" xfId="0" applyFont="1" applyBorder="1" applyAlignment="1">
      <alignment horizontal="centerContinuous"/>
    </xf>
    <xf numFmtId="0" fontId="5" fillId="0" borderId="18" xfId="0" applyFont="1" applyBorder="1" applyAlignment="1">
      <alignment horizontal="centerContinuous"/>
    </xf>
    <xf numFmtId="0" fontId="0" fillId="0" borderId="12" xfId="0" applyBorder="1"/>
    <xf numFmtId="0" fontId="0" fillId="0" borderId="32" xfId="0" applyBorder="1"/>
    <xf numFmtId="0" fontId="4" fillId="0" borderId="41" xfId="0" applyFont="1" applyBorder="1"/>
    <xf numFmtId="0" fontId="4" fillId="0" borderId="27" xfId="0" applyFont="1" applyBorder="1"/>
    <xf numFmtId="0" fontId="28" fillId="0" borderId="27" xfId="0" applyFont="1" applyBorder="1" applyProtection="1">
      <protection locked="0"/>
    </xf>
    <xf numFmtId="0" fontId="0" fillId="0" borderId="27" xfId="0" applyBorder="1"/>
    <xf numFmtId="0" fontId="4" fillId="0" borderId="42" xfId="0" applyFont="1" applyBorder="1"/>
    <xf numFmtId="0" fontId="0" fillId="0" borderId="30" xfId="0" applyBorder="1"/>
    <xf numFmtId="0" fontId="7" fillId="0" borderId="27" xfId="0" applyFont="1" applyBorder="1"/>
    <xf numFmtId="5" fontId="0" fillId="0" borderId="27" xfId="0" applyNumberFormat="1" applyBorder="1" applyProtection="1"/>
    <xf numFmtId="5" fontId="0" fillId="0" borderId="18" xfId="0" applyNumberFormat="1" applyBorder="1" applyProtection="1"/>
    <xf numFmtId="0" fontId="4" fillId="0" borderId="0" xfId="0" applyFont="1" applyAlignment="1">
      <alignment horizontal="left"/>
    </xf>
    <xf numFmtId="0" fontId="5" fillId="0" borderId="0" xfId="0" applyFont="1"/>
    <xf numFmtId="5" fontId="28" fillId="0" borderId="45" xfId="0" applyNumberFormat="1" applyFont="1" applyBorder="1" applyAlignment="1" applyProtection="1">
      <alignment horizontal="right"/>
      <protection locked="0"/>
    </xf>
    <xf numFmtId="5" fontId="0" fillId="0" borderId="27" xfId="0" applyNumberFormat="1" applyBorder="1" applyAlignment="1" applyProtection="1">
      <alignment horizontal="right"/>
    </xf>
    <xf numFmtId="5" fontId="0" fillId="0" borderId="46" xfId="0" applyNumberFormat="1" applyBorder="1" applyAlignment="1" applyProtection="1">
      <alignment horizontal="right"/>
    </xf>
    <xf numFmtId="0" fontId="0" fillId="0" borderId="41" xfId="0" applyBorder="1"/>
    <xf numFmtId="0" fontId="0" fillId="0" borderId="43" xfId="0" applyBorder="1"/>
    <xf numFmtId="0" fontId="0" fillId="0" borderId="33" xfId="0" applyBorder="1"/>
    <xf numFmtId="5" fontId="28" fillId="0" borderId="47" xfId="0" applyNumberFormat="1" applyFont="1" applyBorder="1" applyProtection="1">
      <protection locked="0"/>
    </xf>
    <xf numFmtId="5" fontId="0" fillId="0" borderId="48" xfId="0" applyNumberFormat="1" applyBorder="1" applyProtection="1"/>
    <xf numFmtId="0" fontId="4" fillId="0" borderId="41" xfId="0" applyFont="1" applyBorder="1" applyAlignment="1">
      <alignment horizontal="center"/>
    </xf>
    <xf numFmtId="5" fontId="4" fillId="0" borderId="27" xfId="0" applyNumberFormat="1" applyFont="1" applyBorder="1" applyAlignment="1" applyProtection="1">
      <alignment horizontal="left" wrapText="1"/>
    </xf>
    <xf numFmtId="0" fontId="4" fillId="0" borderId="27" xfId="0" applyFont="1" applyBorder="1" applyAlignment="1">
      <alignment horizontal="left" wrapText="1"/>
    </xf>
    <xf numFmtId="0" fontId="28" fillId="0" borderId="27" xfId="0" applyFont="1" applyBorder="1" applyAlignment="1" applyProtection="1">
      <alignment horizontal="left" wrapText="1"/>
      <protection locked="0"/>
    </xf>
    <xf numFmtId="0" fontId="28" fillId="0" borderId="28" xfId="0" applyFont="1" applyBorder="1" applyAlignment="1" applyProtection="1">
      <alignment horizontal="left" wrapText="1"/>
      <protection locked="0"/>
    </xf>
    <xf numFmtId="0" fontId="0" fillId="0" borderId="28" xfId="0" applyBorder="1"/>
    <xf numFmtId="0" fontId="7" fillId="0" borderId="0" xfId="0" applyFont="1"/>
    <xf numFmtId="0" fontId="4" fillId="0" borderId="42" xfId="0" applyFont="1" applyBorder="1" applyAlignment="1">
      <alignment horizontal="center"/>
    </xf>
    <xf numFmtId="5" fontId="0" fillId="0" borderId="28" xfId="0" applyNumberFormat="1" applyBorder="1" applyProtection="1"/>
    <xf numFmtId="5" fontId="28" fillId="0" borderId="38" xfId="0" applyNumberFormat="1" applyFont="1" applyBorder="1" applyProtection="1">
      <protection locked="0"/>
    </xf>
    <xf numFmtId="0" fontId="4" fillId="0" borderId="24" xfId="0" applyFont="1" applyBorder="1"/>
    <xf numFmtId="0" fontId="28" fillId="0" borderId="24" xfId="0" applyFont="1" applyBorder="1" applyProtection="1">
      <protection locked="0"/>
    </xf>
    <xf numFmtId="0" fontId="0" fillId="0" borderId="24" xfId="0" applyBorder="1"/>
    <xf numFmtId="0" fontId="0" fillId="0" borderId="26" xfId="0" applyBorder="1"/>
    <xf numFmtId="0" fontId="28" fillId="0" borderId="0" xfId="0" applyFont="1" applyAlignment="1" applyProtection="1">
      <alignment horizontal="centerContinuous"/>
      <protection locked="0"/>
    </xf>
    <xf numFmtId="0" fontId="0" fillId="0" borderId="19" xfId="0" applyBorder="1"/>
    <xf numFmtId="0" fontId="28" fillId="0" borderId="30" xfId="0" applyFont="1" applyBorder="1" applyAlignment="1" applyProtection="1">
      <alignment horizontal="left" wrapText="1"/>
      <protection locked="0"/>
    </xf>
    <xf numFmtId="37" fontId="28" fillId="0" borderId="27" xfId="0" applyNumberFormat="1" applyFont="1" applyBorder="1" applyAlignment="1" applyProtection="1">
      <alignment horizontal="right"/>
      <protection locked="0"/>
    </xf>
    <xf numFmtId="37" fontId="0" fillId="0" borderId="27" xfId="0" applyNumberFormat="1" applyBorder="1" applyProtection="1"/>
    <xf numFmtId="37" fontId="0" fillId="0" borderId="18" xfId="0" applyNumberFormat="1" applyBorder="1" applyProtection="1"/>
    <xf numFmtId="5" fontId="28" fillId="0" borderId="28" xfId="0" applyNumberFormat="1" applyFont="1" applyBorder="1" applyAlignment="1" applyProtection="1">
      <alignment horizontal="right"/>
      <protection locked="0"/>
    </xf>
    <xf numFmtId="5" fontId="28" fillId="0" borderId="36" xfId="0" applyNumberFormat="1" applyFont="1" applyBorder="1" applyAlignment="1" applyProtection="1">
      <alignment horizontal="right"/>
      <protection locked="0"/>
    </xf>
    <xf numFmtId="0" fontId="51" fillId="0" borderId="14" xfId="0" applyFont="1" applyBorder="1" applyProtection="1"/>
    <xf numFmtId="0" fontId="0" fillId="0" borderId="12" xfId="0" applyBorder="1" applyProtection="1"/>
    <xf numFmtId="0" fontId="0" fillId="0" borderId="32" xfId="0" applyBorder="1" applyProtection="1"/>
    <xf numFmtId="0" fontId="47" fillId="0" borderId="41" xfId="0" applyFont="1" applyBorder="1" applyAlignment="1" applyProtection="1">
      <alignment horizontal="center"/>
    </xf>
    <xf numFmtId="0" fontId="47" fillId="0" borderId="42" xfId="0" applyFont="1" applyBorder="1" applyAlignment="1" applyProtection="1">
      <alignment horizontal="center"/>
    </xf>
    <xf numFmtId="0" fontId="47" fillId="0" borderId="39" xfId="0" applyFont="1" applyBorder="1" applyAlignment="1" applyProtection="1">
      <alignment horizontal="centerContinuous"/>
    </xf>
    <xf numFmtId="0" fontId="47" fillId="0" borderId="39" xfId="0" applyFont="1" applyBorder="1" applyAlignment="1" applyProtection="1">
      <alignment horizontal="center" wrapText="1"/>
    </xf>
    <xf numFmtId="5" fontId="47" fillId="0" borderId="31" xfId="0" applyNumberFormat="1" applyFont="1" applyBorder="1" applyProtection="1"/>
    <xf numFmtId="5" fontId="47" fillId="0" borderId="40" xfId="0" applyNumberFormat="1" applyFont="1" applyBorder="1" applyProtection="1"/>
    <xf numFmtId="37" fontId="47" fillId="0" borderId="31" xfId="0" applyNumberFormat="1" applyFont="1" applyBorder="1" applyProtection="1"/>
    <xf numFmtId="37" fontId="47" fillId="0" borderId="40" xfId="0" applyNumberFormat="1" applyFont="1" applyBorder="1" applyProtection="1"/>
    <xf numFmtId="37" fontId="47" fillId="0" borderId="39" xfId="0" applyNumberFormat="1" applyFont="1" applyBorder="1" applyProtection="1"/>
    <xf numFmtId="0" fontId="47" fillId="0" borderId="39" xfId="0" applyFont="1" applyBorder="1" applyAlignment="1" applyProtection="1">
      <alignment horizontal="centerContinuous" wrapText="1"/>
    </xf>
    <xf numFmtId="37" fontId="47" fillId="0" borderId="39" xfId="0" applyNumberFormat="1" applyFont="1" applyBorder="1" applyAlignment="1" applyProtection="1">
      <alignment horizontal="centerContinuous"/>
    </xf>
    <xf numFmtId="0" fontId="47" fillId="0" borderId="39" xfId="0" applyFont="1" applyBorder="1" applyAlignment="1" applyProtection="1">
      <alignment horizontal="center"/>
    </xf>
    <xf numFmtId="0" fontId="47" fillId="0" borderId="35" xfId="0" applyFont="1" applyBorder="1" applyAlignment="1" applyProtection="1">
      <alignment horizontal="center"/>
    </xf>
    <xf numFmtId="37" fontId="47" fillId="0" borderId="35" xfId="0" applyNumberFormat="1" applyFont="1" applyBorder="1" applyProtection="1"/>
    <xf numFmtId="37" fontId="47" fillId="0" borderId="36" xfId="0" applyNumberFormat="1" applyFont="1" applyBorder="1" applyProtection="1"/>
    <xf numFmtId="0" fontId="47" fillId="0" borderId="43" xfId="0" applyFont="1" applyBorder="1" applyAlignment="1" applyProtection="1">
      <alignment horizontal="center"/>
    </xf>
    <xf numFmtId="0" fontId="47" fillId="0" borderId="49" xfId="0" applyFont="1" applyBorder="1" applyAlignment="1" applyProtection="1">
      <alignment horizontal="center"/>
    </xf>
    <xf numFmtId="5" fontId="47" fillId="0" borderId="44" xfId="0" applyNumberFormat="1" applyFont="1" applyBorder="1" applyProtection="1"/>
    <xf numFmtId="0" fontId="48" fillId="0" borderId="0" xfId="0" applyFont="1" applyAlignment="1" applyProtection="1">
      <alignment horizontal="centerContinuous"/>
    </xf>
    <xf numFmtId="5" fontId="47" fillId="0" borderId="39" xfId="0" applyNumberFormat="1" applyFont="1" applyBorder="1" applyProtection="1"/>
    <xf numFmtId="5" fontId="47" fillId="0" borderId="36" xfId="0" applyNumberFormat="1" applyFont="1" applyBorder="1" applyProtection="1"/>
    <xf numFmtId="0" fontId="47" fillId="0" borderId="49" xfId="0" applyFont="1" applyBorder="1" applyProtection="1"/>
    <xf numFmtId="0" fontId="47" fillId="0" borderId="0" xfId="0" applyFont="1" applyAlignment="1" applyProtection="1">
      <alignment horizontal="center"/>
    </xf>
    <xf numFmtId="0" fontId="47" fillId="0" borderId="12" xfId="0" applyFont="1" applyBorder="1"/>
    <xf numFmtId="0" fontId="47" fillId="0" borderId="0" xfId="0" applyFont="1"/>
    <xf numFmtId="165" fontId="0" fillId="0" borderId="0" xfId="0" applyNumberFormat="1" applyAlignment="1" applyProtection="1">
      <alignment horizontal="center"/>
    </xf>
    <xf numFmtId="37" fontId="47" fillId="0" borderId="18" xfId="0" applyNumberFormat="1" applyFont="1" applyBorder="1" applyAlignment="1" applyProtection="1">
      <alignment horizontal="centerContinuous"/>
    </xf>
    <xf numFmtId="0" fontId="47" fillId="0" borderId="35" xfId="0" applyFont="1" applyBorder="1" applyProtection="1"/>
    <xf numFmtId="37" fontId="47" fillId="0" borderId="32" xfId="0" applyNumberFormat="1" applyFont="1" applyBorder="1" applyAlignment="1" applyProtection="1">
      <alignment horizontal="centerContinuous"/>
    </xf>
    <xf numFmtId="37" fontId="47" fillId="0" borderId="30" xfId="0" applyNumberFormat="1" applyFont="1" applyBorder="1" applyAlignment="1" applyProtection="1">
      <alignment horizontal="centerContinuous"/>
    </xf>
    <xf numFmtId="37" fontId="47" fillId="0" borderId="28" xfId="0" applyNumberFormat="1" applyFont="1" applyBorder="1" applyProtection="1"/>
    <xf numFmtId="37" fontId="47" fillId="35" borderId="39" xfId="0" applyNumberFormat="1" applyFont="1" applyFill="1" applyBorder="1" applyProtection="1"/>
    <xf numFmtId="0" fontId="47" fillId="35" borderId="12" xfId="0" applyFont="1" applyFill="1" applyBorder="1" applyAlignment="1" applyProtection="1">
      <alignment horizontal="centerContinuous"/>
    </xf>
    <xf numFmtId="0" fontId="47" fillId="35" borderId="39" xfId="0" applyFont="1" applyFill="1" applyBorder="1" applyProtection="1"/>
    <xf numFmtId="37" fontId="47" fillId="35" borderId="31" xfId="0" applyNumberFormat="1" applyFont="1" applyFill="1" applyBorder="1" applyProtection="1"/>
    <xf numFmtId="0" fontId="47" fillId="0" borderId="40" xfId="0" applyFont="1" applyBorder="1" applyAlignment="1" applyProtection="1">
      <alignment horizontal="center"/>
    </xf>
    <xf numFmtId="37" fontId="47" fillId="0" borderId="12" xfId="0" applyNumberFormat="1" applyFont="1" applyBorder="1" applyAlignment="1" applyProtection="1">
      <alignment horizontal="centerContinuous"/>
    </xf>
    <xf numFmtId="0" fontId="47" fillId="0" borderId="36" xfId="0" applyFont="1" applyBorder="1" applyAlignment="1" applyProtection="1">
      <alignment horizontal="center"/>
    </xf>
    <xf numFmtId="37" fontId="47" fillId="36" borderId="39" xfId="0" applyNumberFormat="1" applyFont="1" applyFill="1" applyBorder="1" applyProtection="1"/>
    <xf numFmtId="0" fontId="47" fillId="36" borderId="12" xfId="0" applyFont="1" applyFill="1" applyBorder="1" applyAlignment="1" applyProtection="1">
      <alignment horizontal="centerContinuous"/>
    </xf>
    <xf numFmtId="0" fontId="47" fillId="36" borderId="39" xfId="0" applyFont="1" applyFill="1" applyBorder="1" applyProtection="1"/>
    <xf numFmtId="37" fontId="47" fillId="36" borderId="31" xfId="0" applyNumberFormat="1" applyFont="1" applyFill="1" applyBorder="1" applyProtection="1"/>
    <xf numFmtId="0" fontId="47" fillId="0" borderId="15" xfId="0" applyFont="1" applyBorder="1" applyAlignment="1" applyProtection="1">
      <alignment horizontal="centerContinuous"/>
    </xf>
    <xf numFmtId="0" fontId="0" fillId="0" borderId="18" xfId="0" applyBorder="1" applyProtection="1"/>
    <xf numFmtId="0" fontId="0" fillId="0" borderId="22" xfId="0" applyBorder="1" applyProtection="1"/>
    <xf numFmtId="0" fontId="47" fillId="0" borderId="16" xfId="0" applyFont="1" applyBorder="1" applyAlignment="1" applyProtection="1">
      <alignment horizontal="center"/>
    </xf>
    <xf numFmtId="0" fontId="47" fillId="0" borderId="23" xfId="0" applyFont="1" applyBorder="1" applyProtection="1"/>
    <xf numFmtId="0" fontId="47" fillId="0" borderId="24" xfId="0" applyFont="1" applyBorder="1" applyAlignment="1" applyProtection="1">
      <alignment horizontal="centerContinuous"/>
    </xf>
    <xf numFmtId="0" fontId="0" fillId="0" borderId="24" xfId="0" applyBorder="1" applyProtection="1"/>
    <xf numFmtId="0" fontId="47" fillId="0" borderId="26" xfId="0" applyFont="1" applyBorder="1" applyAlignment="1" applyProtection="1">
      <alignment horizontal="centerContinuous"/>
    </xf>
    <xf numFmtId="39" fontId="47" fillId="0" borderId="18" xfId="0" applyNumberFormat="1" applyFont="1" applyBorder="1" applyAlignment="1" applyProtection="1">
      <alignment horizontal="centerContinuous"/>
    </xf>
    <xf numFmtId="0" fontId="47" fillId="37" borderId="0" xfId="0" applyFont="1" applyFill="1" applyProtection="1"/>
    <xf numFmtId="37" fontId="47" fillId="37" borderId="40" xfId="0" applyNumberFormat="1" applyFont="1" applyFill="1" applyBorder="1" applyProtection="1"/>
    <xf numFmtId="5" fontId="47" fillId="38" borderId="40" xfId="0" applyNumberFormat="1" applyFont="1" applyFill="1" applyBorder="1" applyProtection="1"/>
    <xf numFmtId="37" fontId="0" fillId="0" borderId="39" xfId="0" applyNumberFormat="1" applyBorder="1" applyProtection="1"/>
    <xf numFmtId="37" fontId="0" fillId="0" borderId="40" xfId="0" applyNumberFormat="1" applyBorder="1" applyProtection="1"/>
    <xf numFmtId="0" fontId="47" fillId="37" borderId="39" xfId="0" applyFont="1" applyFill="1" applyBorder="1" applyProtection="1"/>
    <xf numFmtId="0" fontId="47" fillId="39" borderId="39" xfId="0" applyFont="1" applyFill="1" applyBorder="1" applyProtection="1"/>
    <xf numFmtId="37" fontId="47" fillId="39" borderId="40" xfId="0" applyNumberFormat="1" applyFont="1" applyFill="1" applyBorder="1" applyProtection="1"/>
    <xf numFmtId="37" fontId="47" fillId="0" borderId="44" xfId="0" applyNumberFormat="1" applyFont="1" applyBorder="1" applyProtection="1"/>
    <xf numFmtId="0" fontId="47" fillId="0" borderId="50" xfId="0" applyFont="1" applyBorder="1" applyProtection="1"/>
    <xf numFmtId="0" fontId="47" fillId="0" borderId="38" xfId="0" applyFont="1" applyBorder="1" applyAlignment="1" applyProtection="1">
      <alignment horizontal="centerContinuous"/>
    </xf>
    <xf numFmtId="37" fontId="47" fillId="37" borderId="36" xfId="0" applyNumberFormat="1" applyFont="1" applyFill="1" applyBorder="1" applyProtection="1"/>
    <xf numFmtId="0" fontId="48" fillId="0" borderId="0" xfId="0" applyFont="1" applyAlignment="1" applyProtection="1">
      <alignment horizontal="center"/>
    </xf>
    <xf numFmtId="37" fontId="48" fillId="0" borderId="18" xfId="0" applyNumberFormat="1" applyFont="1" applyBorder="1" applyAlignment="1" applyProtection="1">
      <alignment horizontal="centerContinuous"/>
    </xf>
    <xf numFmtId="0" fontId="48" fillId="0" borderId="29" xfId="0" applyFont="1" applyBorder="1" applyAlignment="1" applyProtection="1">
      <alignment horizontal="centerContinuous"/>
    </xf>
    <xf numFmtId="0" fontId="48" fillId="0" borderId="12" xfId="0" applyFont="1" applyBorder="1" applyAlignment="1" applyProtection="1">
      <alignment horizontal="centerContinuous"/>
    </xf>
    <xf numFmtId="37" fontId="48" fillId="0" borderId="32" xfId="0" applyNumberFormat="1" applyFont="1" applyBorder="1" applyAlignment="1" applyProtection="1">
      <alignment horizontal="centerContinuous"/>
    </xf>
    <xf numFmtId="37" fontId="47" fillId="0" borderId="32" xfId="0" applyNumberFormat="1" applyFont="1" applyBorder="1" applyProtection="1"/>
    <xf numFmtId="0" fontId="47" fillId="0" borderId="28" xfId="0" applyFont="1" applyBorder="1" applyAlignment="1" applyProtection="1">
      <alignment horizontal="center"/>
    </xf>
    <xf numFmtId="37" fontId="47" fillId="0" borderId="18" xfId="0" applyNumberFormat="1" applyFont="1" applyBorder="1" applyAlignment="1" applyProtection="1">
      <alignment horizontal="center"/>
    </xf>
    <xf numFmtId="0" fontId="47" fillId="0" borderId="31" xfId="0" applyFont="1" applyBorder="1" applyAlignment="1" applyProtection="1">
      <alignment horizontal="center"/>
    </xf>
    <xf numFmtId="37" fontId="47" fillId="0" borderId="32" xfId="0" applyNumberFormat="1" applyFont="1" applyBorder="1" applyAlignment="1" applyProtection="1">
      <alignment horizontal="center"/>
    </xf>
    <xf numFmtId="5" fontId="47" fillId="0" borderId="28" xfId="0" applyNumberFormat="1" applyFont="1" applyBorder="1" applyProtection="1"/>
    <xf numFmtId="5" fontId="47" fillId="0" borderId="18" xfId="0" applyNumberFormat="1" applyFont="1" applyBorder="1" applyProtection="1"/>
    <xf numFmtId="5" fontId="47" fillId="0" borderId="51" xfId="0" applyNumberFormat="1" applyFont="1" applyBorder="1" applyProtection="1"/>
    <xf numFmtId="5" fontId="47" fillId="0" borderId="46" xfId="0" applyNumberFormat="1" applyFont="1" applyBorder="1" applyProtection="1"/>
    <xf numFmtId="0" fontId="47" fillId="0" borderId="14" xfId="0" applyFont="1" applyBorder="1" applyAlignment="1" applyProtection="1">
      <alignment horizontal="centerContinuous"/>
    </xf>
    <xf numFmtId="0" fontId="48" fillId="0" borderId="15" xfId="0" applyFont="1" applyBorder="1" applyAlignment="1" applyProtection="1">
      <alignment horizontal="centerContinuous"/>
    </xf>
    <xf numFmtId="0" fontId="47" fillId="0" borderId="16" xfId="0" applyFont="1" applyBorder="1" applyAlignment="1" applyProtection="1">
      <alignment horizontal="centerContinuous"/>
    </xf>
    <xf numFmtId="0" fontId="0" fillId="0" borderId="24" xfId="0" applyBorder="1" applyAlignment="1" applyProtection="1">
      <alignment horizontal="centerContinuous"/>
    </xf>
    <xf numFmtId="37" fontId="47" fillId="22" borderId="40" xfId="0" applyNumberFormat="1" applyFont="1" applyFill="1" applyBorder="1" applyProtection="1"/>
    <xf numFmtId="37" fontId="47" fillId="22" borderId="36" xfId="0" applyNumberFormat="1" applyFont="1" applyFill="1" applyBorder="1" applyProtection="1"/>
    <xf numFmtId="0" fontId="47" fillId="0" borderId="12" xfId="0" applyFont="1" applyBorder="1" applyAlignment="1" applyProtection="1">
      <alignment horizontal="center"/>
    </xf>
    <xf numFmtId="37" fontId="47" fillId="0" borderId="0" xfId="0" applyNumberFormat="1" applyFont="1" applyAlignment="1" applyProtection="1">
      <alignment horizontal="right"/>
    </xf>
    <xf numFmtId="0" fontId="48" fillId="29" borderId="17" xfId="0" applyFont="1" applyFill="1" applyBorder="1" applyAlignment="1" applyProtection="1">
      <alignment horizontal="centerContinuous"/>
    </xf>
    <xf numFmtId="0" fontId="48" fillId="29" borderId="29" xfId="0" applyFont="1" applyFill="1" applyBorder="1" applyAlignment="1" applyProtection="1">
      <alignment horizontal="centerContinuous"/>
    </xf>
    <xf numFmtId="0" fontId="47" fillId="29" borderId="41" xfId="0" applyFont="1" applyFill="1" applyBorder="1" applyProtection="1"/>
    <xf numFmtId="0" fontId="47" fillId="40" borderId="35" xfId="0" applyFont="1" applyFill="1" applyBorder="1" applyProtection="1"/>
    <xf numFmtId="0" fontId="47" fillId="40" borderId="17" xfId="0" applyFont="1" applyFill="1" applyBorder="1" applyAlignment="1" applyProtection="1">
      <alignment horizontal="centerContinuous"/>
    </xf>
    <xf numFmtId="39" fontId="47" fillId="40" borderId="27" xfId="0" applyNumberFormat="1" applyFont="1" applyFill="1" applyBorder="1" applyAlignment="1" applyProtection="1">
      <alignment horizontal="centerContinuous"/>
    </xf>
    <xf numFmtId="0" fontId="47" fillId="40" borderId="39" xfId="0" applyFont="1" applyFill="1" applyBorder="1" applyAlignment="1" applyProtection="1">
      <alignment horizontal="centerContinuous"/>
    </xf>
    <xf numFmtId="0" fontId="47" fillId="40" borderId="29" xfId="0" applyFont="1" applyFill="1" applyBorder="1" applyAlignment="1" applyProtection="1">
      <alignment horizontal="centerContinuous"/>
    </xf>
    <xf numFmtId="0" fontId="47" fillId="40" borderId="12" xfId="0" applyFont="1" applyFill="1" applyBorder="1" applyAlignment="1" applyProtection="1">
      <alignment horizontal="centerContinuous"/>
    </xf>
    <xf numFmtId="0" fontId="47" fillId="40" borderId="30" xfId="0" applyFont="1" applyFill="1" applyBorder="1" applyAlignment="1" applyProtection="1">
      <alignment horizontal="centerContinuous"/>
    </xf>
    <xf numFmtId="37" fontId="47" fillId="40" borderId="35" xfId="0" applyNumberFormat="1" applyFont="1" applyFill="1" applyBorder="1" applyProtection="1"/>
    <xf numFmtId="37" fontId="47" fillId="41" borderId="17" xfId="0" applyNumberFormat="1" applyFont="1" applyFill="1" applyBorder="1" applyProtection="1"/>
    <xf numFmtId="37" fontId="47" fillId="40" borderId="27" xfId="0" applyNumberFormat="1" applyFont="1" applyFill="1" applyBorder="1" applyAlignment="1" applyProtection="1">
      <alignment horizontal="centerContinuous"/>
    </xf>
    <xf numFmtId="37" fontId="47" fillId="40" borderId="39" xfId="0" applyNumberFormat="1" applyFont="1" applyFill="1" applyBorder="1" applyAlignment="1" applyProtection="1">
      <alignment horizontal="centerContinuous"/>
    </xf>
    <xf numFmtId="37" fontId="47" fillId="41" borderId="29" xfId="0" applyNumberFormat="1" applyFont="1" applyFill="1" applyBorder="1" applyAlignment="1" applyProtection="1">
      <alignment horizontal="centerContinuous"/>
    </xf>
    <xf numFmtId="37" fontId="47" fillId="40" borderId="12" xfId="0" applyNumberFormat="1" applyFont="1" applyFill="1" applyBorder="1" applyAlignment="1" applyProtection="1">
      <alignment horizontal="centerContinuous"/>
    </xf>
    <xf numFmtId="37" fontId="47" fillId="40" borderId="30" xfId="0" applyNumberFormat="1" applyFont="1" applyFill="1" applyBorder="1" applyAlignment="1" applyProtection="1">
      <alignment horizontal="centerContinuous"/>
    </xf>
    <xf numFmtId="37" fontId="47" fillId="41" borderId="17" xfId="0" applyNumberFormat="1" applyFont="1" applyFill="1" applyBorder="1" applyAlignment="1" applyProtection="1">
      <alignment horizontal="centerContinuous"/>
    </xf>
    <xf numFmtId="37" fontId="47" fillId="40" borderId="29" xfId="0" applyNumberFormat="1" applyFont="1" applyFill="1" applyBorder="1" applyAlignment="1" applyProtection="1">
      <alignment horizontal="centerContinuous"/>
    </xf>
    <xf numFmtId="0" fontId="47" fillId="0" borderId="17" xfId="0" applyFont="1" applyBorder="1" applyAlignment="1" applyProtection="1">
      <alignment horizontal="center"/>
    </xf>
    <xf numFmtId="0" fontId="47" fillId="29" borderId="17" xfId="0" applyFont="1" applyFill="1" applyBorder="1" applyProtection="1"/>
    <xf numFmtId="0" fontId="47" fillId="29" borderId="18" xfId="0" applyFont="1" applyFill="1" applyBorder="1" applyAlignment="1" applyProtection="1">
      <alignment horizontal="center"/>
    </xf>
    <xf numFmtId="37" fontId="47" fillId="0" borderId="19" xfId="0" applyNumberFormat="1" applyFont="1" applyBorder="1" applyAlignment="1" applyProtection="1">
      <alignment horizontal="centerContinuous"/>
    </xf>
    <xf numFmtId="0" fontId="47" fillId="29" borderId="22" xfId="0" applyFont="1" applyFill="1" applyBorder="1" applyAlignment="1" applyProtection="1">
      <alignment horizontal="center"/>
    </xf>
    <xf numFmtId="0" fontId="47" fillId="29" borderId="0" xfId="0" applyFont="1" applyFill="1" applyAlignment="1" applyProtection="1">
      <alignment horizontal="center"/>
    </xf>
    <xf numFmtId="0" fontId="52" fillId="0" borderId="17" xfId="0" applyFont="1" applyBorder="1" applyProtection="1"/>
    <xf numFmtId="0" fontId="52" fillId="0" borderId="0" xfId="0" applyFont="1" applyProtection="1"/>
    <xf numFmtId="0" fontId="52" fillId="0" borderId="18" xfId="0" applyFont="1" applyBorder="1" applyProtection="1"/>
    <xf numFmtId="0" fontId="53" fillId="0" borderId="0" xfId="0" applyFont="1" applyProtection="1"/>
    <xf numFmtId="0" fontId="4" fillId="0" borderId="23" xfId="0" applyFont="1" applyBorder="1" applyAlignment="1" applyProtection="1">
      <alignment horizontal="center"/>
    </xf>
    <xf numFmtId="0" fontId="4" fillId="0" borderId="36" xfId="0" applyFont="1" applyBorder="1" applyAlignment="1" applyProtection="1">
      <alignment horizontal="center"/>
    </xf>
    <xf numFmtId="0" fontId="4" fillId="0" borderId="29" xfId="0" applyFont="1" applyBorder="1" applyAlignment="1" applyProtection="1">
      <alignment horizontal="center"/>
    </xf>
    <xf numFmtId="0" fontId="4" fillId="0" borderId="39" xfId="0" applyFont="1" applyBorder="1" applyAlignment="1" applyProtection="1">
      <alignment horizontal="centerContinuous"/>
    </xf>
    <xf numFmtId="0" fontId="4" fillId="0" borderId="30" xfId="0" applyFont="1" applyBorder="1" applyAlignment="1" applyProtection="1">
      <alignment horizontal="centerContinuous"/>
    </xf>
    <xf numFmtId="0" fontId="4" fillId="0" borderId="40" xfId="0" applyFont="1" applyBorder="1" applyAlignment="1" applyProtection="1">
      <alignment horizontal="center"/>
    </xf>
    <xf numFmtId="0" fontId="4" fillId="0" borderId="52" xfId="0" applyFont="1" applyBorder="1" applyAlignment="1" applyProtection="1">
      <alignment horizontal="center"/>
    </xf>
    <xf numFmtId="0" fontId="5" fillId="0" borderId="53" xfId="0" applyFont="1" applyBorder="1" applyProtection="1"/>
    <xf numFmtId="0" fontId="4" fillId="0" borderId="45" xfId="0" applyFont="1" applyBorder="1" applyProtection="1"/>
    <xf numFmtId="0" fontId="4" fillId="40" borderId="53" xfId="0" applyFont="1" applyFill="1" applyBorder="1" applyProtection="1"/>
    <xf numFmtId="0" fontId="4" fillId="40" borderId="45" xfId="0" applyFont="1" applyFill="1" applyBorder="1" applyProtection="1"/>
    <xf numFmtId="0" fontId="4" fillId="0" borderId="54" xfId="0" applyFont="1" applyBorder="1" applyAlignment="1" applyProtection="1">
      <alignment horizontal="center"/>
    </xf>
    <xf numFmtId="0" fontId="4" fillId="0" borderId="53" xfId="0" applyFont="1" applyBorder="1" applyProtection="1"/>
    <xf numFmtId="5" fontId="4" fillId="0" borderId="51" xfId="0" applyNumberFormat="1" applyFont="1" applyBorder="1" applyProtection="1"/>
    <xf numFmtId="5" fontId="4" fillId="0" borderId="46" xfId="0" applyNumberFormat="1" applyFont="1" applyBorder="1" applyProtection="1"/>
    <xf numFmtId="5" fontId="4" fillId="0" borderId="52" xfId="0" applyNumberFormat="1" applyFont="1" applyBorder="1" applyProtection="1"/>
    <xf numFmtId="5" fontId="4" fillId="0" borderId="45" xfId="0" applyNumberFormat="1" applyFont="1" applyBorder="1" applyProtection="1"/>
    <xf numFmtId="37" fontId="4" fillId="0" borderId="51" xfId="0" applyNumberFormat="1" applyFont="1" applyBorder="1" applyProtection="1"/>
    <xf numFmtId="37" fontId="4" fillId="0" borderId="46" xfId="0" applyNumberFormat="1" applyFont="1" applyBorder="1" applyProtection="1"/>
    <xf numFmtId="37" fontId="4" fillId="0" borderId="52" xfId="0" applyNumberFormat="1" applyFont="1" applyBorder="1" applyProtection="1"/>
    <xf numFmtId="37" fontId="4" fillId="0" borderId="45" xfId="0" applyNumberFormat="1" applyFont="1" applyBorder="1" applyProtection="1"/>
    <xf numFmtId="37" fontId="4" fillId="40" borderId="37" xfId="0" applyNumberFormat="1" applyFont="1" applyFill="1" applyBorder="1" applyProtection="1"/>
    <xf numFmtId="37" fontId="4" fillId="40" borderId="6" xfId="0" applyNumberFormat="1" applyFont="1" applyFill="1" applyBorder="1" applyProtection="1"/>
    <xf numFmtId="37" fontId="4" fillId="0" borderId="54" xfId="0" applyNumberFormat="1" applyFont="1" applyBorder="1" applyProtection="1"/>
    <xf numFmtId="37" fontId="4" fillId="40" borderId="53" xfId="0" applyNumberFormat="1" applyFont="1" applyFill="1" applyBorder="1" applyProtection="1"/>
    <xf numFmtId="37" fontId="4" fillId="40" borderId="45" xfId="0" applyNumberFormat="1" applyFont="1" applyFill="1" applyBorder="1" applyProtection="1"/>
    <xf numFmtId="0" fontId="4" fillId="0" borderId="55" xfId="0" applyFont="1" applyBorder="1" applyAlignment="1" applyProtection="1">
      <alignment horizontal="center"/>
    </xf>
    <xf numFmtId="0" fontId="4" fillId="0" borderId="56" xfId="0" applyFont="1" applyBorder="1" applyProtection="1"/>
    <xf numFmtId="0" fontId="4" fillId="0" borderId="47" xfId="0" applyFont="1" applyBorder="1" applyProtection="1"/>
    <xf numFmtId="5" fontId="4" fillId="0" borderId="57" xfId="0" applyNumberFormat="1" applyFont="1" applyBorder="1" applyProtection="1"/>
    <xf numFmtId="5" fontId="4" fillId="0" borderId="58" xfId="0" applyNumberFormat="1" applyFont="1" applyBorder="1" applyProtection="1"/>
    <xf numFmtId="0" fontId="4" fillId="0" borderId="58" xfId="0" applyFont="1" applyBorder="1" applyAlignment="1" applyProtection="1">
      <alignment horizontal="center"/>
    </xf>
    <xf numFmtId="5" fontId="4" fillId="0" borderId="0" xfId="0" applyNumberFormat="1" applyFont="1" applyProtection="1"/>
    <xf numFmtId="0" fontId="4" fillId="0" borderId="0" xfId="0" applyFont="1" applyAlignment="1" applyProtection="1">
      <alignment horizontal="right"/>
    </xf>
    <xf numFmtId="5" fontId="4" fillId="0" borderId="0" xfId="0" applyNumberFormat="1" applyFont="1" applyAlignment="1" applyProtection="1">
      <alignment horizontal="centerContinuous"/>
    </xf>
    <xf numFmtId="0" fontId="4" fillId="0" borderId="41" xfId="0" applyFont="1" applyBorder="1" applyAlignment="1" applyProtection="1">
      <alignment horizontal="center"/>
    </xf>
    <xf numFmtId="0" fontId="47" fillId="0" borderId="37" xfId="0" applyFont="1" applyBorder="1" applyProtection="1"/>
    <xf numFmtId="0" fontId="4" fillId="0" borderId="59" xfId="0" applyFont="1" applyBorder="1" applyProtection="1"/>
    <xf numFmtId="37" fontId="4" fillId="0" borderId="59" xfId="0" applyNumberFormat="1" applyFont="1" applyBorder="1" applyProtection="1"/>
    <xf numFmtId="37" fontId="4" fillId="0" borderId="53" xfId="0" applyNumberFormat="1" applyFont="1" applyBorder="1" applyProtection="1"/>
    <xf numFmtId="0" fontId="47" fillId="0" borderId="53" xfId="0" applyFont="1" applyBorder="1" applyProtection="1"/>
    <xf numFmtId="5" fontId="4" fillId="0" borderId="53" xfId="0" applyNumberFormat="1" applyFont="1" applyBorder="1" applyProtection="1"/>
    <xf numFmtId="0" fontId="4" fillId="0" borderId="14" xfId="0" applyFont="1" applyBorder="1" applyAlignment="1" applyProtection="1">
      <alignment horizontal="center"/>
    </xf>
    <xf numFmtId="37" fontId="4" fillId="0" borderId="15" xfId="0" applyNumberFormat="1" applyFont="1" applyBorder="1" applyProtection="1"/>
    <xf numFmtId="0" fontId="4" fillId="0" borderId="16" xfId="0" applyFont="1" applyBorder="1" applyAlignment="1" applyProtection="1">
      <alignment horizontal="center"/>
    </xf>
    <xf numFmtId="37" fontId="4" fillId="0" borderId="0" xfId="0" applyNumberFormat="1" applyFont="1" applyAlignment="1" applyProtection="1">
      <alignment horizontal="centerContinuous"/>
    </xf>
    <xf numFmtId="0" fontId="54" fillId="29" borderId="29" xfId="0" applyFont="1" applyFill="1" applyBorder="1" applyAlignment="1" applyProtection="1">
      <alignment horizontal="centerContinuous"/>
    </xf>
    <xf numFmtId="37" fontId="4" fillId="0" borderId="12" xfId="0" applyNumberFormat="1" applyFont="1" applyBorder="1" applyProtection="1"/>
    <xf numFmtId="37" fontId="4" fillId="0" borderId="32" xfId="0" applyNumberFormat="1" applyFont="1" applyBorder="1" applyProtection="1"/>
    <xf numFmtId="0" fontId="4" fillId="0" borderId="32" xfId="0" applyFont="1" applyBorder="1" applyAlignment="1" applyProtection="1">
      <alignment horizontal="center"/>
    </xf>
    <xf numFmtId="0" fontId="54" fillId="29" borderId="17" xfId="0" applyFont="1" applyFill="1" applyBorder="1" applyAlignment="1" applyProtection="1">
      <alignment horizontal="centerContinuous"/>
    </xf>
    <xf numFmtId="37" fontId="4" fillId="0" borderId="0" xfId="0" applyNumberFormat="1" applyFont="1" applyProtection="1"/>
    <xf numFmtId="37" fontId="4" fillId="0" borderId="18" xfId="0" applyNumberFormat="1" applyFont="1" applyBorder="1" applyProtection="1"/>
    <xf numFmtId="0" fontId="4" fillId="0" borderId="18" xfId="0" applyFont="1" applyBorder="1" applyAlignment="1" applyProtection="1">
      <alignment horizontal="center"/>
    </xf>
    <xf numFmtId="0" fontId="54" fillId="0" borderId="17" xfId="0" applyFont="1" applyBorder="1" applyAlignment="1" applyProtection="1">
      <alignment horizontal="centerContinuous"/>
    </xf>
    <xf numFmtId="0" fontId="54" fillId="0" borderId="17" xfId="0" applyFont="1" applyBorder="1" applyAlignment="1" applyProtection="1">
      <alignment horizontal="center"/>
    </xf>
    <xf numFmtId="0" fontId="54" fillId="0" borderId="17" xfId="0" applyFont="1" applyBorder="1" applyProtection="1"/>
    <xf numFmtId="0" fontId="47" fillId="29" borderId="0" xfId="0" applyFont="1" applyFill="1" applyProtection="1"/>
    <xf numFmtId="0" fontId="54" fillId="0" borderId="29" xfId="0" applyFont="1" applyBorder="1" applyProtection="1"/>
    <xf numFmtId="0" fontId="47" fillId="29" borderId="12" xfId="0" applyFont="1" applyFill="1" applyBorder="1" applyProtection="1"/>
    <xf numFmtId="5" fontId="4" fillId="0" borderId="18" xfId="0" applyNumberFormat="1" applyFont="1" applyBorder="1" applyProtection="1"/>
    <xf numFmtId="5" fontId="4" fillId="0" borderId="17" xfId="0" applyNumberFormat="1" applyFont="1" applyBorder="1" applyProtection="1"/>
    <xf numFmtId="0" fontId="4" fillId="0" borderId="21" xfId="0" applyFont="1" applyBorder="1" applyAlignment="1" applyProtection="1">
      <alignment horizontal="center"/>
    </xf>
    <xf numFmtId="5" fontId="4" fillId="0" borderId="19" xfId="0" applyNumberFormat="1" applyFont="1" applyBorder="1" applyProtection="1"/>
    <xf numFmtId="5" fontId="4" fillId="0" borderId="22" xfId="0" applyNumberFormat="1" applyFont="1" applyBorder="1" applyProtection="1"/>
    <xf numFmtId="0" fontId="4" fillId="0" borderId="22" xfId="0" applyFont="1" applyBorder="1" applyAlignment="1" applyProtection="1">
      <alignment horizontal="center"/>
    </xf>
    <xf numFmtId="0" fontId="4" fillId="0" borderId="41" xfId="0" applyFont="1" applyBorder="1" applyProtection="1"/>
    <xf numFmtId="0" fontId="4" fillId="0" borderId="27" xfId="0" applyFont="1" applyBorder="1" applyAlignment="1" applyProtection="1">
      <alignment horizontal="center"/>
    </xf>
    <xf numFmtId="0" fontId="7" fillId="0" borderId="0" xfId="0" applyFont="1" applyProtection="1"/>
    <xf numFmtId="5" fontId="4" fillId="0" borderId="36" xfId="0" applyNumberFormat="1" applyFont="1" applyBorder="1" applyProtection="1"/>
    <xf numFmtId="37" fontId="4" fillId="0" borderId="36" xfId="0" applyNumberFormat="1" applyFont="1" applyBorder="1" applyProtection="1"/>
    <xf numFmtId="0" fontId="4" fillId="0" borderId="43" xfId="0" applyFont="1" applyBorder="1" applyAlignment="1" applyProtection="1">
      <alignment horizontal="center"/>
    </xf>
    <xf numFmtId="0" fontId="47" fillId="29" borderId="19" xfId="0" applyFont="1" applyFill="1" applyBorder="1" applyProtection="1"/>
    <xf numFmtId="37" fontId="4" fillId="0" borderId="40" xfId="0" applyNumberFormat="1" applyFont="1" applyBorder="1" applyProtection="1"/>
    <xf numFmtId="5" fontId="4" fillId="0" borderId="44" xfId="0" applyNumberFormat="1" applyFont="1" applyBorder="1" applyProtection="1"/>
    <xf numFmtId="0" fontId="5" fillId="0" borderId="0" xfId="0" applyFont="1" applyProtection="1"/>
    <xf numFmtId="0" fontId="0" fillId="0" borderId="16" xfId="0" applyBorder="1" applyAlignment="1" applyProtection="1">
      <alignment horizontal="center"/>
    </xf>
    <xf numFmtId="0" fontId="52" fillId="0" borderId="29" xfId="0" applyFont="1" applyBorder="1" applyProtection="1"/>
    <xf numFmtId="0" fontId="52" fillId="0" borderId="12" xfId="0" applyFont="1" applyBorder="1" applyProtection="1"/>
    <xf numFmtId="0" fontId="52" fillId="0" borderId="32" xfId="0" applyFont="1" applyBorder="1" applyProtection="1"/>
    <xf numFmtId="0" fontId="47" fillId="29" borderId="60" xfId="0" applyFont="1" applyFill="1" applyBorder="1" applyAlignment="1" applyProtection="1">
      <alignment horizontal="centerContinuous"/>
    </xf>
    <xf numFmtId="0" fontId="47" fillId="29" borderId="59" xfId="0" applyFont="1" applyFill="1" applyBorder="1" applyAlignment="1" applyProtection="1">
      <alignment horizontal="centerContinuous"/>
    </xf>
    <xf numFmtId="0" fontId="0" fillId="0" borderId="59" xfId="0" applyBorder="1" applyAlignment="1" applyProtection="1">
      <alignment horizontal="centerContinuous"/>
    </xf>
    <xf numFmtId="0" fontId="0" fillId="0" borderId="46" xfId="0" applyBorder="1" applyAlignment="1" applyProtection="1">
      <alignment horizontal="centerContinuous"/>
    </xf>
    <xf numFmtId="0" fontId="0" fillId="0" borderId="23" xfId="0" applyBorder="1" applyProtection="1"/>
    <xf numFmtId="0" fontId="0" fillId="0" borderId="26" xfId="0" applyBorder="1" applyProtection="1"/>
    <xf numFmtId="0" fontId="0" fillId="0" borderId="51" xfId="0" applyBorder="1" applyProtection="1"/>
    <xf numFmtId="5" fontId="19" fillId="0" borderId="51" xfId="0" applyNumberFormat="1" applyFont="1" applyBorder="1" applyProtection="1">
      <protection locked="0"/>
    </xf>
    <xf numFmtId="0" fontId="0" fillId="40" borderId="0" xfId="0" applyFill="1" applyProtection="1"/>
    <xf numFmtId="0" fontId="0" fillId="40" borderId="54" xfId="0" applyFill="1" applyBorder="1" applyProtection="1"/>
    <xf numFmtId="37" fontId="0" fillId="40" borderId="51" xfId="0" applyNumberFormat="1" applyFill="1" applyBorder="1" applyProtection="1"/>
    <xf numFmtId="10" fontId="19" fillId="0" borderId="54" xfId="0" applyNumberFormat="1" applyFont="1" applyBorder="1" applyProtection="1">
      <protection locked="0"/>
    </xf>
    <xf numFmtId="10" fontId="0" fillId="0" borderId="0" xfId="0" applyNumberFormat="1" applyProtection="1"/>
    <xf numFmtId="37" fontId="19" fillId="0" borderId="51" xfId="0" applyNumberFormat="1" applyFont="1" applyBorder="1" applyProtection="1">
      <protection locked="0"/>
    </xf>
    <xf numFmtId="10" fontId="0" fillId="0" borderId="51" xfId="0" applyNumberFormat="1" applyBorder="1" applyProtection="1"/>
    <xf numFmtId="37" fontId="0" fillId="0" borderId="51" xfId="0" applyNumberFormat="1" applyBorder="1" applyProtection="1"/>
    <xf numFmtId="0" fontId="0" fillId="40" borderId="18" xfId="0" applyFill="1" applyBorder="1" applyProtection="1"/>
    <xf numFmtId="0" fontId="0" fillId="0" borderId="25" xfId="0" applyBorder="1" applyProtection="1"/>
    <xf numFmtId="37" fontId="0" fillId="0" borderId="25" xfId="0" applyNumberFormat="1" applyBorder="1" applyProtection="1"/>
    <xf numFmtId="0" fontId="0" fillId="0" borderId="31" xfId="0" applyBorder="1" applyProtection="1"/>
    <xf numFmtId="37" fontId="0" fillId="0" borderId="31" xfId="0" applyNumberFormat="1" applyBorder="1" applyProtection="1"/>
    <xf numFmtId="10" fontId="0" fillId="0" borderId="19" xfId="0" applyNumberFormat="1" applyBorder="1" applyProtection="1"/>
    <xf numFmtId="0" fontId="55" fillId="0" borderId="0" xfId="0" applyFont="1" applyProtection="1"/>
    <xf numFmtId="0" fontId="0" fillId="0" borderId="17" xfId="0" applyBorder="1" applyAlignment="1" applyProtection="1">
      <alignment horizontal="centerContinuous"/>
    </xf>
    <xf numFmtId="0" fontId="28" fillId="0" borderId="15" xfId="0" applyFont="1" applyBorder="1" applyProtection="1">
      <protection locked="0"/>
    </xf>
    <xf numFmtId="0" fontId="56" fillId="0" borderId="15" xfId="0" applyFont="1" applyBorder="1" applyProtection="1">
      <protection locked="0"/>
    </xf>
    <xf numFmtId="0" fontId="4" fillId="0" borderId="60" xfId="0" applyFont="1" applyBorder="1" applyProtection="1"/>
    <xf numFmtId="0" fontId="4" fillId="0" borderId="59" xfId="0" applyFont="1" applyBorder="1" applyAlignment="1" applyProtection="1">
      <alignment horizontal="centerContinuous"/>
    </xf>
    <xf numFmtId="0" fontId="4" fillId="0" borderId="46" xfId="0" applyFont="1" applyBorder="1" applyAlignment="1" applyProtection="1">
      <alignment horizontal="centerContinuous"/>
    </xf>
    <xf numFmtId="0" fontId="0" fillId="0" borderId="41" xfId="0" applyBorder="1" applyAlignment="1" applyProtection="1">
      <alignment horizontal="center"/>
    </xf>
    <xf numFmtId="5" fontId="28" fillId="0" borderId="53" xfId="0" applyNumberFormat="1" applyFont="1" applyBorder="1" applyProtection="1">
      <protection locked="0"/>
    </xf>
    <xf numFmtId="0" fontId="4" fillId="0" borderId="50" xfId="0" applyFont="1" applyBorder="1" applyAlignment="1" applyProtection="1">
      <alignment horizontal="center"/>
    </xf>
    <xf numFmtId="0" fontId="4" fillId="0" borderId="42" xfId="0" applyFont="1" applyBorder="1" applyAlignment="1" applyProtection="1">
      <alignment horizontal="center"/>
    </xf>
    <xf numFmtId="37" fontId="28" fillId="0" borderId="53" xfId="0" applyNumberFormat="1" applyFont="1" applyBorder="1" applyProtection="1">
      <protection locked="0"/>
    </xf>
    <xf numFmtId="37" fontId="4" fillId="0" borderId="37" xfId="0" applyNumberFormat="1" applyFont="1" applyBorder="1" applyProtection="1"/>
    <xf numFmtId="37" fontId="4" fillId="0" borderId="39" xfId="0" applyNumberFormat="1" applyFont="1" applyBorder="1" applyProtection="1"/>
    <xf numFmtId="5" fontId="4" fillId="0" borderId="37" xfId="0" applyNumberFormat="1" applyFont="1" applyBorder="1" applyProtection="1"/>
    <xf numFmtId="37" fontId="4" fillId="0" borderId="35" xfId="0" applyNumberFormat="1" applyFont="1" applyBorder="1" applyProtection="1"/>
    <xf numFmtId="0" fontId="4" fillId="0" borderId="61" xfId="0" applyFont="1" applyBorder="1" applyProtection="1"/>
    <xf numFmtId="5" fontId="4" fillId="0" borderId="56" xfId="0" applyNumberFormat="1" applyFont="1" applyBorder="1" applyProtection="1"/>
    <xf numFmtId="5" fontId="4" fillId="0" borderId="49" xfId="0" applyNumberFormat="1" applyFont="1" applyBorder="1" applyProtection="1"/>
    <xf numFmtId="0" fontId="4" fillId="0" borderId="14" xfId="0" applyFont="1" applyBorder="1"/>
    <xf numFmtId="0" fontId="4" fillId="0" borderId="16" xfId="0" applyFont="1" applyBorder="1"/>
    <xf numFmtId="0" fontId="4" fillId="0" borderId="18" xfId="0" applyFont="1" applyBorder="1"/>
    <xf numFmtId="0" fontId="4" fillId="0" borderId="29" xfId="0" applyFont="1" applyBorder="1"/>
    <xf numFmtId="0" fontId="4" fillId="0" borderId="12" xfId="0" applyFont="1" applyBorder="1"/>
    <xf numFmtId="0" fontId="4" fillId="0" borderId="32" xfId="0" applyFont="1" applyBorder="1"/>
    <xf numFmtId="0" fontId="4" fillId="0" borderId="35" xfId="0" applyFont="1" applyBorder="1"/>
    <xf numFmtId="0" fontId="4" fillId="0" borderId="28" xfId="0" applyFont="1" applyBorder="1"/>
    <xf numFmtId="0" fontId="4" fillId="0" borderId="17" xfId="0" applyFont="1" applyBorder="1" applyAlignment="1">
      <alignment horizontal="centerContinuous"/>
    </xf>
    <xf numFmtId="0" fontId="28" fillId="0" borderId="35" xfId="0" applyFont="1" applyBorder="1" applyProtection="1">
      <protection locked="0"/>
    </xf>
    <xf numFmtId="0" fontId="4" fillId="0" borderId="53" xfId="0" applyFont="1" applyBorder="1"/>
    <xf numFmtId="5" fontId="4" fillId="0" borderId="54" xfId="0" applyNumberFormat="1" applyFont="1" applyBorder="1" applyProtection="1"/>
    <xf numFmtId="0" fontId="4" fillId="0" borderId="21" xfId="0" applyFont="1" applyBorder="1" applyAlignment="1">
      <alignment horizontal="centerContinuous"/>
    </xf>
    <xf numFmtId="0" fontId="4" fillId="0" borderId="56" xfId="0" applyFont="1" applyBorder="1"/>
    <xf numFmtId="5" fontId="4" fillId="0" borderId="35" xfId="0" applyNumberFormat="1" applyFont="1" applyBorder="1" applyProtection="1"/>
    <xf numFmtId="0" fontId="4" fillId="0" borderId="18" xfId="0" applyFont="1" applyBorder="1" applyAlignment="1">
      <alignment horizontal="centerContinuous"/>
    </xf>
    <xf numFmtId="5" fontId="4" fillId="0" borderId="38" xfId="0" applyNumberFormat="1" applyFont="1" applyBorder="1" applyProtection="1"/>
    <xf numFmtId="0" fontId="4" fillId="0" borderId="17" xfId="0" applyFont="1" applyBorder="1" applyAlignment="1">
      <alignment horizontal="center"/>
    </xf>
    <xf numFmtId="0" fontId="4" fillId="0" borderId="26" xfId="0" applyFont="1" applyBorder="1"/>
    <xf numFmtId="0" fontId="4" fillId="0" borderId="29" xfId="0" applyFont="1" applyBorder="1" applyAlignment="1">
      <alignment horizontal="center"/>
    </xf>
    <xf numFmtId="0" fontId="4" fillId="0" borderId="19" xfId="0" applyFont="1" applyBorder="1"/>
    <xf numFmtId="0" fontId="4" fillId="0" borderId="29" xfId="0" applyFont="1" applyBorder="1" applyAlignment="1">
      <alignment horizontal="centerContinuous"/>
    </xf>
    <xf numFmtId="0" fontId="4" fillId="0" borderId="12" xfId="0" applyFont="1" applyBorder="1" applyAlignment="1">
      <alignment horizontal="centerContinuous"/>
    </xf>
    <xf numFmtId="0" fontId="4" fillId="0" borderId="32" xfId="0" applyFont="1" applyBorder="1" applyAlignment="1">
      <alignment horizontal="centerContinuous"/>
    </xf>
    <xf numFmtId="0" fontId="4" fillId="0" borderId="50" xfId="0" applyFont="1" applyBorder="1"/>
    <xf numFmtId="0" fontId="4" fillId="40" borderId="28" xfId="0" applyFont="1" applyFill="1" applyBorder="1"/>
    <xf numFmtId="0" fontId="4" fillId="40" borderId="18" xfId="0" applyFont="1" applyFill="1" applyBorder="1"/>
    <xf numFmtId="37" fontId="4" fillId="0" borderId="28" xfId="0" applyNumberFormat="1" applyFont="1" applyBorder="1" applyProtection="1"/>
    <xf numFmtId="5" fontId="4" fillId="0" borderId="62" xfId="0" applyNumberFormat="1" applyFont="1" applyBorder="1" applyProtection="1"/>
    <xf numFmtId="0" fontId="4" fillId="0" borderId="23" xfId="0" applyFont="1" applyBorder="1" applyAlignment="1">
      <alignment horizontal="center"/>
    </xf>
    <xf numFmtId="0" fontId="4" fillId="0" borderId="50" xfId="0" applyFont="1" applyBorder="1" applyAlignment="1">
      <alignment horizontal="center"/>
    </xf>
    <xf numFmtId="5" fontId="28" fillId="0" borderId="28" xfId="0" applyNumberFormat="1" applyFont="1" applyBorder="1" applyProtection="1">
      <protection locked="0"/>
    </xf>
    <xf numFmtId="5" fontId="4" fillId="0" borderId="63" xfId="0" applyNumberFormat="1" applyFont="1" applyBorder="1" applyProtection="1"/>
    <xf numFmtId="0" fontId="4" fillId="0" borderId="43" xfId="0" applyFont="1" applyBorder="1" applyAlignment="1">
      <alignment horizontal="center"/>
    </xf>
    <xf numFmtId="0" fontId="4" fillId="0" borderId="22" xfId="0" applyFont="1" applyBorder="1"/>
    <xf numFmtId="0" fontId="28" fillId="0" borderId="24" xfId="0" applyFont="1" applyBorder="1" applyAlignment="1" applyProtection="1">
      <alignment horizontal="right"/>
      <protection locked="0"/>
    </xf>
    <xf numFmtId="0" fontId="57" fillId="0" borderId="0" xfId="0" applyFont="1"/>
    <xf numFmtId="0" fontId="0" fillId="0" borderId="50" xfId="0" applyBorder="1" applyProtection="1"/>
    <xf numFmtId="0" fontId="0" fillId="0" borderId="37" xfId="0" applyBorder="1" applyProtection="1"/>
    <xf numFmtId="0" fontId="0" fillId="0" borderId="41" xfId="0" applyBorder="1" applyProtection="1"/>
    <xf numFmtId="0" fontId="0" fillId="0" borderId="35" xfId="0" applyBorder="1" applyProtection="1"/>
    <xf numFmtId="0" fontId="0" fillId="0" borderId="42" xfId="0" applyBorder="1" applyProtection="1"/>
    <xf numFmtId="0" fontId="0" fillId="0" borderId="52" xfId="0" applyBorder="1" applyProtection="1"/>
    <xf numFmtId="0" fontId="19" fillId="0" borderId="51" xfId="0" applyFont="1" applyBorder="1" applyProtection="1">
      <protection locked="0"/>
    </xf>
    <xf numFmtId="0" fontId="19" fillId="0" borderId="54" xfId="0" applyFont="1" applyBorder="1" applyProtection="1">
      <protection locked="0"/>
    </xf>
    <xf numFmtId="0" fontId="19" fillId="42" borderId="54" xfId="0" applyFont="1" applyFill="1" applyBorder="1" applyProtection="1">
      <protection locked="0"/>
    </xf>
    <xf numFmtId="5" fontId="0" fillId="0" borderId="51" xfId="0" applyNumberFormat="1" applyBorder="1" applyProtection="1"/>
    <xf numFmtId="37" fontId="19" fillId="0" borderId="25" xfId="0" applyNumberFormat="1" applyFont="1" applyBorder="1" applyProtection="1">
      <protection locked="0"/>
    </xf>
    <xf numFmtId="0" fontId="19" fillId="0" borderId="25" xfId="0" applyFont="1" applyBorder="1" applyProtection="1">
      <protection locked="0"/>
    </xf>
    <xf numFmtId="0" fontId="19" fillId="0" borderId="38" xfId="0" applyFont="1" applyBorder="1" applyProtection="1">
      <protection locked="0"/>
    </xf>
    <xf numFmtId="0" fontId="0" fillId="0" borderId="55" xfId="0" applyBorder="1" applyProtection="1"/>
    <xf numFmtId="0" fontId="0" fillId="0" borderId="57" xfId="0" applyBorder="1" applyProtection="1"/>
    <xf numFmtId="5" fontId="0" fillId="0" borderId="57" xfId="0" applyNumberFormat="1" applyBorder="1" applyProtection="1"/>
    <xf numFmtId="0" fontId="19" fillId="0" borderId="58" xfId="0" applyFont="1" applyBorder="1" applyProtection="1">
      <protection locked="0"/>
    </xf>
    <xf numFmtId="0" fontId="47" fillId="29" borderId="0" xfId="0" applyFont="1" applyFill="1" applyAlignment="1" applyProtection="1">
      <alignment horizontal="centerContinuous"/>
    </xf>
    <xf numFmtId="0" fontId="5" fillId="0" borderId="29" xfId="0" applyFont="1" applyBorder="1" applyAlignment="1" applyProtection="1">
      <alignment horizontal="centerContinuous"/>
    </xf>
    <xf numFmtId="0" fontId="47" fillId="29" borderId="12" xfId="0" applyFont="1" applyFill="1" applyBorder="1" applyAlignment="1" applyProtection="1">
      <alignment horizontal="centerContinuous"/>
    </xf>
    <xf numFmtId="0" fontId="47" fillId="29" borderId="50" xfId="0" applyFont="1" applyFill="1" applyBorder="1" applyProtection="1"/>
    <xf numFmtId="0" fontId="47" fillId="29" borderId="24" xfId="0" applyFont="1" applyFill="1" applyBorder="1" applyProtection="1"/>
    <xf numFmtId="0" fontId="47" fillId="29" borderId="42" xfId="0" applyFont="1" applyFill="1" applyBorder="1" applyProtection="1"/>
    <xf numFmtId="0" fontId="47" fillId="29" borderId="42" xfId="0" applyFont="1" applyFill="1" applyBorder="1" applyAlignment="1" applyProtection="1">
      <alignment horizontal="center"/>
    </xf>
    <xf numFmtId="0" fontId="47" fillId="29" borderId="59" xfId="0" applyFont="1" applyFill="1" applyBorder="1" applyProtection="1"/>
    <xf numFmtId="5" fontId="47" fillId="29" borderId="12" xfId="0" applyNumberFormat="1" applyFont="1" applyFill="1" applyBorder="1" applyProtection="1"/>
    <xf numFmtId="37" fontId="47" fillId="29" borderId="12" xfId="0" applyNumberFormat="1" applyFont="1" applyFill="1" applyBorder="1" applyProtection="1"/>
    <xf numFmtId="37" fontId="47" fillId="29" borderId="40" xfId="0" applyNumberFormat="1" applyFont="1" applyFill="1" applyBorder="1" applyProtection="1"/>
    <xf numFmtId="0" fontId="47" fillId="29" borderId="43" xfId="0" applyFont="1" applyFill="1" applyBorder="1" applyAlignment="1" applyProtection="1">
      <alignment horizontal="center"/>
    </xf>
    <xf numFmtId="5" fontId="47" fillId="29" borderId="19" xfId="0" applyNumberFormat="1" applyFont="1" applyFill="1" applyBorder="1" applyProtection="1"/>
    <xf numFmtId="5" fontId="47" fillId="29" borderId="58" xfId="0" applyNumberFormat="1" applyFont="1" applyFill="1" applyBorder="1" applyProtection="1"/>
    <xf numFmtId="5" fontId="4" fillId="0" borderId="28" xfId="0" applyNumberFormat="1" applyFont="1" applyBorder="1" applyProtection="1"/>
    <xf numFmtId="37" fontId="4" fillId="0" borderId="31" xfId="0" applyNumberFormat="1" applyFont="1" applyBorder="1" applyProtection="1"/>
    <xf numFmtId="0" fontId="4" fillId="0" borderId="49" xfId="0" applyFont="1" applyBorder="1" applyProtection="1"/>
    <xf numFmtId="0" fontId="4" fillId="40" borderId="34" xfId="0" applyFont="1" applyFill="1" applyBorder="1" applyProtection="1"/>
    <xf numFmtId="5" fontId="4" fillId="0" borderId="33" xfId="0" applyNumberFormat="1" applyFont="1" applyBorder="1" applyProtection="1"/>
    <xf numFmtId="0" fontId="4" fillId="0" borderId="32" xfId="0" applyFont="1" applyBorder="1" applyAlignment="1" applyProtection="1">
      <alignment horizontal="centerContinuous"/>
    </xf>
    <xf numFmtId="0" fontId="4" fillId="0" borderId="49" xfId="0" applyFont="1" applyBorder="1" applyAlignment="1" applyProtection="1">
      <alignment horizontal="left"/>
    </xf>
    <xf numFmtId="0" fontId="4" fillId="40" borderId="49" xfId="0" applyFont="1" applyFill="1" applyBorder="1" applyProtection="1"/>
    <xf numFmtId="0" fontId="5" fillId="0" borderId="17" xfId="0" applyFont="1" applyBorder="1" applyProtection="1"/>
    <xf numFmtId="0" fontId="0" fillId="0" borderId="59" xfId="0" applyBorder="1" applyProtection="1"/>
    <xf numFmtId="0" fontId="4" fillId="0" borderId="50" xfId="0" applyFont="1" applyBorder="1" applyAlignment="1" applyProtection="1">
      <alignment horizontal="centerContinuous"/>
    </xf>
    <xf numFmtId="0" fontId="4" fillId="0" borderId="52" xfId="0" applyFont="1" applyBorder="1" applyAlignment="1" applyProtection="1">
      <alignment horizontal="centerContinuous"/>
    </xf>
    <xf numFmtId="0" fontId="4" fillId="0" borderId="17" xfId="0" applyFont="1" applyBorder="1" applyAlignment="1" applyProtection="1">
      <alignment horizontal="centerContinuous"/>
    </xf>
    <xf numFmtId="5" fontId="4" fillId="0" borderId="18" xfId="0" applyNumberFormat="1" applyFont="1" applyBorder="1" applyAlignment="1" applyProtection="1">
      <alignment horizontal="centerContinuous"/>
    </xf>
    <xf numFmtId="0" fontId="0" fillId="0" borderId="42" xfId="0" applyBorder="1" applyAlignment="1" applyProtection="1">
      <alignment horizontal="center"/>
    </xf>
    <xf numFmtId="37" fontId="4" fillId="0" borderId="34" xfId="0" applyNumberFormat="1" applyFont="1" applyBorder="1" applyProtection="1"/>
    <xf numFmtId="37" fontId="4" fillId="0" borderId="22" xfId="0" applyNumberFormat="1" applyFont="1" applyBorder="1" applyProtection="1"/>
    <xf numFmtId="0" fontId="7" fillId="0" borderId="35" xfId="0" applyFont="1" applyBorder="1" applyProtection="1"/>
    <xf numFmtId="37" fontId="4" fillId="42" borderId="35" xfId="0" applyNumberFormat="1" applyFont="1" applyFill="1" applyBorder="1" applyProtection="1"/>
    <xf numFmtId="37" fontId="4" fillId="0" borderId="36" xfId="0" applyNumberFormat="1" applyFont="1" applyBorder="1" applyAlignment="1" applyProtection="1">
      <alignment horizontal="center"/>
    </xf>
    <xf numFmtId="39" fontId="4" fillId="0" borderId="28" xfId="0" applyNumberFormat="1" applyFont="1" applyBorder="1" applyProtection="1"/>
    <xf numFmtId="39" fontId="4" fillId="0" borderId="18" xfId="0" applyNumberFormat="1" applyFont="1" applyBorder="1" applyProtection="1"/>
    <xf numFmtId="37" fontId="4" fillId="0" borderId="27" xfId="0" applyNumberFormat="1" applyFont="1" applyBorder="1" applyProtection="1"/>
    <xf numFmtId="37" fontId="4" fillId="0" borderId="60" xfId="0" applyNumberFormat="1" applyFont="1" applyBorder="1" applyProtection="1"/>
    <xf numFmtId="0" fontId="4" fillId="0" borderId="44" xfId="0" applyFont="1" applyBorder="1" applyAlignment="1" applyProtection="1">
      <alignment horizontal="center"/>
    </xf>
    <xf numFmtId="0" fontId="8" fillId="0" borderId="0" xfId="0" applyFont="1" applyProtection="1"/>
    <xf numFmtId="37" fontId="0" fillId="0" borderId="28" xfId="0" applyNumberFormat="1" applyBorder="1" applyProtection="1"/>
    <xf numFmtId="5" fontId="0" fillId="0" borderId="58" xfId="0" applyNumberFormat="1" applyBorder="1" applyProtection="1"/>
    <xf numFmtId="0" fontId="0" fillId="0" borderId="37" xfId="0" applyBorder="1" applyAlignment="1" applyProtection="1">
      <alignment horizontal="centerContinuous"/>
    </xf>
    <xf numFmtId="0" fontId="0" fillId="0" borderId="39" xfId="0" applyBorder="1" applyAlignment="1" applyProtection="1">
      <alignment horizontal="centerContinuous"/>
    </xf>
    <xf numFmtId="37" fontId="0" fillId="0" borderId="36" xfId="0" applyNumberFormat="1" applyBorder="1" applyProtection="1"/>
    <xf numFmtId="5" fontId="0" fillId="0" borderId="36" xfId="0" applyNumberFormat="1" applyBorder="1" applyProtection="1"/>
    <xf numFmtId="5" fontId="0" fillId="0" borderId="54" xfId="0" applyNumberFormat="1" applyBorder="1" applyProtection="1"/>
    <xf numFmtId="0" fontId="0" fillId="0" borderId="61" xfId="0" applyBorder="1" applyProtection="1"/>
    <xf numFmtId="5" fontId="0" fillId="0" borderId="61" xfId="0" applyNumberFormat="1" applyBorder="1" applyProtection="1"/>
    <xf numFmtId="0" fontId="4" fillId="0" borderId="38" xfId="0" applyFont="1" applyBorder="1" applyAlignment="1" applyProtection="1">
      <alignment horizontal="center"/>
    </xf>
    <xf numFmtId="0" fontId="4" fillId="0" borderId="61" xfId="0" applyFont="1" applyBorder="1" applyAlignment="1" applyProtection="1">
      <alignment horizontal="center"/>
    </xf>
    <xf numFmtId="0" fontId="0" fillId="0" borderId="17" xfId="0" applyBorder="1" applyAlignment="1">
      <alignment horizontal="center"/>
    </xf>
    <xf numFmtId="0" fontId="0" fillId="0" borderId="29" xfId="0" applyBorder="1" applyAlignment="1">
      <alignment horizontal="center"/>
    </xf>
    <xf numFmtId="0" fontId="0" fillId="0" borderId="35" xfId="0" applyBorder="1"/>
    <xf numFmtId="0" fontId="0" fillId="0" borderId="12" xfId="0" applyBorder="1" applyAlignment="1">
      <alignment horizontal="centerContinuous"/>
    </xf>
    <xf numFmtId="0" fontId="0" fillId="0" borderId="32" xfId="0" applyBorder="1" applyAlignment="1">
      <alignment horizontal="centerContinuous"/>
    </xf>
    <xf numFmtId="0" fontId="0" fillId="0" borderId="36" xfId="0" applyBorder="1"/>
    <xf numFmtId="0" fontId="0" fillId="40" borderId="51" xfId="0" applyFill="1" applyBorder="1"/>
    <xf numFmtId="0" fontId="0" fillId="40" borderId="59" xfId="0" applyFill="1" applyBorder="1"/>
    <xf numFmtId="0" fontId="0" fillId="0" borderId="0" xfId="0" applyAlignment="1">
      <alignment horizontal="center"/>
    </xf>
    <xf numFmtId="0" fontId="0" fillId="0" borderId="39" xfId="0" applyBorder="1" applyAlignment="1">
      <alignment horizontal="centerContinuous"/>
    </xf>
    <xf numFmtId="0" fontId="0" fillId="0" borderId="21" xfId="0" applyBorder="1" applyAlignment="1">
      <alignment horizontal="center"/>
    </xf>
    <xf numFmtId="0" fontId="5" fillId="0" borderId="18" xfId="0" applyFont="1" applyBorder="1" applyProtection="1"/>
    <xf numFmtId="0" fontId="4" fillId="0" borderId="50" xfId="0" applyFont="1" applyBorder="1" applyProtection="1"/>
    <xf numFmtId="0" fontId="0" fillId="0" borderId="6" xfId="0" applyBorder="1" applyProtection="1"/>
    <xf numFmtId="0" fontId="4" fillId="0" borderId="6" xfId="0" applyFont="1" applyBorder="1" applyAlignment="1" applyProtection="1">
      <alignment horizontal="centerContinuous"/>
    </xf>
    <xf numFmtId="0" fontId="7" fillId="0" borderId="24" xfId="0" applyFont="1" applyBorder="1" applyProtection="1"/>
    <xf numFmtId="0" fontId="0" fillId="0" borderId="27" xfId="0" applyBorder="1" applyProtection="1"/>
    <xf numFmtId="5" fontId="4" fillId="0" borderId="27" xfId="0" applyNumberFormat="1" applyFont="1" applyBorder="1" applyProtection="1"/>
    <xf numFmtId="0" fontId="0" fillId="0" borderId="30" xfId="0" applyBorder="1" applyProtection="1"/>
    <xf numFmtId="0" fontId="4" fillId="40" borderId="64" xfId="0" applyFont="1" applyFill="1" applyBorder="1" applyProtection="1"/>
    <xf numFmtId="0" fontId="4" fillId="40" borderId="61" xfId="0" applyFont="1" applyFill="1" applyBorder="1" applyProtection="1"/>
    <xf numFmtId="5" fontId="4" fillId="40" borderId="61" xfId="0" applyNumberFormat="1" applyFont="1" applyFill="1" applyBorder="1" applyProtection="1"/>
    <xf numFmtId="0" fontId="4" fillId="0" borderId="14" xfId="0" applyFont="1" applyBorder="1" applyAlignment="1" applyProtection="1">
      <alignment horizontal="centerContinuous"/>
    </xf>
    <xf numFmtId="0" fontId="4" fillId="0" borderId="15" xfId="0" applyFont="1" applyBorder="1" applyAlignment="1" applyProtection="1">
      <alignment horizontal="centerContinuous"/>
    </xf>
    <xf numFmtId="0" fontId="4" fillId="0" borderId="16" xfId="0" applyFont="1" applyBorder="1" applyAlignment="1" applyProtection="1">
      <alignment horizontal="centerContinuous"/>
    </xf>
    <xf numFmtId="0" fontId="45" fillId="0" borderId="18" xfId="0" applyFont="1" applyBorder="1" applyProtection="1"/>
    <xf numFmtId="0" fontId="4" fillId="0" borderId="65" xfId="0" applyFont="1" applyBorder="1" applyAlignment="1" applyProtection="1">
      <alignment horizontal="center"/>
    </xf>
    <xf numFmtId="0" fontId="4" fillId="0" borderId="66" xfId="0" applyFont="1" applyBorder="1" applyAlignment="1" applyProtection="1">
      <alignment horizontal="center"/>
    </xf>
    <xf numFmtId="0" fontId="4" fillId="0" borderId="29" xfId="0" applyFont="1" applyBorder="1" applyAlignment="1" applyProtection="1">
      <alignment horizontal="centerContinuous"/>
    </xf>
    <xf numFmtId="0" fontId="4" fillId="0" borderId="53" xfId="0" applyFont="1" applyBorder="1" applyAlignment="1" applyProtection="1">
      <alignment horizontal="centerContinuous"/>
    </xf>
    <xf numFmtId="0" fontId="4" fillId="0" borderId="60" xfId="0" applyFont="1" applyBorder="1" applyAlignment="1" applyProtection="1">
      <alignment horizontal="centerContinuous"/>
    </xf>
    <xf numFmtId="0" fontId="4" fillId="0" borderId="35" xfId="0" applyFont="1" applyBorder="1" applyAlignment="1" applyProtection="1">
      <alignment horizontal="center"/>
    </xf>
    <xf numFmtId="0" fontId="4" fillId="0" borderId="39" xfId="0" applyFont="1" applyBorder="1" applyAlignment="1" applyProtection="1">
      <alignment horizontal="center"/>
    </xf>
    <xf numFmtId="0" fontId="4" fillId="42" borderId="35" xfId="0" applyFont="1" applyFill="1" applyBorder="1" applyProtection="1"/>
    <xf numFmtId="37" fontId="0" fillId="0" borderId="35" xfId="0" applyNumberFormat="1" applyBorder="1" applyProtection="1"/>
    <xf numFmtId="37" fontId="0" fillId="0" borderId="17" xfId="0" applyNumberFormat="1" applyBorder="1" applyProtection="1"/>
    <xf numFmtId="0" fontId="0" fillId="42" borderId="35" xfId="0" applyFill="1" applyBorder="1" applyProtection="1"/>
    <xf numFmtId="37" fontId="7" fillId="0" borderId="36" xfId="0" applyNumberFormat="1" applyFont="1" applyBorder="1" applyProtection="1"/>
    <xf numFmtId="0" fontId="4" fillId="0" borderId="64" xfId="0" applyFont="1" applyBorder="1" applyAlignment="1" applyProtection="1">
      <alignment horizontal="center"/>
    </xf>
    <xf numFmtId="5" fontId="4" fillId="0" borderId="64" xfId="0" applyNumberFormat="1" applyFont="1" applyBorder="1" applyProtection="1"/>
    <xf numFmtId="37" fontId="36" fillId="0" borderId="0" xfId="0" applyNumberFormat="1" applyFont="1" applyAlignment="1" applyProtection="1">
      <alignment horizontal="centerContinuous"/>
    </xf>
    <xf numFmtId="0" fontId="3" fillId="0" borderId="0" xfId="0" applyFont="1" applyAlignment="1" applyProtection="1">
      <alignment horizontal="left"/>
    </xf>
    <xf numFmtId="0" fontId="4" fillId="0" borderId="23" xfId="0" applyFont="1" applyBorder="1"/>
    <xf numFmtId="0" fontId="4" fillId="0" borderId="39" xfId="0" applyFont="1" applyBorder="1" applyAlignment="1">
      <alignment horizontal="centerContinuous"/>
    </xf>
    <xf numFmtId="0" fontId="4" fillId="0" borderId="36" xfId="0" applyFont="1" applyBorder="1" applyAlignment="1">
      <alignment horizontal="centerContinuous"/>
    </xf>
    <xf numFmtId="0" fontId="4" fillId="0" borderId="35" xfId="0" applyFont="1" applyBorder="1" applyAlignment="1">
      <alignment horizontal="centerContinuous"/>
    </xf>
    <xf numFmtId="0" fontId="4" fillId="0" borderId="40" xfId="0" applyFont="1" applyBorder="1" applyAlignment="1">
      <alignment horizontal="center"/>
    </xf>
    <xf numFmtId="0" fontId="4" fillId="0" borderId="35" xfId="0" applyFont="1" applyBorder="1" applyAlignment="1">
      <alignment horizontal="center"/>
    </xf>
    <xf numFmtId="37" fontId="4" fillId="29" borderId="36" xfId="0" applyNumberFormat="1" applyFont="1" applyFill="1" applyBorder="1" applyProtection="1"/>
    <xf numFmtId="0" fontId="4" fillId="0" borderId="64" xfId="0" applyFont="1" applyBorder="1" applyAlignment="1">
      <alignment horizontal="center"/>
    </xf>
    <xf numFmtId="0" fontId="4" fillId="41" borderId="56" xfId="0" applyFont="1" applyFill="1" applyBorder="1"/>
    <xf numFmtId="0" fontId="16" fillId="0" borderId="0" xfId="0" applyFont="1" applyAlignment="1" applyProtection="1">
      <alignment horizontal="centerContinuous"/>
    </xf>
    <xf numFmtId="0" fontId="4" fillId="0" borderId="0" xfId="0" applyFont="1" applyAlignment="1">
      <alignment horizontal="center"/>
    </xf>
    <xf numFmtId="0" fontId="4" fillId="0" borderId="24" xfId="0" applyFont="1" applyBorder="1" applyAlignment="1" applyProtection="1">
      <alignment horizontal="centerContinuous"/>
    </xf>
    <xf numFmtId="0" fontId="4" fillId="0" borderId="37" xfId="0" applyFont="1" applyBorder="1" applyAlignment="1" applyProtection="1">
      <alignment horizontal="centerContinuous"/>
    </xf>
    <xf numFmtId="0" fontId="0" fillId="0" borderId="39" xfId="0" applyBorder="1" applyProtection="1"/>
    <xf numFmtId="37" fontId="4" fillId="41" borderId="27" xfId="0" applyNumberFormat="1" applyFont="1" applyFill="1" applyBorder="1" applyProtection="1"/>
    <xf numFmtId="0" fontId="4" fillId="41" borderId="0" xfId="0" applyFont="1" applyFill="1" applyProtection="1"/>
    <xf numFmtId="37" fontId="4" fillId="41" borderId="28" xfId="0" applyNumberFormat="1" applyFont="1" applyFill="1" applyBorder="1" applyProtection="1"/>
    <xf numFmtId="37" fontId="4" fillId="41" borderId="35" xfId="0" applyNumberFormat="1" applyFont="1" applyFill="1" applyBorder="1" applyProtection="1"/>
    <xf numFmtId="37" fontId="4" fillId="41" borderId="36" xfId="0" applyNumberFormat="1" applyFont="1" applyFill="1" applyBorder="1" applyProtection="1"/>
    <xf numFmtId="37" fontId="4" fillId="41" borderId="29" xfId="0" applyNumberFormat="1" applyFont="1" applyFill="1" applyBorder="1" applyProtection="1"/>
    <xf numFmtId="0" fontId="4" fillId="41" borderId="39" xfId="0" applyFont="1" applyFill="1" applyBorder="1" applyProtection="1"/>
    <xf numFmtId="0" fontId="4" fillId="29" borderId="35" xfId="0" applyFont="1" applyFill="1" applyBorder="1" applyProtection="1"/>
    <xf numFmtId="0" fontId="4" fillId="29" borderId="0" xfId="0" applyFont="1" applyFill="1" applyProtection="1"/>
    <xf numFmtId="37" fontId="47" fillId="29" borderId="36" xfId="0" applyNumberFormat="1" applyFont="1" applyFill="1" applyBorder="1" applyProtection="1"/>
    <xf numFmtId="0" fontId="4" fillId="0" borderId="28" xfId="0" applyFont="1" applyBorder="1" applyAlignment="1" applyProtection="1">
      <alignment horizontal="left"/>
    </xf>
    <xf numFmtId="5" fontId="4" fillId="0" borderId="60" xfId="0" applyNumberFormat="1" applyFont="1" applyBorder="1" applyProtection="1"/>
    <xf numFmtId="37" fontId="4" fillId="41" borderId="17" xfId="0" applyNumberFormat="1" applyFont="1" applyFill="1" applyBorder="1" applyProtection="1"/>
    <xf numFmtId="0" fontId="4" fillId="41" borderId="35" xfId="0" applyFont="1" applyFill="1" applyBorder="1" applyProtection="1"/>
    <xf numFmtId="5" fontId="4" fillId="0" borderId="6" xfId="0" applyNumberFormat="1" applyFont="1" applyBorder="1" applyProtection="1"/>
    <xf numFmtId="5" fontId="4" fillId="0" borderId="25" xfId="0" applyNumberFormat="1" applyFont="1" applyBorder="1" applyProtection="1"/>
    <xf numFmtId="5" fontId="4" fillId="0" borderId="47" xfId="0" applyNumberFormat="1" applyFont="1" applyBorder="1" applyProtection="1"/>
    <xf numFmtId="0" fontId="4" fillId="41" borderId="37" xfId="0" applyFont="1" applyFill="1" applyBorder="1" applyProtection="1"/>
    <xf numFmtId="0" fontId="4" fillId="41" borderId="24" xfId="0" applyFont="1" applyFill="1" applyBorder="1" applyProtection="1"/>
    <xf numFmtId="0" fontId="4" fillId="41" borderId="26" xfId="0" applyFont="1" applyFill="1" applyBorder="1" applyProtection="1"/>
    <xf numFmtId="0" fontId="4" fillId="41" borderId="23" xfId="0" applyFont="1" applyFill="1" applyBorder="1" applyProtection="1"/>
    <xf numFmtId="0" fontId="4" fillId="41" borderId="6" xfId="0" applyFont="1" applyFill="1" applyBorder="1" applyProtection="1"/>
    <xf numFmtId="37" fontId="4" fillId="41" borderId="39" xfId="0" applyNumberFormat="1" applyFont="1" applyFill="1" applyBorder="1" applyProtection="1"/>
    <xf numFmtId="37" fontId="4" fillId="41" borderId="12" xfId="0" applyNumberFormat="1" applyFont="1" applyFill="1" applyBorder="1" applyProtection="1"/>
    <xf numFmtId="37" fontId="4" fillId="41" borderId="32" xfId="0" applyNumberFormat="1" applyFont="1" applyFill="1" applyBorder="1" applyProtection="1"/>
    <xf numFmtId="0" fontId="4" fillId="41" borderId="12" xfId="0" applyFont="1" applyFill="1" applyBorder="1" applyProtection="1"/>
    <xf numFmtId="37" fontId="4" fillId="41" borderId="30" xfId="0" applyNumberFormat="1" applyFont="1" applyFill="1" applyBorder="1" applyProtection="1"/>
    <xf numFmtId="0" fontId="4" fillId="0" borderId="51" xfId="0" applyFont="1" applyBorder="1"/>
    <xf numFmtId="0" fontId="4" fillId="41" borderId="18" xfId="0" applyFont="1" applyFill="1" applyBorder="1" applyProtection="1"/>
    <xf numFmtId="0" fontId="4" fillId="41" borderId="17" xfId="0" applyFont="1" applyFill="1" applyBorder="1" applyProtection="1"/>
    <xf numFmtId="0" fontId="4" fillId="41" borderId="27" xfId="0" applyFont="1" applyFill="1" applyBorder="1" applyProtection="1"/>
    <xf numFmtId="0" fontId="4" fillId="41" borderId="32" xfId="0" applyFont="1" applyFill="1" applyBorder="1" applyProtection="1"/>
    <xf numFmtId="0" fontId="4" fillId="41" borderId="29" xfId="0" applyFont="1" applyFill="1" applyBorder="1" applyProtection="1"/>
    <xf numFmtId="0" fontId="4" fillId="41" borderId="30" xfId="0" applyFont="1" applyFill="1" applyBorder="1" applyProtection="1"/>
    <xf numFmtId="5" fontId="4" fillId="0" borderId="12" xfId="0" applyNumberFormat="1" applyFont="1" applyBorder="1" applyProtection="1"/>
    <xf numFmtId="5" fontId="4" fillId="0" borderId="31" xfId="0" applyNumberFormat="1" applyFont="1" applyBorder="1" applyProtection="1"/>
    <xf numFmtId="5" fontId="4" fillId="0" borderId="40" xfId="0" applyNumberFormat="1" applyFont="1" applyBorder="1" applyProtection="1"/>
    <xf numFmtId="5" fontId="4" fillId="0" borderId="42" xfId="0" applyNumberFormat="1" applyFont="1" applyBorder="1" applyProtection="1"/>
    <xf numFmtId="37" fontId="4" fillId="0" borderId="42" xfId="0" applyNumberFormat="1" applyFont="1" applyBorder="1" applyProtection="1"/>
    <xf numFmtId="0" fontId="16" fillId="0" borderId="0" xfId="0" applyFont="1" applyProtection="1"/>
    <xf numFmtId="37" fontId="4" fillId="29" borderId="17" xfId="0" applyNumberFormat="1" applyFont="1" applyFill="1" applyBorder="1" applyAlignment="1" applyProtection="1">
      <alignment horizontal="center"/>
    </xf>
    <xf numFmtId="37" fontId="4" fillId="29" borderId="0" xfId="0" applyNumberFormat="1" applyFont="1" applyFill="1" applyAlignment="1" applyProtection="1">
      <alignment horizontal="centerContinuous"/>
    </xf>
    <xf numFmtId="37" fontId="4" fillId="29" borderId="18" xfId="0" applyNumberFormat="1" applyFont="1" applyFill="1" applyBorder="1" applyAlignment="1" applyProtection="1">
      <alignment horizontal="centerContinuous"/>
    </xf>
    <xf numFmtId="37" fontId="4" fillId="29" borderId="17" xfId="0" applyNumberFormat="1" applyFont="1" applyFill="1" applyBorder="1" applyAlignment="1" applyProtection="1">
      <alignment horizontal="centerContinuous"/>
    </xf>
    <xf numFmtId="37" fontId="4" fillId="29" borderId="18" xfId="0" applyNumberFormat="1" applyFont="1" applyFill="1" applyBorder="1" applyAlignment="1" applyProtection="1">
      <alignment horizontal="center"/>
    </xf>
    <xf numFmtId="37" fontId="4" fillId="29" borderId="18" xfId="0" applyNumberFormat="1" applyFont="1" applyFill="1" applyBorder="1" applyProtection="1"/>
    <xf numFmtId="37" fontId="4" fillId="29" borderId="17" xfId="0" applyNumberFormat="1" applyFont="1" applyFill="1" applyBorder="1" applyProtection="1"/>
    <xf numFmtId="37" fontId="4" fillId="29" borderId="0" xfId="0" applyNumberFormat="1" applyFont="1" applyFill="1" applyAlignment="1" applyProtection="1">
      <alignment horizontal="center"/>
    </xf>
    <xf numFmtId="37" fontId="4" fillId="29" borderId="21" xfId="0" applyNumberFormat="1" applyFont="1" applyFill="1" applyBorder="1" applyProtection="1"/>
    <xf numFmtId="37" fontId="4" fillId="29" borderId="19" xfId="0" applyNumberFormat="1" applyFont="1" applyFill="1" applyBorder="1" applyProtection="1"/>
    <xf numFmtId="37" fontId="4" fillId="29" borderId="22" xfId="0" applyNumberFormat="1" applyFont="1" applyFill="1" applyBorder="1" applyProtection="1"/>
    <xf numFmtId="0" fontId="47" fillId="29" borderId="14" xfId="0" applyFont="1" applyFill="1" applyBorder="1"/>
    <xf numFmtId="0" fontId="47" fillId="29" borderId="15" xfId="0" applyFont="1" applyFill="1" applyBorder="1"/>
    <xf numFmtId="0" fontId="47" fillId="29" borderId="16" xfId="0" applyFont="1" applyFill="1" applyBorder="1"/>
    <xf numFmtId="0" fontId="47" fillId="29" borderId="18" xfId="0" applyFont="1" applyFill="1" applyBorder="1" applyAlignment="1">
      <alignment horizontal="centerContinuous"/>
    </xf>
    <xf numFmtId="0" fontId="47" fillId="29" borderId="18" xfId="0" applyFont="1" applyFill="1" applyBorder="1"/>
    <xf numFmtId="0" fontId="0" fillId="0" borderId="17" xfId="0" applyBorder="1" applyAlignment="1">
      <alignment horizontal="right"/>
    </xf>
    <xf numFmtId="0" fontId="0" fillId="0" borderId="29" xfId="0" applyBorder="1"/>
    <xf numFmtId="0" fontId="47" fillId="29" borderId="32" xfId="0" applyFont="1" applyFill="1" applyBorder="1"/>
    <xf numFmtId="0" fontId="47" fillId="29" borderId="36" xfId="0" applyFont="1" applyFill="1" applyBorder="1"/>
    <xf numFmtId="0" fontId="47" fillId="29" borderId="26" xfId="0" applyFont="1" applyFill="1" applyBorder="1"/>
    <xf numFmtId="0" fontId="0" fillId="0" borderId="41" xfId="0" applyBorder="1" applyAlignment="1">
      <alignment horizontal="center"/>
    </xf>
    <xf numFmtId="0" fontId="8" fillId="0" borderId="0" xfId="0" applyFont="1" applyAlignment="1">
      <alignment horizontal="center"/>
    </xf>
    <xf numFmtId="5" fontId="47" fillId="29" borderId="18" xfId="0" applyNumberFormat="1" applyFont="1" applyFill="1" applyBorder="1" applyProtection="1"/>
    <xf numFmtId="5" fontId="0" fillId="0" borderId="35" xfId="0" applyNumberFormat="1" applyBorder="1" applyProtection="1"/>
    <xf numFmtId="37" fontId="0" fillId="0" borderId="12" xfId="0" applyNumberFormat="1" applyBorder="1" applyProtection="1"/>
    <xf numFmtId="37" fontId="47" fillId="29" borderId="32" xfId="0" applyNumberFormat="1" applyFont="1" applyFill="1" applyBorder="1" applyProtection="1"/>
    <xf numFmtId="5" fontId="47" fillId="29" borderId="67" xfId="0" applyNumberFormat="1" applyFont="1" applyFill="1" applyBorder="1" applyProtection="1"/>
    <xf numFmtId="5" fontId="47" fillId="29" borderId="68" xfId="0" applyNumberFormat="1" applyFont="1" applyFill="1" applyBorder="1" applyProtection="1"/>
    <xf numFmtId="5" fontId="47" fillId="29" borderId="69" xfId="0" applyNumberFormat="1" applyFont="1" applyFill="1" applyBorder="1" applyProtection="1"/>
    <xf numFmtId="37" fontId="47" fillId="29" borderId="18" xfId="0" applyNumberFormat="1" applyFont="1" applyFill="1" applyBorder="1" applyProtection="1"/>
    <xf numFmtId="0" fontId="0" fillId="0" borderId="50" xfId="0" applyBorder="1"/>
    <xf numFmtId="0" fontId="14" fillId="0" borderId="0" xfId="0" applyFont="1"/>
    <xf numFmtId="0" fontId="0" fillId="0" borderId="42" xfId="0" applyBorder="1" applyAlignment="1">
      <alignment horizontal="center"/>
    </xf>
    <xf numFmtId="0" fontId="4" fillId="0" borderId="27" xfId="0" applyFont="1" applyBorder="1" applyAlignment="1">
      <alignment horizontal="center"/>
    </xf>
    <xf numFmtId="0" fontId="4" fillId="0" borderId="21" xfId="0" applyFont="1" applyBorder="1"/>
    <xf numFmtId="0" fontId="0" fillId="0" borderId="25" xfId="0" applyBorder="1" applyAlignment="1" applyProtection="1">
      <alignment horizontal="center"/>
    </xf>
    <xf numFmtId="0" fontId="0" fillId="0" borderId="35" xfId="0" applyBorder="1" applyAlignment="1" applyProtection="1">
      <alignment horizontal="center"/>
    </xf>
    <xf numFmtId="0" fontId="0" fillId="0" borderId="28" xfId="0" applyBorder="1" applyAlignment="1" applyProtection="1">
      <alignment horizontal="center"/>
    </xf>
    <xf numFmtId="0" fontId="0" fillId="0" borderId="31" xfId="0" applyBorder="1" applyAlignment="1" applyProtection="1">
      <alignment horizontal="center"/>
    </xf>
    <xf numFmtId="0" fontId="0" fillId="0" borderId="0" xfId="0" applyAlignment="1" applyProtection="1">
      <alignment horizontal="center"/>
    </xf>
    <xf numFmtId="0" fontId="4" fillId="0" borderId="18" xfId="0" applyFont="1" applyBorder="1" applyAlignment="1">
      <alignment horizontal="center"/>
    </xf>
    <xf numFmtId="0" fontId="4" fillId="0" borderId="32" xfId="0" applyFont="1" applyBorder="1" applyAlignment="1">
      <alignment horizontal="center"/>
    </xf>
    <xf numFmtId="37" fontId="4" fillId="0" borderId="57" xfId="0" applyNumberFormat="1" applyFont="1" applyBorder="1" applyProtection="1"/>
    <xf numFmtId="0" fontId="4" fillId="0" borderId="22" xfId="0" applyFont="1" applyBorder="1" applyAlignment="1">
      <alignment horizontal="center"/>
    </xf>
    <xf numFmtId="0" fontId="0" fillId="0" borderId="27" xfId="0" applyBorder="1" applyAlignment="1">
      <alignment horizontal="center"/>
    </xf>
    <xf numFmtId="0" fontId="0" fillId="0" borderId="18" xfId="0" applyBorder="1" applyAlignment="1">
      <alignment horizontal="center"/>
    </xf>
    <xf numFmtId="0" fontId="5" fillId="0" borderId="27" xfId="0" applyFont="1" applyBorder="1" applyAlignment="1">
      <alignment horizontal="center"/>
    </xf>
    <xf numFmtId="5" fontId="4" fillId="0" borderId="70" xfId="0" applyNumberFormat="1" applyFont="1" applyBorder="1" applyProtection="1"/>
    <xf numFmtId="0" fontId="4" fillId="0" borderId="12" xfId="0" applyFont="1" applyBorder="1" applyAlignment="1" applyProtection="1">
      <alignment horizontal="left"/>
    </xf>
    <xf numFmtId="0" fontId="0" fillId="0" borderId="38" xfId="0" applyBorder="1" applyAlignment="1" applyProtection="1">
      <alignment horizontal="center"/>
    </xf>
    <xf numFmtId="0" fontId="0" fillId="0" borderId="40" xfId="0" applyBorder="1" applyAlignment="1" applyProtection="1">
      <alignment horizontal="center"/>
    </xf>
    <xf numFmtId="0" fontId="0" fillId="0" borderId="17" xfId="0" applyBorder="1" applyAlignment="1" applyProtection="1">
      <alignment horizontal="center"/>
    </xf>
    <xf numFmtId="0" fontId="0" fillId="0" borderId="36" xfId="0" applyBorder="1" applyAlignment="1" applyProtection="1">
      <alignment horizontal="center"/>
    </xf>
    <xf numFmtId="0" fontId="47" fillId="29" borderId="38" xfId="0" applyFont="1" applyFill="1" applyBorder="1" applyAlignment="1" applyProtection="1">
      <alignment horizontal="center"/>
    </xf>
    <xf numFmtId="0" fontId="47" fillId="29" borderId="36" xfId="0" applyFont="1" applyFill="1" applyBorder="1" applyAlignment="1" applyProtection="1">
      <alignment horizontal="center"/>
    </xf>
    <xf numFmtId="0" fontId="47" fillId="29" borderId="41" xfId="0" applyFont="1" applyFill="1" applyBorder="1" applyAlignment="1" applyProtection="1">
      <alignment horizontal="center"/>
    </xf>
    <xf numFmtId="0" fontId="0" fillId="0" borderId="39" xfId="0" applyBorder="1" applyAlignment="1">
      <alignment horizontal="center"/>
    </xf>
    <xf numFmtId="0" fontId="0" fillId="0" borderId="30" xfId="0" applyBorder="1" applyAlignment="1">
      <alignment horizontal="center"/>
    </xf>
    <xf numFmtId="0" fontId="0" fillId="0" borderId="53" xfId="0" applyBorder="1" applyAlignment="1">
      <alignment horizontal="center"/>
    </xf>
    <xf numFmtId="0" fontId="0" fillId="0" borderId="12" xfId="0" applyBorder="1" applyAlignment="1">
      <alignment horizontal="center"/>
    </xf>
    <xf numFmtId="0" fontId="0" fillId="0" borderId="40" xfId="0" applyBorder="1" applyAlignment="1">
      <alignment horizontal="center"/>
    </xf>
    <xf numFmtId="0" fontId="0" fillId="0" borderId="0" xfId="0" applyAlignment="1" applyProtection="1">
      <alignment horizontal="left"/>
    </xf>
    <xf numFmtId="0" fontId="15" fillId="30" borderId="0" xfId="0" applyFont="1" applyFill="1" applyAlignment="1">
      <alignment horizontal="center"/>
    </xf>
    <xf numFmtId="0" fontId="22" fillId="33" borderId="0" xfId="0" applyFont="1" applyFill="1" applyAlignment="1" applyProtection="1">
      <alignment horizontal="center"/>
      <protection locked="0"/>
    </xf>
    <xf numFmtId="0" fontId="24" fillId="31" borderId="0" xfId="0" applyFont="1" applyFill="1" applyAlignment="1">
      <alignment horizontal="center"/>
    </xf>
    <xf numFmtId="0" fontId="4" fillId="0" borderId="24" xfId="0" applyFont="1" applyBorder="1" applyAlignment="1" applyProtection="1">
      <alignment horizontal="center"/>
    </xf>
    <xf numFmtId="0" fontId="4" fillId="0" borderId="25" xfId="0" applyFont="1" applyBorder="1" applyAlignment="1" applyProtection="1">
      <alignment horizontal="center"/>
    </xf>
    <xf numFmtId="0" fontId="4" fillId="0" borderId="12" xfId="0" applyFont="1" applyBorder="1" applyAlignment="1" applyProtection="1">
      <alignment horizontal="center"/>
    </xf>
    <xf numFmtId="0" fontId="4" fillId="0" borderId="31" xfId="0" applyFont="1" applyBorder="1" applyAlignment="1" applyProtection="1">
      <alignment horizontal="center"/>
    </xf>
    <xf numFmtId="164" fontId="4" fillId="0" borderId="0" xfId="0" applyNumberFormat="1" applyFont="1" applyAlignment="1" applyProtection="1">
      <alignment horizontal="center"/>
    </xf>
    <xf numFmtId="0" fontId="4" fillId="0" borderId="26" xfId="0" applyFont="1" applyBorder="1" applyAlignment="1" applyProtection="1">
      <alignment horizontal="center"/>
    </xf>
    <xf numFmtId="0" fontId="47" fillId="0" borderId="27" xfId="0" applyFont="1" applyBorder="1" applyAlignment="1" applyProtection="1">
      <alignment horizontal="center"/>
    </xf>
    <xf numFmtId="0" fontId="28" fillId="0" borderId="27" xfId="0" applyFont="1" applyBorder="1" applyAlignment="1" applyProtection="1">
      <alignment horizontal="center"/>
      <protection locked="0"/>
    </xf>
    <xf numFmtId="0" fontId="4" fillId="0" borderId="30" xfId="0" applyFont="1" applyBorder="1" applyAlignment="1">
      <alignment horizontal="center"/>
    </xf>
    <xf numFmtId="0" fontId="28" fillId="0" borderId="30" xfId="0" applyFont="1" applyBorder="1" applyAlignment="1" applyProtection="1">
      <alignment horizontal="center"/>
      <protection locked="0"/>
    </xf>
    <xf numFmtId="0" fontId="0" fillId="0" borderId="32" xfId="0" applyBorder="1" applyAlignment="1">
      <alignment horizontal="center"/>
    </xf>
    <xf numFmtId="0" fontId="0" fillId="0" borderId="33" xfId="0" applyBorder="1" applyAlignment="1">
      <alignment horizontal="center"/>
    </xf>
    <xf numFmtId="37" fontId="47" fillId="0" borderId="35" xfId="0" applyNumberFormat="1" applyFont="1" applyBorder="1" applyAlignment="1" applyProtection="1">
      <alignment horizontal="center"/>
    </xf>
    <xf numFmtId="37" fontId="47" fillId="0" borderId="39" xfId="0" applyNumberFormat="1" applyFont="1" applyBorder="1" applyAlignment="1" applyProtection="1">
      <alignment horizontal="center"/>
    </xf>
    <xf numFmtId="37" fontId="47" fillId="0" borderId="40" xfId="0" applyNumberFormat="1" applyFont="1" applyBorder="1" applyAlignment="1" applyProtection="1">
      <alignment horizontal="center"/>
    </xf>
    <xf numFmtId="0" fontId="47" fillId="0" borderId="30" xfId="0" applyFont="1" applyBorder="1" applyAlignment="1" applyProtection="1">
      <alignment horizontal="center"/>
    </xf>
    <xf numFmtId="37" fontId="47" fillId="0" borderId="31" xfId="0" applyNumberFormat="1" applyFont="1" applyBorder="1" applyAlignment="1" applyProtection="1">
      <alignment horizontal="center"/>
    </xf>
    <xf numFmtId="37" fontId="47" fillId="0" borderId="36" xfId="0" applyNumberFormat="1" applyFont="1" applyBorder="1" applyAlignment="1" applyProtection="1">
      <alignment horizontal="center"/>
    </xf>
    <xf numFmtId="0" fontId="47" fillId="0" borderId="50" xfId="0" applyFont="1" applyBorder="1" applyAlignment="1" applyProtection="1">
      <alignment horizontal="center"/>
    </xf>
    <xf numFmtId="0" fontId="4" fillId="0" borderId="30" xfId="0" applyFont="1" applyBorder="1" applyAlignment="1" applyProtection="1">
      <alignment horizontal="center"/>
    </xf>
    <xf numFmtId="0" fontId="4" fillId="0" borderId="59" xfId="0" applyFont="1" applyBorder="1" applyAlignment="1" applyProtection="1">
      <alignment horizontal="center"/>
    </xf>
    <xf numFmtId="0" fontId="47" fillId="29" borderId="40" xfId="0" applyFont="1" applyFill="1" applyBorder="1" applyAlignment="1" applyProtection="1">
      <alignment horizontal="center"/>
    </xf>
    <xf numFmtId="0" fontId="0" fillId="0" borderId="51" xfId="0" applyBorder="1" applyAlignment="1" applyProtection="1">
      <alignment horizontal="center"/>
    </xf>
    <xf numFmtId="0" fontId="0" fillId="0" borderId="54" xfId="0" applyBorder="1" applyAlignment="1" applyProtection="1">
      <alignment horizontal="center"/>
    </xf>
    <xf numFmtId="0" fontId="4" fillId="0" borderId="28" xfId="0" applyFont="1" applyBorder="1" applyAlignment="1">
      <alignment horizontal="center"/>
    </xf>
    <xf numFmtId="0" fontId="4" fillId="0" borderId="36" xfId="0" applyFont="1" applyBorder="1" applyAlignment="1">
      <alignment horizontal="center"/>
    </xf>
    <xf numFmtId="0" fontId="4" fillId="0" borderId="56" xfId="0" applyFont="1" applyBorder="1" applyAlignment="1">
      <alignment horizontal="right"/>
    </xf>
    <xf numFmtId="0" fontId="4" fillId="0" borderId="12" xfId="0" applyFont="1" applyBorder="1" applyAlignment="1">
      <alignment horizontal="center"/>
    </xf>
    <xf numFmtId="0" fontId="4" fillId="0" borderId="25" xfId="0" applyFont="1" applyBorder="1" applyAlignment="1">
      <alignment horizontal="center"/>
    </xf>
    <xf numFmtId="0" fontId="4" fillId="0" borderId="38" xfId="0" applyFont="1" applyBorder="1" applyAlignment="1">
      <alignment horizontal="center"/>
    </xf>
    <xf numFmtId="0" fontId="4" fillId="0" borderId="31" xfId="0" applyFont="1" applyBorder="1" applyAlignment="1">
      <alignment horizontal="center"/>
    </xf>
    <xf numFmtId="0" fontId="4" fillId="0" borderId="39" xfId="0" applyFont="1" applyBorder="1" applyAlignment="1">
      <alignment horizontal="center"/>
    </xf>
    <xf numFmtId="0" fontId="52" fillId="0" borderId="35" xfId="0" applyFont="1" applyBorder="1" applyAlignment="1" applyProtection="1">
      <alignment horizontal="center"/>
    </xf>
    <xf numFmtId="0" fontId="52" fillId="0" borderId="39" xfId="0" applyFont="1" applyBorder="1" applyAlignment="1" applyProtection="1">
      <alignment horizontal="center"/>
    </xf>
    <xf numFmtId="0" fontId="4" fillId="0" borderId="37" xfId="0" applyFont="1" applyBorder="1" applyAlignment="1" applyProtection="1">
      <alignment horizontal="center"/>
    </xf>
    <xf numFmtId="0" fontId="47" fillId="29" borderId="12" xfId="0" applyFont="1" applyFill="1" applyBorder="1" applyAlignment="1" applyProtection="1">
      <alignment horizontal="center"/>
    </xf>
    <xf numFmtId="0" fontId="0" fillId="0" borderId="35" xfId="0" applyBorder="1" applyAlignment="1">
      <alignment horizontal="center"/>
    </xf>
    <xf numFmtId="0" fontId="0" fillId="0" borderId="28" xfId="0" applyBorder="1" applyAlignment="1">
      <alignment horizontal="center"/>
    </xf>
    <xf numFmtId="0" fontId="0" fillId="0" borderId="36" xfId="0" applyBorder="1" applyAlignment="1">
      <alignment horizontal="center"/>
    </xf>
    <xf numFmtId="0" fontId="0" fillId="0" borderId="31" xfId="0" applyBorder="1" applyAlignment="1">
      <alignment horizontal="center"/>
    </xf>
    <xf numFmtId="0" fontId="0" fillId="0" borderId="25" xfId="0" applyBorder="1" applyAlignment="1">
      <alignment horizontal="right"/>
    </xf>
    <xf numFmtId="0" fontId="4" fillId="0" borderId="6" xfId="0" applyFont="1" applyBorder="1" applyAlignment="1" applyProtection="1">
      <alignment horizontal="center"/>
    </xf>
    <xf numFmtId="0" fontId="4" fillId="0" borderId="71" xfId="0" applyFont="1" applyBorder="1" applyAlignment="1" applyProtection="1">
      <alignment horizontal="center"/>
    </xf>
    <xf numFmtId="0" fontId="4" fillId="0" borderId="28" xfId="0" applyFont="1" applyBorder="1" applyAlignment="1" applyProtection="1">
      <alignment horizontal="right"/>
    </xf>
    <xf numFmtId="0" fontId="4" fillId="0" borderId="34" xfId="0" applyFont="1" applyBorder="1" applyAlignment="1" applyProtection="1">
      <alignment horizontal="right"/>
    </xf>
    <xf numFmtId="0" fontId="0" fillId="0" borderId="37" xfId="0" applyBorder="1" applyAlignment="1">
      <alignment horizontal="center"/>
    </xf>
    <xf numFmtId="0" fontId="0" fillId="0" borderId="25" xfId="0" applyBorder="1" applyAlignment="1">
      <alignment horizontal="center"/>
    </xf>
    <xf numFmtId="0" fontId="0" fillId="0" borderId="24" xfId="0" applyBorder="1" applyAlignment="1">
      <alignment horizontal="center"/>
    </xf>
    <xf numFmtId="0" fontId="47" fillId="29" borderId="26" xfId="0" applyFont="1" applyFill="1" applyBorder="1" applyAlignment="1">
      <alignment horizontal="center"/>
    </xf>
    <xf numFmtId="0" fontId="47" fillId="29" borderId="32" xfId="0" applyFont="1" applyFill="1" applyBorder="1" applyAlignment="1">
      <alignment horizontal="center"/>
    </xf>
    <xf numFmtId="0" fontId="4" fillId="0" borderId="0" xfId="0" applyFont="1" applyBorder="1" applyProtection="1"/>
    <xf numFmtId="0" fontId="4" fillId="0" borderId="0" xfId="0" applyFont="1" applyBorder="1"/>
    <xf numFmtId="0" fontId="4" fillId="0" borderId="0" xfId="0" applyFont="1" applyBorder="1" applyAlignment="1"/>
    <xf numFmtId="0" fontId="0" fillId="0" borderId="0" xfId="0" quotePrefix="1" applyAlignment="1" applyProtection="1">
      <alignment horizontal="left"/>
    </xf>
    <xf numFmtId="0" fontId="0" fillId="0" borderId="0" xfId="0" applyAlignment="1">
      <alignment horizontal="left"/>
    </xf>
    <xf numFmtId="0" fontId="47" fillId="0" borderId="12" xfId="0" applyFont="1" applyBorder="1" applyAlignment="1" applyProtection="1">
      <alignment horizontal="left"/>
    </xf>
    <xf numFmtId="0" fontId="47" fillId="0" borderId="0" xfId="0" applyFont="1" applyAlignment="1" applyProtection="1"/>
    <xf numFmtId="0" fontId="47" fillId="0" borderId="12" xfId="0" applyFont="1" applyBorder="1" applyAlignment="1" applyProtection="1"/>
    <xf numFmtId="0" fontId="47" fillId="0" borderId="39" xfId="0" applyFont="1" applyBorder="1" applyAlignment="1" applyProtection="1">
      <alignment horizontal="left"/>
    </xf>
    <xf numFmtId="0" fontId="58" fillId="0" borderId="0" xfId="0" applyFont="1" applyAlignment="1" applyProtection="1"/>
    <xf numFmtId="0" fontId="58" fillId="0" borderId="0" xfId="0" applyFont="1" applyAlignment="1" applyProtection="1">
      <alignment horizontal="centerContinuous"/>
    </xf>
    <xf numFmtId="0" fontId="58" fillId="0" borderId="0" xfId="0" applyFont="1" applyAlignment="1" applyProtection="1">
      <alignment horizontal="left"/>
    </xf>
    <xf numFmtId="0" fontId="58" fillId="0" borderId="0" xfId="0" applyFont="1" applyProtection="1"/>
    <xf numFmtId="0" fontId="58" fillId="0" borderId="12" xfId="0" applyFont="1" applyBorder="1" applyAlignment="1" applyProtection="1">
      <alignment horizontal="left"/>
    </xf>
    <xf numFmtId="0" fontId="58" fillId="0" borderId="12" xfId="0" applyFont="1" applyBorder="1" applyProtection="1"/>
    <xf numFmtId="0" fontId="58" fillId="0" borderId="12" xfId="0" applyFont="1" applyBorder="1" applyAlignment="1" applyProtection="1">
      <alignment horizontal="centerContinuous"/>
    </xf>
    <xf numFmtId="0" fontId="58" fillId="0" borderId="27" xfId="0" applyFont="1" applyBorder="1" applyProtection="1"/>
    <xf numFmtId="0" fontId="58" fillId="0" borderId="27" xfId="0" applyFont="1" applyBorder="1" applyAlignment="1" applyProtection="1">
      <alignment horizontal="centerContinuous"/>
    </xf>
    <xf numFmtId="0" fontId="58" fillId="0" borderId="18" xfId="0" applyFont="1" applyBorder="1" applyAlignment="1" applyProtection="1">
      <alignment horizontal="left"/>
    </xf>
    <xf numFmtId="0" fontId="58" fillId="0" borderId="18" xfId="0" applyFont="1" applyBorder="1" applyProtection="1"/>
    <xf numFmtId="0" fontId="58" fillId="0" borderId="30" xfId="0" applyFont="1" applyBorder="1" applyProtection="1"/>
    <xf numFmtId="0" fontId="58" fillId="0" borderId="32" xfId="0" applyFont="1" applyBorder="1" applyProtection="1"/>
    <xf numFmtId="0" fontId="49" fillId="0" borderId="0" xfId="0" applyFont="1" applyAlignment="1" applyProtection="1">
      <alignment horizontal="left"/>
    </xf>
    <xf numFmtId="0" fontId="49" fillId="0" borderId="12" xfId="0" applyFont="1" applyBorder="1" applyAlignment="1" applyProtection="1">
      <alignment horizontal="left"/>
    </xf>
    <xf numFmtId="0" fontId="49" fillId="0" borderId="0" xfId="0" applyFont="1" applyAlignment="1" applyProtection="1"/>
    <xf numFmtId="165" fontId="4" fillId="0" borderId="12" xfId="0" applyNumberFormat="1" applyFont="1" applyBorder="1" applyAlignment="1" applyProtection="1">
      <alignment horizontal="center"/>
    </xf>
    <xf numFmtId="0" fontId="47" fillId="0" borderId="59" xfId="0" applyFont="1" applyBorder="1" applyAlignment="1" applyProtection="1">
      <alignment horizontal="left"/>
    </xf>
    <xf numFmtId="39" fontId="47" fillId="43" borderId="40" xfId="0" applyNumberFormat="1" applyFont="1" applyFill="1" applyBorder="1" applyAlignment="1" applyProtection="1">
      <alignment horizontal="centerContinuous"/>
    </xf>
    <xf numFmtId="37" fontId="47" fillId="43" borderId="40" xfId="0" applyNumberFormat="1" applyFont="1" applyFill="1" applyBorder="1" applyAlignment="1" applyProtection="1">
      <alignment horizontal="centerContinuous"/>
    </xf>
    <xf numFmtId="0" fontId="52" fillId="0" borderId="17" xfId="0" applyFont="1" applyBorder="1" applyAlignment="1" applyProtection="1">
      <alignment horizontal="left"/>
    </xf>
    <xf numFmtId="37" fontId="4" fillId="44" borderId="37" xfId="0" applyNumberFormat="1" applyFont="1" applyFill="1" applyBorder="1" applyProtection="1"/>
    <xf numFmtId="0" fontId="4" fillId="44" borderId="36" xfId="0" applyFont="1" applyFill="1" applyBorder="1" applyProtection="1"/>
    <xf numFmtId="0" fontId="4" fillId="44" borderId="39" xfId="0" applyFont="1" applyFill="1" applyBorder="1" applyProtection="1"/>
    <xf numFmtId="37" fontId="4" fillId="44" borderId="35" xfId="0" applyNumberFormat="1" applyFont="1" applyFill="1" applyBorder="1" applyProtection="1"/>
    <xf numFmtId="5" fontId="28" fillId="44" borderId="36" xfId="0" applyNumberFormat="1" applyFont="1" applyFill="1" applyBorder="1" applyProtection="1">
      <protection locked="0"/>
    </xf>
    <xf numFmtId="37" fontId="4" fillId="44" borderId="53" xfId="0" applyNumberFormat="1" applyFont="1" applyFill="1" applyBorder="1" applyProtection="1"/>
    <xf numFmtId="0" fontId="28" fillId="44" borderId="36" xfId="0" applyFont="1" applyFill="1" applyBorder="1" applyProtection="1">
      <protection locked="0"/>
    </xf>
    <xf numFmtId="37" fontId="4" fillId="44" borderId="36" xfId="0" applyNumberFormat="1" applyFont="1" applyFill="1" applyBorder="1" applyProtection="1"/>
    <xf numFmtId="5" fontId="4" fillId="44" borderId="36" xfId="0" applyNumberFormat="1" applyFont="1" applyFill="1" applyBorder="1" applyProtection="1"/>
    <xf numFmtId="0" fontId="4" fillId="44" borderId="44" xfId="0" applyFont="1" applyFill="1" applyBorder="1" applyProtection="1"/>
    <xf numFmtId="37" fontId="28" fillId="0" borderId="35" xfId="0" applyNumberFormat="1" applyFont="1" applyBorder="1" applyProtection="1">
      <protection locked="0"/>
    </xf>
    <xf numFmtId="0" fontId="4" fillId="0" borderId="18" xfId="0" applyFont="1" applyFill="1" applyBorder="1" applyAlignment="1">
      <alignment horizontal="center"/>
    </xf>
    <xf numFmtId="5" fontId="28" fillId="0" borderId="18" xfId="0" applyNumberFormat="1" applyFont="1" applyFill="1" applyBorder="1" applyProtection="1">
      <protection locked="0"/>
    </xf>
    <xf numFmtId="37" fontId="28" fillId="0" borderId="18" xfId="0" applyNumberFormat="1" applyFont="1" applyFill="1" applyBorder="1" applyProtection="1">
      <protection locked="0"/>
    </xf>
    <xf numFmtId="0" fontId="4" fillId="0" borderId="18" xfId="0" applyFont="1" applyFill="1" applyBorder="1"/>
    <xf numFmtId="0" fontId="4" fillId="0" borderId="51" xfId="0" applyFont="1" applyBorder="1" applyAlignment="1">
      <alignment horizontal="right"/>
    </xf>
    <xf numFmtId="5" fontId="28" fillId="0" borderId="35" xfId="0" applyNumberFormat="1" applyFont="1" applyBorder="1" applyProtection="1">
      <protection locked="0"/>
    </xf>
    <xf numFmtId="5" fontId="28" fillId="0" borderId="18" xfId="0" applyNumberFormat="1" applyFont="1" applyBorder="1" applyProtection="1">
      <protection locked="0"/>
    </xf>
    <xf numFmtId="0" fontId="4" fillId="0" borderId="72" xfId="0" applyFont="1" applyBorder="1"/>
    <xf numFmtId="0" fontId="0" fillId="0" borderId="16" xfId="0" applyFill="1" applyBorder="1"/>
    <xf numFmtId="0" fontId="4" fillId="0" borderId="16" xfId="0" applyFont="1" applyBorder="1" applyAlignment="1">
      <alignment horizontal="center"/>
    </xf>
    <xf numFmtId="0" fontId="4" fillId="0" borderId="34" xfId="0" applyFont="1" applyBorder="1" applyAlignment="1">
      <alignment horizontal="center"/>
    </xf>
    <xf numFmtId="0" fontId="4" fillId="0" borderId="49" xfId="0" applyFont="1" applyBorder="1" applyAlignment="1">
      <alignment horizontal="center"/>
    </xf>
    <xf numFmtId="0" fontId="4" fillId="0" borderId="22" xfId="0" applyFont="1" applyFill="1" applyBorder="1" applyAlignment="1">
      <alignment horizontal="center"/>
    </xf>
    <xf numFmtId="0" fontId="4" fillId="44" borderId="51" xfId="0" applyFont="1" applyFill="1" applyBorder="1"/>
    <xf numFmtId="0" fontId="4" fillId="0" borderId="73" xfId="0" applyFont="1" applyBorder="1" applyAlignment="1">
      <alignment horizontal="center"/>
    </xf>
    <xf numFmtId="0" fontId="4" fillId="44" borderId="53" xfId="0" applyFont="1" applyFill="1" applyBorder="1"/>
    <xf numFmtId="0" fontId="4" fillId="0" borderId="74" xfId="0" applyFont="1" applyBorder="1"/>
    <xf numFmtId="0" fontId="4" fillId="0" borderId="65" xfId="0" applyFont="1" applyBorder="1" applyAlignment="1">
      <alignment horizontal="center"/>
    </xf>
    <xf numFmtId="0" fontId="4" fillId="0" borderId="66" xfId="0" applyFont="1" applyBorder="1" applyAlignment="1">
      <alignment horizontal="center"/>
    </xf>
    <xf numFmtId="5" fontId="28" fillId="0" borderId="74" xfId="0" applyNumberFormat="1" applyFont="1" applyBorder="1" applyProtection="1">
      <protection locked="0"/>
    </xf>
    <xf numFmtId="37" fontId="28" fillId="0" borderId="65" xfId="0" applyNumberFormat="1" applyFont="1" applyBorder="1" applyProtection="1">
      <protection locked="0"/>
    </xf>
    <xf numFmtId="37" fontId="28" fillId="0" borderId="66" xfId="0" applyNumberFormat="1" applyFont="1" applyBorder="1" applyProtection="1">
      <protection locked="0"/>
    </xf>
    <xf numFmtId="5" fontId="4" fillId="0" borderId="75" xfId="0" applyNumberFormat="1" applyFont="1" applyBorder="1" applyProtection="1"/>
    <xf numFmtId="37" fontId="28" fillId="0" borderId="74" xfId="0" applyNumberFormat="1" applyFont="1" applyBorder="1" applyProtection="1">
      <protection locked="0"/>
    </xf>
    <xf numFmtId="5" fontId="4" fillId="0" borderId="75" xfId="0" applyNumberFormat="1" applyFont="1" applyFill="1" applyBorder="1" applyProtection="1"/>
    <xf numFmtId="37" fontId="28" fillId="0" borderId="74" xfId="0" applyNumberFormat="1" applyFont="1" applyFill="1" applyBorder="1" applyProtection="1">
      <protection locked="0"/>
    </xf>
    <xf numFmtId="37" fontId="28" fillId="0" borderId="65" xfId="0" applyNumberFormat="1" applyFont="1" applyFill="1" applyBorder="1" applyProtection="1">
      <protection locked="0"/>
    </xf>
    <xf numFmtId="37" fontId="28" fillId="0" borderId="66" xfId="0" applyNumberFormat="1" applyFont="1" applyFill="1" applyBorder="1" applyProtection="1">
      <protection locked="0"/>
    </xf>
    <xf numFmtId="0" fontId="4" fillId="44" borderId="56" xfId="0" applyFont="1" applyFill="1" applyBorder="1"/>
    <xf numFmtId="0" fontId="4" fillId="44" borderId="61" xfId="0" applyFont="1" applyFill="1" applyBorder="1"/>
    <xf numFmtId="0" fontId="4" fillId="44" borderId="57" xfId="0" applyFont="1" applyFill="1" applyBorder="1"/>
    <xf numFmtId="0" fontId="4" fillId="44" borderId="53" xfId="0" applyFont="1" applyFill="1" applyBorder="1" applyProtection="1"/>
    <xf numFmtId="0" fontId="4" fillId="44" borderId="46" xfId="0" applyFont="1" applyFill="1" applyBorder="1" applyProtection="1"/>
    <xf numFmtId="37" fontId="4" fillId="44" borderId="46" xfId="0" applyNumberFormat="1" applyFont="1" applyFill="1" applyBorder="1" applyProtection="1"/>
    <xf numFmtId="0" fontId="52" fillId="0" borderId="0" xfId="0" applyFont="1" applyAlignment="1" applyProtection="1">
      <alignment horizontal="left"/>
    </xf>
    <xf numFmtId="37" fontId="4" fillId="45" borderId="35" xfId="0" applyNumberFormat="1" applyFont="1" applyFill="1" applyBorder="1" applyProtection="1"/>
    <xf numFmtId="37" fontId="4" fillId="45" borderId="28" xfId="0" applyNumberFormat="1" applyFont="1" applyFill="1" applyBorder="1" applyProtection="1"/>
    <xf numFmtId="37" fontId="4" fillId="45" borderId="18" xfId="0" applyNumberFormat="1" applyFont="1" applyFill="1" applyBorder="1" applyProtection="1"/>
    <xf numFmtId="37" fontId="4" fillId="45" borderId="17" xfId="0" applyNumberFormat="1" applyFont="1" applyFill="1" applyBorder="1" applyProtection="1"/>
    <xf numFmtId="37" fontId="4" fillId="45" borderId="0" xfId="0" applyNumberFormat="1" applyFont="1" applyFill="1" applyProtection="1"/>
    <xf numFmtId="5" fontId="4" fillId="45" borderId="35" xfId="0" applyNumberFormat="1" applyFont="1" applyFill="1" applyBorder="1" applyProtection="1"/>
    <xf numFmtId="0" fontId="4" fillId="44" borderId="35" xfId="0" applyFont="1" applyFill="1" applyBorder="1" applyProtection="1"/>
    <xf numFmtId="37" fontId="4" fillId="44" borderId="28" xfId="0" applyNumberFormat="1" applyFont="1" applyFill="1" applyBorder="1" applyProtection="1"/>
    <xf numFmtId="39" fontId="4" fillId="44" borderId="18" xfId="0" applyNumberFormat="1" applyFont="1" applyFill="1" applyBorder="1" applyProtection="1"/>
    <xf numFmtId="37" fontId="4" fillId="44" borderId="17" xfId="0" applyNumberFormat="1" applyFont="1" applyFill="1" applyBorder="1" applyProtection="1"/>
    <xf numFmtId="37" fontId="4" fillId="44" borderId="0" xfId="0" applyNumberFormat="1" applyFont="1" applyFill="1" applyProtection="1"/>
    <xf numFmtId="39" fontId="4" fillId="45" borderId="18" xfId="0" applyNumberFormat="1" applyFont="1" applyFill="1" applyBorder="1" applyProtection="1"/>
    <xf numFmtId="0" fontId="4" fillId="44" borderId="49" xfId="0" applyFont="1" applyFill="1" applyBorder="1" applyProtection="1"/>
    <xf numFmtId="39" fontId="4" fillId="44" borderId="34" xfId="0" applyNumberFormat="1" applyFont="1" applyFill="1" applyBorder="1" applyProtection="1"/>
    <xf numFmtId="39" fontId="4" fillId="44" borderId="22" xfId="0" applyNumberFormat="1" applyFont="1" applyFill="1" applyBorder="1" applyProtection="1"/>
    <xf numFmtId="0" fontId="4" fillId="44" borderId="21" xfId="0" applyFont="1" applyFill="1" applyBorder="1" applyProtection="1"/>
    <xf numFmtId="0" fontId="4" fillId="44" borderId="19" xfId="0" applyFont="1" applyFill="1" applyBorder="1" applyProtection="1"/>
    <xf numFmtId="0" fontId="4" fillId="0" borderId="23" xfId="0" applyFont="1" applyBorder="1" applyAlignment="1" applyProtection="1">
      <alignment horizontal="left"/>
    </xf>
    <xf numFmtId="0" fontId="4" fillId="0" borderId="24" xfId="0" applyFont="1" applyBorder="1" applyAlignment="1" applyProtection="1">
      <alignment horizontal="left"/>
    </xf>
    <xf numFmtId="0" fontId="4" fillId="0" borderId="17" xfId="0" applyFont="1" applyBorder="1" applyAlignment="1" applyProtection="1">
      <alignment horizontal="left"/>
    </xf>
    <xf numFmtId="0" fontId="4" fillId="0" borderId="29" xfId="0" applyFont="1" applyBorder="1" applyAlignment="1" applyProtection="1">
      <alignment horizontal="left"/>
    </xf>
    <xf numFmtId="0" fontId="4" fillId="0" borderId="19" xfId="0" applyFont="1" applyBorder="1" applyAlignment="1" applyProtection="1">
      <alignment horizontal="center"/>
    </xf>
    <xf numFmtId="0" fontId="4" fillId="0" borderId="53" xfId="0" applyFont="1" applyBorder="1" applyAlignment="1" applyProtection="1">
      <alignment horizontal="center"/>
    </xf>
    <xf numFmtId="0" fontId="4" fillId="0" borderId="59" xfId="0" applyFont="1" applyBorder="1" applyAlignment="1">
      <alignment horizontal="center"/>
    </xf>
    <xf numFmtId="0" fontId="56" fillId="0" borderId="0" xfId="0" applyFont="1" applyProtection="1">
      <protection locked="0"/>
    </xf>
    <xf numFmtId="0" fontId="4" fillId="46" borderId="35" xfId="0" applyFont="1" applyFill="1" applyBorder="1"/>
    <xf numFmtId="0" fontId="4" fillId="46" borderId="36" xfId="0" applyFont="1" applyFill="1" applyBorder="1"/>
    <xf numFmtId="37" fontId="4" fillId="46" borderId="35" xfId="0" applyNumberFormat="1" applyFont="1" applyFill="1" applyBorder="1" applyProtection="1"/>
    <xf numFmtId="37" fontId="4" fillId="46" borderId="36" xfId="0" applyNumberFormat="1" applyFont="1" applyFill="1" applyBorder="1" applyProtection="1"/>
    <xf numFmtId="0" fontId="0" fillId="0" borderId="0" xfId="0" applyBorder="1"/>
    <xf numFmtId="0" fontId="0" fillId="0" borderId="10" xfId="0" applyBorder="1"/>
    <xf numFmtId="0" fontId="0" fillId="0" borderId="76" xfId="0" applyBorder="1"/>
    <xf numFmtId="0" fontId="0" fillId="0" borderId="77" xfId="0" applyBorder="1"/>
    <xf numFmtId="0" fontId="0" fillId="0" borderId="78" xfId="0" applyBorder="1"/>
    <xf numFmtId="0" fontId="5" fillId="0" borderId="79" xfId="0" applyFont="1" applyBorder="1" applyAlignment="1">
      <alignment horizontal="centerContinuous"/>
    </xf>
    <xf numFmtId="0" fontId="0" fillId="0" borderId="80" xfId="0" applyBorder="1"/>
    <xf numFmtId="0" fontId="14" fillId="0" borderId="79" xfId="0" applyFont="1" applyBorder="1"/>
    <xf numFmtId="0" fontId="4" fillId="0" borderId="0" xfId="0" applyFont="1" applyBorder="1" applyAlignment="1">
      <alignment horizontal="left" vertical="center" wrapText="1"/>
    </xf>
    <xf numFmtId="0" fontId="4" fillId="0" borderId="79" xfId="0" applyFont="1" applyBorder="1" applyAlignment="1">
      <alignment vertical="top"/>
    </xf>
    <xf numFmtId="0" fontId="4" fillId="0" borderId="79" xfId="0" applyFont="1" applyBorder="1"/>
    <xf numFmtId="0" fontId="0" fillId="0" borderId="79" xfId="0" applyBorder="1"/>
    <xf numFmtId="0" fontId="0" fillId="0" borderId="81" xfId="0" applyBorder="1"/>
    <xf numFmtId="0" fontId="0" fillId="0" borderId="82" xfId="0" applyBorder="1"/>
    <xf numFmtId="0" fontId="28" fillId="0" borderId="25" xfId="0" applyFont="1" applyBorder="1" applyAlignment="1" applyProtection="1">
      <alignment horizontal="right"/>
      <protection locked="0"/>
    </xf>
    <xf numFmtId="0" fontId="4" fillId="0" borderId="28" xfId="0" applyFont="1" applyBorder="1" applyAlignment="1">
      <alignment horizontal="right"/>
    </xf>
    <xf numFmtId="0" fontId="28" fillId="0" borderId="28" xfId="0" applyFont="1" applyBorder="1" applyAlignment="1" applyProtection="1">
      <alignment horizontal="right"/>
      <protection locked="0"/>
    </xf>
    <xf numFmtId="5" fontId="28" fillId="0" borderId="51" xfId="0" applyNumberFormat="1" applyFont="1" applyBorder="1" applyAlignment="1" applyProtection="1">
      <alignment horizontal="right"/>
      <protection locked="0"/>
    </xf>
    <xf numFmtId="5" fontId="28" fillId="0" borderId="57" xfId="0" applyNumberFormat="1" applyFont="1" applyBorder="1" applyAlignment="1" applyProtection="1">
      <alignment horizontal="right"/>
      <protection locked="0"/>
    </xf>
    <xf numFmtId="0" fontId="47" fillId="0" borderId="24" xfId="0" applyFont="1" applyBorder="1" applyAlignment="1" applyProtection="1">
      <alignment horizontal="left"/>
    </xf>
    <xf numFmtId="37" fontId="47" fillId="0" borderId="51" xfId="0" applyNumberFormat="1" applyFont="1" applyBorder="1" applyAlignment="1" applyProtection="1"/>
    <xf numFmtId="37" fontId="47" fillId="29" borderId="52" xfId="0" applyNumberFormat="1" applyFont="1" applyFill="1" applyBorder="1" applyAlignment="1" applyProtection="1">
      <protection locked="0"/>
    </xf>
    <xf numFmtId="37" fontId="47" fillId="0" borderId="30" xfId="0" applyNumberFormat="1" applyFont="1" applyBorder="1" applyAlignment="1" applyProtection="1">
      <protection locked="0"/>
    </xf>
    <xf numFmtId="5" fontId="47" fillId="0" borderId="39" xfId="0" applyNumberFormat="1" applyFont="1" applyBorder="1" applyAlignment="1" applyProtection="1"/>
    <xf numFmtId="5" fontId="47" fillId="0" borderId="42" xfId="0" applyNumberFormat="1" applyFont="1" applyBorder="1" applyAlignment="1" applyProtection="1">
      <protection locked="0"/>
    </xf>
    <xf numFmtId="5" fontId="47" fillId="0" borderId="30" xfId="0" applyNumberFormat="1" applyFont="1" applyBorder="1" applyAlignment="1" applyProtection="1">
      <protection locked="0"/>
    </xf>
    <xf numFmtId="37" fontId="47" fillId="29" borderId="42" xfId="0" applyNumberFormat="1" applyFont="1" applyFill="1" applyBorder="1" applyAlignment="1" applyProtection="1">
      <protection locked="0"/>
    </xf>
    <xf numFmtId="37" fontId="47" fillId="0" borderId="31" xfId="0" applyNumberFormat="1" applyFont="1" applyBorder="1" applyAlignment="1" applyProtection="1"/>
    <xf numFmtId="37" fontId="47" fillId="0" borderId="39" xfId="0" applyNumberFormat="1" applyFont="1" applyBorder="1" applyAlignment="1" applyProtection="1"/>
    <xf numFmtId="37" fontId="47" fillId="0" borderId="42" xfId="0" applyNumberFormat="1" applyFont="1" applyBorder="1" applyAlignment="1" applyProtection="1">
      <protection locked="0"/>
    </xf>
    <xf numFmtId="37" fontId="47" fillId="0" borderId="42" xfId="0" applyNumberFormat="1" applyFont="1" applyBorder="1" applyAlignment="1" applyProtection="1"/>
    <xf numFmtId="37" fontId="47" fillId="0" borderId="30" xfId="0" applyNumberFormat="1" applyFont="1" applyBorder="1" applyAlignment="1" applyProtection="1"/>
    <xf numFmtId="37" fontId="47" fillId="40" borderId="39" xfId="0" applyNumberFormat="1" applyFont="1" applyFill="1" applyBorder="1" applyAlignment="1" applyProtection="1"/>
    <xf numFmtId="37" fontId="47" fillId="41" borderId="52" xfId="0" applyNumberFormat="1" applyFont="1" applyFill="1" applyBorder="1" applyAlignment="1" applyProtection="1"/>
    <xf numFmtId="37" fontId="47" fillId="40" borderId="12" xfId="0" applyNumberFormat="1" applyFont="1" applyFill="1" applyBorder="1" applyAlignment="1" applyProtection="1"/>
    <xf numFmtId="37" fontId="47" fillId="40" borderId="30" xfId="0" applyNumberFormat="1" applyFont="1" applyFill="1" applyBorder="1" applyAlignment="1" applyProtection="1"/>
    <xf numFmtId="37" fontId="47" fillId="29" borderId="29" xfId="0" applyNumberFormat="1" applyFont="1" applyFill="1" applyBorder="1" applyAlignment="1" applyProtection="1">
      <protection locked="0"/>
    </xf>
    <xf numFmtId="37" fontId="47" fillId="0" borderId="31" xfId="0" applyNumberFormat="1" applyFont="1" applyBorder="1" applyAlignment="1" applyProtection="1">
      <protection locked="0"/>
    </xf>
    <xf numFmtId="37" fontId="47" fillId="29" borderId="29" xfId="0" applyNumberFormat="1" applyFont="1" applyFill="1" applyBorder="1" applyAlignment="1" applyProtection="1"/>
    <xf numFmtId="5" fontId="47" fillId="29" borderId="29" xfId="0" applyNumberFormat="1" applyFont="1" applyFill="1" applyBorder="1" applyAlignment="1" applyProtection="1"/>
    <xf numFmtId="0" fontId="15" fillId="47" borderId="0" xfId="0" applyFont="1" applyFill="1" applyAlignment="1">
      <alignment horizontal="centerContinuous"/>
    </xf>
    <xf numFmtId="5" fontId="47" fillId="0" borderId="30" xfId="0" applyNumberFormat="1" applyFont="1" applyBorder="1" applyAlignment="1" applyProtection="1"/>
    <xf numFmtId="5" fontId="47" fillId="0" borderId="12" xfId="0" applyNumberFormat="1" applyFont="1" applyBorder="1" applyAlignment="1" applyProtection="1"/>
    <xf numFmtId="37" fontId="47" fillId="0" borderId="12" xfId="0" applyNumberFormat="1" applyFont="1" applyBorder="1" applyAlignment="1" applyProtection="1"/>
    <xf numFmtId="0" fontId="47" fillId="0" borderId="0" xfId="0" applyFont="1" applyBorder="1" applyAlignment="1" applyProtection="1">
      <alignment horizontal="center"/>
    </xf>
    <xf numFmtId="37" fontId="47" fillId="29" borderId="42" xfId="0" applyNumberFormat="1" applyFont="1" applyFill="1" applyBorder="1" applyAlignment="1" applyProtection="1"/>
    <xf numFmtId="5" fontId="47" fillId="0" borderId="31" xfId="0" applyNumberFormat="1" applyFont="1" applyBorder="1" applyAlignment="1" applyProtection="1"/>
    <xf numFmtId="5" fontId="47" fillId="29" borderId="42" xfId="0" applyNumberFormat="1" applyFont="1" applyFill="1" applyBorder="1" applyAlignment="1" applyProtection="1"/>
    <xf numFmtId="0" fontId="0" fillId="0" borderId="0" xfId="0" applyAlignment="1"/>
    <xf numFmtId="3" fontId="4" fillId="0" borderId="49" xfId="0" applyNumberFormat="1" applyFont="1" applyBorder="1"/>
    <xf numFmtId="0" fontId="14" fillId="0" borderId="0" xfId="0" applyFont="1" applyAlignment="1">
      <alignment horizontal="left"/>
    </xf>
    <xf numFmtId="0" fontId="16" fillId="0" borderId="0" xfId="0" applyFont="1" applyAlignment="1"/>
    <xf numFmtId="14" fontId="20" fillId="29" borderId="0" xfId="0" applyNumberFormat="1" applyFont="1" applyFill="1" applyProtection="1">
      <protection locked="0"/>
    </xf>
    <xf numFmtId="15" fontId="19" fillId="31" borderId="0" xfId="0" applyNumberFormat="1" applyFont="1" applyFill="1" applyProtection="1">
      <protection locked="0"/>
    </xf>
    <xf numFmtId="175" fontId="27" fillId="0" borderId="0" xfId="0" applyNumberFormat="1" applyFont="1" applyAlignment="1" applyProtection="1">
      <alignment horizontal="left"/>
      <protection locked="0"/>
    </xf>
    <xf numFmtId="22" fontId="14" fillId="31" borderId="0" xfId="0" applyNumberFormat="1" applyFont="1" applyFill="1"/>
    <xf numFmtId="15" fontId="0" fillId="0" borderId="0" xfId="0" applyNumberFormat="1"/>
    <xf numFmtId="175" fontId="0" fillId="0" borderId="0" xfId="0" applyNumberFormat="1"/>
    <xf numFmtId="49" fontId="14" fillId="31" borderId="0" xfId="0" applyNumberFormat="1" applyFont="1" applyFill="1"/>
    <xf numFmtId="0" fontId="0" fillId="0" borderId="0" xfId="0" applyAlignment="1" applyProtection="1"/>
    <xf numFmtId="49" fontId="27" fillId="0" borderId="0" xfId="0" applyNumberFormat="1" applyFont="1" applyAlignment="1" applyProtection="1">
      <alignment horizontal="left"/>
      <protection locked="0"/>
    </xf>
    <xf numFmtId="37" fontId="59" fillId="0" borderId="30" xfId="0" applyNumberFormat="1" applyFont="1" applyBorder="1" applyAlignment="1" applyProtection="1">
      <protection locked="0"/>
    </xf>
    <xf numFmtId="0" fontId="4" fillId="0" borderId="51" xfId="0" applyFont="1" applyBorder="1" applyAlignment="1">
      <alignment horizontal="center"/>
    </xf>
    <xf numFmtId="0" fontId="47" fillId="0" borderId="39" xfId="0" quotePrefix="1" applyFont="1" applyBorder="1" applyAlignment="1" applyProtection="1">
      <alignment horizontal="center"/>
    </xf>
    <xf numFmtId="14" fontId="4" fillId="0" borderId="41" xfId="0" applyNumberFormat="1" applyFont="1" applyBorder="1" applyAlignment="1" applyProtection="1">
      <alignment horizontal="center"/>
    </xf>
    <xf numFmtId="14" fontId="4" fillId="0" borderId="27" xfId="0" applyNumberFormat="1" applyFont="1" applyBorder="1" applyAlignment="1" applyProtection="1">
      <alignment horizontal="center"/>
    </xf>
    <xf numFmtId="176" fontId="47" fillId="0" borderId="31" xfId="69" applyNumberFormat="1" applyFont="1" applyBorder="1" applyProtection="1"/>
    <xf numFmtId="176" fontId="47" fillId="0" borderId="30" xfId="69" applyNumberFormat="1" applyFont="1" applyBorder="1" applyProtection="1"/>
    <xf numFmtId="176" fontId="47" fillId="0" borderId="28" xfId="69" applyNumberFormat="1" applyFont="1" applyBorder="1" applyProtection="1"/>
    <xf numFmtId="176" fontId="47" fillId="0" borderId="27" xfId="69" applyNumberFormat="1" applyFont="1" applyBorder="1" applyProtection="1"/>
    <xf numFmtId="3" fontId="58" fillId="0" borderId="27" xfId="0" applyNumberFormat="1" applyFont="1" applyBorder="1" applyProtection="1"/>
    <xf numFmtId="3" fontId="58" fillId="0" borderId="30" xfId="0" applyNumberFormat="1" applyFont="1" applyBorder="1" applyProtection="1"/>
    <xf numFmtId="14" fontId="58" fillId="0" borderId="18" xfId="0" applyNumberFormat="1" applyFont="1" applyBorder="1" applyProtection="1"/>
    <xf numFmtId="37" fontId="28" fillId="0" borderId="28" xfId="0" applyNumberFormat="1" applyFont="1" applyBorder="1" applyAlignment="1" applyProtection="1">
      <alignment horizontal="right"/>
      <protection locked="0"/>
    </xf>
    <xf numFmtId="0" fontId="4" fillId="0" borderId="83" xfId="0" applyFont="1" applyBorder="1" applyAlignment="1" applyProtection="1">
      <alignment horizontal="center"/>
    </xf>
    <xf numFmtId="37" fontId="28" fillId="0" borderId="31" xfId="0" applyNumberFormat="1" applyFont="1" applyBorder="1" applyAlignment="1" applyProtection="1">
      <alignment horizontal="right"/>
      <protection locked="0"/>
    </xf>
    <xf numFmtId="0" fontId="5" fillId="0" borderId="18" xfId="0" applyFont="1" applyBorder="1" applyAlignment="1" applyProtection="1">
      <alignment horizontal="center"/>
    </xf>
    <xf numFmtId="37" fontId="0" fillId="0" borderId="0" xfId="0" applyNumberFormat="1"/>
    <xf numFmtId="0" fontId="4" fillId="0" borderId="0" xfId="0" quotePrefix="1" applyFont="1"/>
    <xf numFmtId="0" fontId="0" fillId="0" borderId="28" xfId="0" quotePrefix="1" applyBorder="1"/>
    <xf numFmtId="5" fontId="4" fillId="0" borderId="0" xfId="0" applyNumberFormat="1" applyFont="1"/>
    <xf numFmtId="5" fontId="0" fillId="0" borderId="0" xfId="0" applyNumberFormat="1"/>
    <xf numFmtId="3" fontId="4" fillId="0" borderId="84" xfId="0" applyNumberFormat="1" applyFont="1" applyBorder="1"/>
    <xf numFmtId="0" fontId="14" fillId="0" borderId="12" xfId="0" applyFont="1" applyBorder="1"/>
    <xf numFmtId="0" fontId="3" fillId="0" borderId="14" xfId="0" applyFont="1" applyBorder="1" applyAlignment="1">
      <alignment horizontal="centerContinuous"/>
    </xf>
    <xf numFmtId="0" fontId="3" fillId="0" borderId="15" xfId="0" applyFont="1" applyBorder="1" applyAlignment="1">
      <alignment horizontal="centerContinuous"/>
    </xf>
    <xf numFmtId="0" fontId="14" fillId="0" borderId="16" xfId="0" applyFont="1" applyBorder="1" applyAlignment="1">
      <alignment horizontal="centerContinuous"/>
    </xf>
    <xf numFmtId="0" fontId="14" fillId="0" borderId="18" xfId="0" applyFont="1" applyBorder="1" applyAlignment="1">
      <alignment horizontal="centerContinuous"/>
    </xf>
    <xf numFmtId="0" fontId="14" fillId="0" borderId="17" xfId="0" applyFont="1" applyBorder="1"/>
    <xf numFmtId="0" fontId="14" fillId="0" borderId="18" xfId="0" applyFont="1" applyBorder="1"/>
    <xf numFmtId="0" fontId="14" fillId="0" borderId="29" xfId="0" applyFont="1" applyBorder="1"/>
    <xf numFmtId="0" fontId="14" fillId="0" borderId="32" xfId="0" applyFont="1" applyBorder="1"/>
    <xf numFmtId="0" fontId="14" fillId="0" borderId="41" xfId="0" applyFont="1" applyBorder="1" applyAlignment="1">
      <alignment horizontal="center"/>
    </xf>
    <xf numFmtId="0" fontId="14" fillId="0" borderId="36" xfId="0" applyFont="1" applyBorder="1" applyAlignment="1">
      <alignment horizontal="center"/>
    </xf>
    <xf numFmtId="0" fontId="14" fillId="0" borderId="0" xfId="0" applyFont="1" applyAlignment="1">
      <alignment horizontal="center"/>
    </xf>
    <xf numFmtId="0" fontId="14" fillId="0" borderId="42" xfId="0" applyFont="1" applyBorder="1" applyAlignment="1">
      <alignment horizontal="center"/>
    </xf>
    <xf numFmtId="0" fontId="14" fillId="0" borderId="12" xfId="0" applyFont="1" applyBorder="1" applyAlignment="1">
      <alignment horizontal="center"/>
    </xf>
    <xf numFmtId="0" fontId="14" fillId="0" borderId="40" xfId="0" applyFont="1" applyBorder="1" applyAlignment="1">
      <alignment horizontal="center"/>
    </xf>
    <xf numFmtId="5" fontId="14" fillId="0" borderId="36" xfId="0" applyNumberFormat="1" applyFont="1" applyBorder="1" applyProtection="1"/>
    <xf numFmtId="37" fontId="14" fillId="0" borderId="36" xfId="0" applyNumberFormat="1" applyFont="1" applyBorder="1" applyProtection="1"/>
    <xf numFmtId="37" fontId="14" fillId="0" borderId="40" xfId="0" applyNumberFormat="1" applyFont="1" applyBorder="1" applyProtection="1"/>
    <xf numFmtId="0" fontId="61" fillId="0" borderId="0" xfId="0" applyFont="1"/>
    <xf numFmtId="5" fontId="14" fillId="0" borderId="38" xfId="0" applyNumberFormat="1" applyFont="1" applyBorder="1" applyProtection="1"/>
    <xf numFmtId="0" fontId="14" fillId="0" borderId="17" xfId="0" applyFont="1" applyBorder="1" applyAlignment="1">
      <alignment horizontal="center"/>
    </xf>
    <xf numFmtId="0" fontId="14" fillId="0" borderId="26" xfId="0" applyFont="1" applyBorder="1"/>
    <xf numFmtId="0" fontId="14" fillId="0" borderId="29" xfId="0" applyFont="1" applyBorder="1" applyAlignment="1">
      <alignment horizontal="center"/>
    </xf>
    <xf numFmtId="37" fontId="14" fillId="0" borderId="41" xfId="0" applyNumberFormat="1" applyFont="1" applyBorder="1" applyAlignment="1" applyProtection="1">
      <alignment horizontal="center"/>
    </xf>
    <xf numFmtId="37" fontId="14" fillId="0" borderId="43" xfId="0" applyNumberFormat="1" applyFont="1" applyBorder="1" applyAlignment="1" applyProtection="1">
      <alignment horizontal="center"/>
    </xf>
    <xf numFmtId="0" fontId="14" fillId="0" borderId="19" xfId="0" applyFont="1" applyBorder="1"/>
    <xf numFmtId="5" fontId="14" fillId="0" borderId="58" xfId="0" applyNumberFormat="1" applyFont="1" applyBorder="1" applyProtection="1"/>
    <xf numFmtId="0" fontId="57" fillId="0" borderId="0" xfId="0" applyFont="1" applyAlignment="1">
      <alignment horizontal="centerContinuous"/>
    </xf>
    <xf numFmtId="7" fontId="4" fillId="0" borderId="28" xfId="0" applyNumberFormat="1" applyFont="1" applyBorder="1" applyProtection="1"/>
    <xf numFmtId="5" fontId="4" fillId="0" borderId="35" xfId="0" applyNumberFormat="1" applyFont="1" applyFill="1" applyBorder="1" applyProtection="1"/>
    <xf numFmtId="37" fontId="4" fillId="0" borderId="35" xfId="0" applyNumberFormat="1" applyFont="1" applyFill="1" applyBorder="1" applyProtection="1"/>
    <xf numFmtId="37" fontId="4" fillId="0" borderId="0" xfId="0" applyNumberFormat="1" applyFont="1" applyFill="1" applyProtection="1"/>
    <xf numFmtId="14" fontId="4" fillId="0" borderId="35" xfId="0" applyNumberFormat="1" applyFont="1" applyFill="1" applyBorder="1" applyAlignment="1" applyProtection="1">
      <alignment horizontal="center"/>
    </xf>
    <xf numFmtId="3" fontId="4" fillId="0" borderId="0" xfId="0" applyNumberFormat="1" applyFont="1" applyProtection="1"/>
    <xf numFmtId="3" fontId="0" fillId="0" borderId="0" xfId="0" applyNumberFormat="1"/>
    <xf numFmtId="0" fontId="62" fillId="0" borderId="0" xfId="0" applyFont="1"/>
    <xf numFmtId="0" fontId="48" fillId="0" borderId="14" xfId="0" applyFont="1" applyBorder="1"/>
    <xf numFmtId="0" fontId="48" fillId="0" borderId="15" xfId="0" applyFont="1" applyBorder="1"/>
    <xf numFmtId="0" fontId="48" fillId="0" borderId="16" xfId="0" applyFont="1" applyBorder="1"/>
    <xf numFmtId="0" fontId="47" fillId="0" borderId="18" xfId="0" applyFont="1" applyBorder="1"/>
    <xf numFmtId="0" fontId="4" fillId="0" borderId="39" xfId="0" applyFont="1" applyBorder="1"/>
    <xf numFmtId="0" fontId="4" fillId="0" borderId="36" xfId="0" applyFont="1" applyBorder="1"/>
    <xf numFmtId="0" fontId="4" fillId="0" borderId="53" xfId="0" applyFont="1" applyBorder="1" applyAlignment="1">
      <alignment horizontal="center"/>
    </xf>
    <xf numFmtId="37" fontId="28" fillId="0" borderId="35" xfId="0" applyNumberFormat="1" applyFont="1" applyBorder="1" applyProtection="1"/>
    <xf numFmtId="0" fontId="4" fillId="0" borderId="21" xfId="0" applyFont="1" applyBorder="1" applyAlignment="1">
      <alignment horizontal="center"/>
    </xf>
    <xf numFmtId="0" fontId="4" fillId="0" borderId="56" xfId="0" applyFont="1" applyBorder="1" applyAlignment="1">
      <alignment horizontal="center"/>
    </xf>
    <xf numFmtId="5" fontId="0" fillId="0" borderId="36" xfId="0" applyNumberFormat="1" applyFill="1" applyBorder="1" applyProtection="1"/>
    <xf numFmtId="37" fontId="0" fillId="0" borderId="0" xfId="0" applyNumberFormat="1" applyFill="1" applyProtection="1"/>
    <xf numFmtId="37" fontId="0" fillId="0" borderId="36" xfId="0" applyNumberFormat="1" applyFill="1" applyBorder="1" applyProtection="1"/>
    <xf numFmtId="0" fontId="0" fillId="0" borderId="0" xfId="0" applyBorder="1" applyProtection="1"/>
    <xf numFmtId="0" fontId="47" fillId="0" borderId="0" xfId="0" applyFont="1" applyBorder="1" applyProtection="1"/>
    <xf numFmtId="0" fontId="5" fillId="0" borderId="0" xfId="0" applyFont="1" applyBorder="1" applyAlignment="1" applyProtection="1">
      <alignment horizontal="centerContinuous"/>
    </xf>
    <xf numFmtId="0" fontId="47" fillId="0" borderId="0" xfId="0" applyFont="1" applyBorder="1" applyAlignment="1" applyProtection="1">
      <alignment horizontal="centerContinuous"/>
    </xf>
    <xf numFmtId="37" fontId="47" fillId="0" borderId="0" xfId="0" applyNumberFormat="1" applyFont="1" applyBorder="1" applyProtection="1"/>
    <xf numFmtId="0" fontId="47" fillId="0" borderId="85" xfId="0" applyFont="1" applyBorder="1" applyAlignment="1" applyProtection="1">
      <alignment horizontal="centerContinuous"/>
    </xf>
    <xf numFmtId="37" fontId="47" fillId="0" borderId="85" xfId="0" applyNumberFormat="1" applyFont="1" applyBorder="1" applyAlignment="1" applyProtection="1">
      <alignment horizontal="centerContinuous"/>
    </xf>
    <xf numFmtId="0" fontId="47" fillId="0" borderId="86" xfId="0" applyFont="1" applyBorder="1" applyProtection="1"/>
    <xf numFmtId="0" fontId="48" fillId="0" borderId="86" xfId="0" applyFont="1" applyBorder="1" applyAlignment="1" applyProtection="1">
      <alignment horizontal="centerContinuous"/>
    </xf>
    <xf numFmtId="0" fontId="47" fillId="0" borderId="87" xfId="0" applyFont="1" applyBorder="1" applyAlignment="1" applyProtection="1">
      <alignment horizontal="centerContinuous"/>
    </xf>
    <xf numFmtId="0" fontId="47" fillId="0" borderId="88" xfId="0" applyFont="1" applyBorder="1" applyProtection="1"/>
    <xf numFmtId="0" fontId="0" fillId="0" borderId="89" xfId="0" applyBorder="1" applyProtection="1"/>
    <xf numFmtId="0" fontId="47" fillId="0" borderId="90" xfId="0" applyFont="1" applyBorder="1" applyProtection="1"/>
    <xf numFmtId="0" fontId="47" fillId="0" borderId="91" xfId="0" applyFont="1" applyBorder="1" applyAlignment="1" applyProtection="1">
      <alignment horizontal="center"/>
    </xf>
    <xf numFmtId="0" fontId="47" fillId="0" borderId="92" xfId="0" applyFont="1" applyBorder="1" applyProtection="1"/>
    <xf numFmtId="0" fontId="47" fillId="0" borderId="92" xfId="0" applyFont="1" applyBorder="1" applyAlignment="1" applyProtection="1">
      <alignment horizontal="center"/>
    </xf>
    <xf numFmtId="37" fontId="47" fillId="0" borderId="87" xfId="0" applyNumberFormat="1" applyFont="1" applyBorder="1" applyProtection="1"/>
    <xf numFmtId="0" fontId="47" fillId="0" borderId="94" xfId="0" applyFont="1" applyBorder="1" applyProtection="1"/>
    <xf numFmtId="0" fontId="47" fillId="0" borderId="95" xfId="0" applyFont="1" applyBorder="1" applyProtection="1"/>
    <xf numFmtId="0" fontId="47" fillId="0" borderId="95" xfId="0" applyFont="1" applyBorder="1" applyAlignment="1" applyProtection="1">
      <alignment horizontal="centerContinuous"/>
    </xf>
    <xf numFmtId="37" fontId="47" fillId="0" borderId="95" xfId="0" applyNumberFormat="1" applyFont="1" applyBorder="1" applyProtection="1"/>
    <xf numFmtId="37" fontId="47" fillId="0" borderId="96" xfId="0" applyNumberFormat="1" applyFont="1" applyBorder="1" applyProtection="1"/>
    <xf numFmtId="37" fontId="47" fillId="0" borderId="97" xfId="0" applyNumberFormat="1" applyFont="1" applyBorder="1" applyAlignment="1" applyProtection="1">
      <alignment horizontal="centerContinuous"/>
    </xf>
    <xf numFmtId="0" fontId="47" fillId="0" borderId="98" xfId="0" applyFont="1" applyBorder="1" applyAlignment="1" applyProtection="1">
      <alignment horizontal="centerContinuous"/>
    </xf>
    <xf numFmtId="0" fontId="0" fillId="0" borderId="86" xfId="0" applyBorder="1" applyProtection="1"/>
    <xf numFmtId="0" fontId="47" fillId="0" borderId="87" xfId="0" applyFont="1" applyBorder="1" applyProtection="1"/>
    <xf numFmtId="0" fontId="0" fillId="0" borderId="87" xfId="0" applyBorder="1" applyProtection="1"/>
    <xf numFmtId="0" fontId="5" fillId="0" borderId="86" xfId="0" applyFont="1" applyBorder="1" applyAlignment="1" applyProtection="1">
      <alignment horizontal="centerContinuous"/>
    </xf>
    <xf numFmtId="0" fontId="5" fillId="0" borderId="87" xfId="0" applyFont="1" applyBorder="1" applyAlignment="1" applyProtection="1">
      <alignment horizontal="centerContinuous"/>
    </xf>
    <xf numFmtId="0" fontId="0" fillId="0" borderId="94" xfId="0" applyBorder="1" applyProtection="1"/>
    <xf numFmtId="0" fontId="0" fillId="0" borderId="95" xfId="0" applyBorder="1" applyProtection="1"/>
    <xf numFmtId="0" fontId="0" fillId="0" borderId="96" xfId="0" applyBorder="1" applyProtection="1"/>
    <xf numFmtId="0" fontId="4" fillId="0" borderId="0" xfId="0" applyFont="1" applyFill="1" applyBorder="1" applyProtection="1"/>
    <xf numFmtId="37" fontId="5" fillId="0" borderId="0" xfId="0" applyNumberFormat="1" applyFont="1" applyAlignment="1" applyProtection="1">
      <alignment horizontal="centerContinuous"/>
    </xf>
    <xf numFmtId="0" fontId="5" fillId="0" borderId="0" xfId="0" applyFont="1" applyBorder="1" applyProtection="1"/>
    <xf numFmtId="0" fontId="4" fillId="0" borderId="15" xfId="0" applyFont="1" applyBorder="1" applyAlignment="1" applyProtection="1">
      <alignment horizontal="left"/>
    </xf>
    <xf numFmtId="0" fontId="4" fillId="0" borderId="16" xfId="0" applyFont="1" applyBorder="1" applyAlignment="1" applyProtection="1">
      <alignment horizontal="left"/>
    </xf>
    <xf numFmtId="0" fontId="5" fillId="0" borderId="12" xfId="0" applyFont="1" applyBorder="1" applyProtection="1"/>
    <xf numFmtId="0" fontId="4" fillId="0" borderId="24" xfId="0" applyFont="1" applyBorder="1" applyAlignment="1" applyProtection="1">
      <alignment horizontal="centerContinuous" wrapText="1"/>
    </xf>
    <xf numFmtId="0" fontId="4" fillId="0" borderId="0" xfId="0" applyFont="1" applyAlignment="1" applyProtection="1">
      <alignment horizontal="centerContinuous" wrapText="1"/>
    </xf>
    <xf numFmtId="0" fontId="4" fillId="0" borderId="0" xfId="0" applyFont="1" applyAlignment="1" applyProtection="1">
      <alignment horizontal="left" wrapText="1"/>
    </xf>
    <xf numFmtId="0" fontId="4" fillId="0" borderId="38" xfId="0" applyFont="1" applyBorder="1" applyAlignment="1" applyProtection="1">
      <alignment horizontal="centerContinuous"/>
    </xf>
    <xf numFmtId="0" fontId="4" fillId="0" borderId="36" xfId="0" applyFont="1" applyBorder="1" applyAlignment="1" applyProtection="1">
      <alignment horizontal="centerContinuous"/>
    </xf>
    <xf numFmtId="0" fontId="4" fillId="0" borderId="40" xfId="0" applyFont="1" applyBorder="1" applyAlignment="1" applyProtection="1">
      <alignment horizontal="centerContinuous"/>
    </xf>
    <xf numFmtId="37" fontId="4" fillId="0" borderId="25" xfId="0" applyNumberFormat="1" applyFont="1" applyBorder="1" applyProtection="1"/>
    <xf numFmtId="7" fontId="4" fillId="0" borderId="18" xfId="0" applyNumberFormat="1" applyFont="1" applyBorder="1" applyProtection="1"/>
    <xf numFmtId="7" fontId="4" fillId="0" borderId="46" xfId="0" applyNumberFormat="1" applyFont="1" applyBorder="1" applyProtection="1"/>
    <xf numFmtId="37" fontId="4" fillId="0" borderId="47" xfId="0" applyNumberFormat="1" applyFont="1" applyBorder="1" applyProtection="1"/>
    <xf numFmtId="7" fontId="4" fillId="0" borderId="48" xfId="0" applyNumberFormat="1" applyFont="1" applyBorder="1" applyProtection="1"/>
    <xf numFmtId="166" fontId="4" fillId="0" borderId="18" xfId="0" applyNumberFormat="1" applyFont="1" applyBorder="1" applyProtection="1"/>
    <xf numFmtId="167" fontId="4" fillId="0" borderId="18" xfId="0" applyNumberFormat="1" applyFont="1" applyBorder="1" applyProtection="1"/>
    <xf numFmtId="167" fontId="4" fillId="0" borderId="48" xfId="0" applyNumberFormat="1" applyFont="1" applyBorder="1" applyProtection="1"/>
    <xf numFmtId="0" fontId="64" fillId="0" borderId="17" xfId="0" applyFont="1" applyBorder="1" applyAlignment="1">
      <alignment horizontal="centerContinuous"/>
    </xf>
    <xf numFmtId="0" fontId="64" fillId="0" borderId="0" xfId="0" applyFont="1" applyAlignment="1">
      <alignment horizontal="centerContinuous"/>
    </xf>
    <xf numFmtId="0" fontId="64" fillId="0" borderId="18" xfId="0" applyFont="1" applyBorder="1" applyAlignment="1">
      <alignment horizontal="centerContinuous"/>
    </xf>
    <xf numFmtId="0" fontId="19" fillId="0" borderId="28" xfId="0" applyFont="1" applyBorder="1" applyProtection="1">
      <protection locked="0"/>
    </xf>
    <xf numFmtId="37" fontId="19" fillId="0" borderId="27" xfId="0" applyNumberFormat="1" applyFont="1" applyBorder="1" applyProtection="1">
      <protection locked="0"/>
    </xf>
    <xf numFmtId="5" fontId="19" fillId="0" borderId="27" xfId="0" applyNumberFormat="1" applyFont="1" applyBorder="1" applyProtection="1">
      <protection locked="0"/>
    </xf>
    <xf numFmtId="39" fontId="19" fillId="0" borderId="27" xfId="0" applyNumberFormat="1" applyFont="1" applyBorder="1" applyProtection="1">
      <protection locked="0"/>
    </xf>
    <xf numFmtId="37" fontId="19" fillId="0" borderId="41" xfId="0" applyNumberFormat="1" applyFont="1" applyBorder="1" applyProtection="1">
      <protection locked="0"/>
    </xf>
    <xf numFmtId="39" fontId="19" fillId="0" borderId="18" xfId="0" applyNumberFormat="1" applyFont="1" applyBorder="1" applyProtection="1">
      <protection locked="0"/>
    </xf>
    <xf numFmtId="37" fontId="0" fillId="0" borderId="41" xfId="0" applyNumberFormat="1" applyBorder="1" applyProtection="1"/>
    <xf numFmtId="0" fontId="19" fillId="0" borderId="34" xfId="0" applyFont="1" applyBorder="1" applyProtection="1">
      <protection locked="0"/>
    </xf>
    <xf numFmtId="37" fontId="19" fillId="0" borderId="47" xfId="0" applyNumberFormat="1" applyFont="1" applyBorder="1" applyProtection="1">
      <protection locked="0"/>
    </xf>
    <xf numFmtId="5" fontId="19" fillId="0" borderId="47" xfId="0" applyNumberFormat="1" applyFont="1" applyBorder="1" applyProtection="1">
      <protection locked="0"/>
    </xf>
    <xf numFmtId="39" fontId="19" fillId="0" borderId="47" xfId="0" applyNumberFormat="1" applyFont="1" applyBorder="1" applyProtection="1">
      <protection locked="0"/>
    </xf>
    <xf numFmtId="0" fontId="19" fillId="0" borderId="43" xfId="0" applyFont="1" applyBorder="1" applyProtection="1">
      <protection locked="0"/>
    </xf>
    <xf numFmtId="39" fontId="0" fillId="0" borderId="48" xfId="0" applyNumberFormat="1" applyBorder="1" applyProtection="1"/>
    <xf numFmtId="39" fontId="0" fillId="0" borderId="0" xfId="0" applyNumberFormat="1" applyProtection="1"/>
    <xf numFmtId="37" fontId="0" fillId="0" borderId="0" xfId="0" applyNumberFormat="1" applyAlignment="1" applyProtection="1">
      <alignment horizontal="centerContinuous"/>
    </xf>
    <xf numFmtId="39" fontId="0" fillId="0" borderId="0" xfId="0" applyNumberFormat="1" applyAlignment="1" applyProtection="1">
      <alignment horizontal="centerContinuous"/>
    </xf>
    <xf numFmtId="0" fontId="16" fillId="0" borderId="14" xfId="0" applyFont="1" applyBorder="1"/>
    <xf numFmtId="0" fontId="16" fillId="0" borderId="15" xfId="0" applyFont="1" applyBorder="1"/>
    <xf numFmtId="0" fontId="16" fillId="0" borderId="16" xfId="0" applyFont="1" applyBorder="1"/>
    <xf numFmtId="0" fontId="16" fillId="0" borderId="29" xfId="0" applyFont="1" applyBorder="1"/>
    <xf numFmtId="0" fontId="16" fillId="0" borderId="12" xfId="0" applyFont="1" applyBorder="1"/>
    <xf numFmtId="0" fontId="16" fillId="0" borderId="32" xfId="0" applyFont="1" applyBorder="1"/>
    <xf numFmtId="0" fontId="16" fillId="0" borderId="17" xfId="0" applyFont="1" applyBorder="1"/>
    <xf numFmtId="0" fontId="16" fillId="0" borderId="18" xfId="0" applyFont="1" applyBorder="1"/>
    <xf numFmtId="0" fontId="16" fillId="0" borderId="50" xfId="0" applyFont="1" applyBorder="1"/>
    <xf numFmtId="0" fontId="16" fillId="0" borderId="24" xfId="0" applyFont="1" applyBorder="1"/>
    <xf numFmtId="0" fontId="16" fillId="0" borderId="38" xfId="0" applyFont="1" applyBorder="1"/>
    <xf numFmtId="0" fontId="16" fillId="0" borderId="41" xfId="0" applyFont="1" applyBorder="1"/>
    <xf numFmtId="0" fontId="16" fillId="0" borderId="36" xfId="0" applyFont="1" applyBorder="1" applyAlignment="1">
      <alignment horizontal="center"/>
    </xf>
    <xf numFmtId="0" fontId="16" fillId="0" borderId="41" xfId="0" applyFont="1" applyBorder="1" applyAlignment="1">
      <alignment horizontal="center"/>
    </xf>
    <xf numFmtId="0" fontId="16" fillId="0" borderId="42" xfId="0" applyFont="1" applyBorder="1" applyAlignment="1">
      <alignment horizontal="center"/>
    </xf>
    <xf numFmtId="0" fontId="16" fillId="0" borderId="12" xfId="0" applyFont="1" applyBorder="1" applyAlignment="1">
      <alignment horizontal="centerContinuous"/>
    </xf>
    <xf numFmtId="0" fontId="16" fillId="0" borderId="40" xfId="0" applyFont="1" applyBorder="1" applyAlignment="1">
      <alignment horizontal="center"/>
    </xf>
    <xf numFmtId="5" fontId="16" fillId="0" borderId="36" xfId="0" applyNumberFormat="1" applyFont="1" applyBorder="1" applyProtection="1"/>
    <xf numFmtId="37" fontId="16" fillId="0" borderId="36" xfId="0" applyNumberFormat="1" applyFont="1" applyBorder="1" applyProtection="1"/>
    <xf numFmtId="0" fontId="16" fillId="0" borderId="59" xfId="0" applyFont="1" applyBorder="1"/>
    <xf numFmtId="5" fontId="16" fillId="0" borderId="54" xfId="0" applyNumberFormat="1" applyFont="1" applyBorder="1" applyProtection="1"/>
    <xf numFmtId="0" fontId="16" fillId="42" borderId="0" xfId="0" applyFont="1" applyFill="1"/>
    <xf numFmtId="5" fontId="16" fillId="42" borderId="36" xfId="0" applyNumberFormat="1" applyFont="1" applyFill="1" applyBorder="1" applyProtection="1"/>
    <xf numFmtId="0" fontId="16" fillId="0" borderId="43" xfId="0" applyFont="1" applyBorder="1" applyAlignment="1">
      <alignment horizontal="center"/>
    </xf>
    <xf numFmtId="0" fontId="16" fillId="0" borderId="61" xfId="0" applyFont="1" applyBorder="1"/>
    <xf numFmtId="5" fontId="16" fillId="0" borderId="58" xfId="0" applyNumberFormat="1" applyFont="1" applyBorder="1" applyProtection="1"/>
    <xf numFmtId="0" fontId="0" fillId="0" borderId="27" xfId="0" applyBorder="1" applyAlignment="1">
      <alignment horizontal="right"/>
    </xf>
    <xf numFmtId="38" fontId="28" fillId="0" borderId="27" xfId="0" applyNumberFormat="1" applyFont="1" applyFill="1" applyBorder="1" applyProtection="1">
      <protection locked="0"/>
    </xf>
    <xf numFmtId="38" fontId="4" fillId="0" borderId="27" xfId="0" applyNumberFormat="1" applyFont="1" applyFill="1" applyBorder="1" applyProtection="1"/>
    <xf numFmtId="0" fontId="0" fillId="0" borderId="43" xfId="0" applyBorder="1" applyAlignment="1">
      <alignment horizontal="center"/>
    </xf>
    <xf numFmtId="0" fontId="0" fillId="0" borderId="33" xfId="0" applyBorder="1" applyAlignment="1">
      <alignment horizontal="right"/>
    </xf>
    <xf numFmtId="0" fontId="47" fillId="29" borderId="49" xfId="0" applyFont="1" applyFill="1" applyBorder="1"/>
    <xf numFmtId="0" fontId="47" fillId="29" borderId="19" xfId="0" applyFont="1" applyFill="1" applyBorder="1"/>
    <xf numFmtId="0" fontId="0" fillId="0" borderId="27" xfId="0" applyBorder="1" applyAlignment="1">
      <alignment horizontal="left"/>
    </xf>
    <xf numFmtId="0" fontId="65" fillId="29" borderId="19" xfId="0" applyFont="1" applyFill="1" applyBorder="1" applyAlignment="1">
      <alignment horizontal="left"/>
    </xf>
    <xf numFmtId="0" fontId="19" fillId="0" borderId="0" xfId="0" applyFont="1" applyAlignment="1" applyProtection="1">
      <alignment horizontal="centerContinuous"/>
      <protection locked="0"/>
    </xf>
    <xf numFmtId="0" fontId="23" fillId="0" borderId="37" xfId="0" applyFont="1" applyBorder="1" applyAlignment="1" applyProtection="1">
      <alignment horizontal="left" wrapText="1"/>
      <protection locked="0"/>
    </xf>
    <xf numFmtId="0" fontId="62" fillId="0" borderId="0" xfId="0" applyFont="1" applyAlignment="1">
      <alignment horizontal="centerContinuous"/>
    </xf>
    <xf numFmtId="0" fontId="62" fillId="0" borderId="14" xfId="0" applyFont="1" applyBorder="1"/>
    <xf numFmtId="0" fontId="62" fillId="0" borderId="15" xfId="0" applyFont="1" applyBorder="1"/>
    <xf numFmtId="0" fontId="62" fillId="0" borderId="16" xfId="0" applyFont="1" applyBorder="1"/>
    <xf numFmtId="0" fontId="62" fillId="0" borderId="29" xfId="0" applyFont="1" applyBorder="1"/>
    <xf numFmtId="0" fontId="62" fillId="0" borderId="12" xfId="0" applyFont="1" applyBorder="1"/>
    <xf numFmtId="0" fontId="62" fillId="0" borderId="32" xfId="0" applyFont="1" applyBorder="1"/>
    <xf numFmtId="0" fontId="62" fillId="0" borderId="17" xfId="0" applyFont="1" applyBorder="1"/>
    <xf numFmtId="0" fontId="62" fillId="0" borderId="18" xfId="0" applyFont="1" applyBorder="1"/>
    <xf numFmtId="0" fontId="62" fillId="0" borderId="17" xfId="0" applyFont="1" applyBorder="1" applyAlignment="1">
      <alignment horizontal="center"/>
    </xf>
    <xf numFmtId="0" fontId="62" fillId="0" borderId="28" xfId="0" applyFont="1" applyBorder="1"/>
    <xf numFmtId="0" fontId="62" fillId="0" borderId="27" xfId="0" applyFont="1" applyBorder="1"/>
    <xf numFmtId="0" fontId="62" fillId="0" borderId="27" xfId="0" applyFont="1" applyBorder="1" applyAlignment="1">
      <alignment horizontal="center"/>
    </xf>
    <xf numFmtId="0" fontId="62" fillId="0" borderId="18" xfId="0" applyFont="1" applyBorder="1" applyAlignment="1">
      <alignment horizontal="center"/>
    </xf>
    <xf numFmtId="0" fontId="62" fillId="0" borderId="28" xfId="0" applyFont="1" applyBorder="1" applyAlignment="1">
      <alignment horizontal="center"/>
    </xf>
    <xf numFmtId="0" fontId="62" fillId="0" borderId="29" xfId="0" applyFont="1" applyBorder="1" applyAlignment="1">
      <alignment horizontal="center"/>
    </xf>
    <xf numFmtId="0" fontId="62" fillId="0" borderId="31" xfId="0" applyFont="1" applyBorder="1" applyAlignment="1">
      <alignment horizontal="center"/>
    </xf>
    <xf numFmtId="0" fontId="62" fillId="0" borderId="30" xfId="0" applyFont="1" applyBorder="1" applyAlignment="1">
      <alignment horizontal="center"/>
    </xf>
    <xf numFmtId="0" fontId="62" fillId="0" borderId="32" xfId="0" applyFont="1" applyBorder="1" applyAlignment="1">
      <alignment horizontal="center"/>
    </xf>
    <xf numFmtId="0" fontId="67" fillId="0" borderId="28" xfId="0" applyFont="1" applyBorder="1" applyProtection="1">
      <protection locked="0"/>
    </xf>
    <xf numFmtId="37" fontId="67" fillId="0" borderId="27" xfId="0" applyNumberFormat="1" applyFont="1" applyBorder="1" applyProtection="1">
      <protection locked="0"/>
    </xf>
    <xf numFmtId="37" fontId="67" fillId="0" borderId="18" xfId="0" applyNumberFormat="1" applyFont="1" applyBorder="1" applyProtection="1">
      <protection locked="0"/>
    </xf>
    <xf numFmtId="0" fontId="62" fillId="0" borderId="21" xfId="0" applyFont="1" applyBorder="1" applyAlignment="1">
      <alignment horizontal="center"/>
    </xf>
    <xf numFmtId="0" fontId="67" fillId="0" borderId="34" xfId="0" applyFont="1" applyBorder="1" applyProtection="1">
      <protection locked="0"/>
    </xf>
    <xf numFmtId="37" fontId="67" fillId="0" borderId="33" xfId="0" applyNumberFormat="1" applyFont="1" applyBorder="1" applyProtection="1">
      <protection locked="0"/>
    </xf>
    <xf numFmtId="37" fontId="67" fillId="0" borderId="47" xfId="0" applyNumberFormat="1" applyFont="1" applyBorder="1" applyProtection="1">
      <protection locked="0"/>
    </xf>
    <xf numFmtId="5" fontId="62" fillId="0" borderId="48" xfId="0" applyNumberFormat="1" applyFont="1" applyBorder="1" applyProtection="1"/>
    <xf numFmtId="39" fontId="62" fillId="0" borderId="0" xfId="0" applyNumberFormat="1" applyFont="1" applyAlignment="1" applyProtection="1">
      <alignment horizontal="centerContinuous"/>
    </xf>
    <xf numFmtId="0" fontId="52" fillId="0" borderId="17" xfId="0" applyFont="1" applyBorder="1" applyAlignment="1" applyProtection="1">
      <alignment horizontal="center"/>
    </xf>
    <xf numFmtId="0" fontId="4" fillId="0" borderId="46" xfId="0" applyFont="1" applyBorder="1" applyProtection="1"/>
    <xf numFmtId="0" fontId="4" fillId="0" borderId="60" xfId="0" applyFont="1" applyBorder="1" applyAlignment="1" applyProtection="1">
      <alignment horizontal="center"/>
    </xf>
    <xf numFmtId="0" fontId="4" fillId="0" borderId="28" xfId="0" applyFont="1" applyBorder="1" applyAlignment="1" applyProtection="1">
      <alignment horizontal="centerContinuous"/>
    </xf>
    <xf numFmtId="0" fontId="4" fillId="0" borderId="99" xfId="0" applyFont="1" applyBorder="1" applyProtection="1"/>
    <xf numFmtId="0" fontId="4" fillId="0" borderId="43" xfId="0" applyFont="1" applyBorder="1" applyProtection="1"/>
    <xf numFmtId="38" fontId="28" fillId="0" borderId="0" xfId="0" applyNumberFormat="1" applyFont="1" applyFill="1" applyBorder="1" applyProtection="1">
      <protection locked="0"/>
    </xf>
    <xf numFmtId="37" fontId="4" fillId="0" borderId="44" xfId="0" applyNumberFormat="1" applyFont="1" applyBorder="1" applyProtection="1"/>
    <xf numFmtId="5" fontId="4" fillId="40" borderId="36" xfId="0" applyNumberFormat="1" applyFont="1" applyFill="1" applyBorder="1" applyProtection="1"/>
    <xf numFmtId="0" fontId="4" fillId="41" borderId="36" xfId="0" applyFont="1" applyFill="1" applyBorder="1" applyProtection="1"/>
    <xf numFmtId="0" fontId="4" fillId="41" borderId="40" xfId="0" applyFont="1" applyFill="1" applyBorder="1" applyProtection="1"/>
    <xf numFmtId="37" fontId="4" fillId="29" borderId="40" xfId="0" applyNumberFormat="1" applyFont="1" applyFill="1" applyBorder="1" applyProtection="1"/>
    <xf numFmtId="0" fontId="5" fillId="0" borderId="12" xfId="0" applyFont="1" applyBorder="1" applyAlignment="1" applyProtection="1">
      <alignment horizontal="left"/>
    </xf>
    <xf numFmtId="37" fontId="4" fillId="40" borderId="54" xfId="0" applyNumberFormat="1" applyFont="1" applyFill="1" applyBorder="1" applyProtection="1"/>
    <xf numFmtId="37" fontId="4" fillId="48" borderId="40" xfId="0" applyNumberFormat="1" applyFont="1" applyFill="1" applyBorder="1" applyProtection="1"/>
    <xf numFmtId="37" fontId="4" fillId="40" borderId="40" xfId="0" applyNumberFormat="1" applyFont="1" applyFill="1" applyBorder="1" applyProtection="1"/>
    <xf numFmtId="37" fontId="4" fillId="0" borderId="40" xfId="82" applyNumberFormat="1" applyFont="1" applyBorder="1" applyProtection="1"/>
    <xf numFmtId="0" fontId="4" fillId="0" borderId="0" xfId="0" quotePrefix="1" applyFont="1" applyAlignment="1" applyProtection="1">
      <alignment horizontal="left"/>
    </xf>
    <xf numFmtId="37" fontId="63" fillId="0" borderId="36" xfId="0" applyNumberFormat="1" applyFont="1" applyBorder="1" applyProtection="1"/>
    <xf numFmtId="0" fontId="4" fillId="0" borderId="19" xfId="0" applyFont="1" applyBorder="1" applyAlignment="1" applyProtection="1">
      <alignment horizontal="left"/>
    </xf>
    <xf numFmtId="37" fontId="4" fillId="0" borderId="36" xfId="0" applyNumberFormat="1" applyFont="1" applyBorder="1" applyAlignment="1" applyProtection="1">
      <alignment horizontal="centerContinuous"/>
    </xf>
    <xf numFmtId="37" fontId="4" fillId="49" borderId="36" xfId="0" applyNumberFormat="1" applyFont="1" applyFill="1" applyBorder="1" applyProtection="1"/>
    <xf numFmtId="37" fontId="4" fillId="50" borderId="36" xfId="0" applyNumberFormat="1" applyFont="1" applyFill="1" applyBorder="1" applyProtection="1"/>
    <xf numFmtId="37" fontId="4" fillId="0" borderId="36" xfId="0" applyNumberFormat="1" applyFont="1" applyFill="1" applyBorder="1" applyProtection="1"/>
    <xf numFmtId="0" fontId="5" fillId="0" borderId="27" xfId="0" applyFont="1" applyBorder="1"/>
    <xf numFmtId="0" fontId="4" fillId="0" borderId="27" xfId="0" applyFont="1" applyBorder="1" applyAlignment="1">
      <alignment horizontal="left"/>
    </xf>
    <xf numFmtId="5" fontId="56" fillId="0" borderId="27" xfId="0" applyNumberFormat="1" applyFont="1" applyBorder="1" applyProtection="1">
      <protection locked="0"/>
    </xf>
    <xf numFmtId="37" fontId="56" fillId="0" borderId="27" xfId="0" applyNumberFormat="1" applyFont="1" applyBorder="1" applyProtection="1">
      <protection locked="0"/>
    </xf>
    <xf numFmtId="0" fontId="4" fillId="0" borderId="27" xfId="0" applyFont="1" applyBorder="1" applyAlignment="1">
      <alignment horizontal="right"/>
    </xf>
    <xf numFmtId="37" fontId="56" fillId="0" borderId="28" xfId="0" applyNumberFormat="1" applyFont="1" applyBorder="1" applyProtection="1">
      <protection locked="0"/>
    </xf>
    <xf numFmtId="5" fontId="28" fillId="0" borderId="45" xfId="0" applyNumberFormat="1" applyFont="1" applyBorder="1" applyProtection="1">
      <protection locked="0"/>
    </xf>
    <xf numFmtId="5" fontId="28" fillId="0" borderId="46" xfId="0" applyNumberFormat="1" applyFont="1" applyBorder="1" applyProtection="1">
      <protection locked="0"/>
    </xf>
    <xf numFmtId="0" fontId="4" fillId="0" borderId="35" xfId="0" applyFont="1" applyBorder="1" applyAlignment="1">
      <alignment horizontal="left"/>
    </xf>
    <xf numFmtId="5" fontId="56" fillId="0" borderId="28" xfId="0" applyNumberFormat="1" applyFont="1" applyBorder="1" applyProtection="1">
      <protection locked="0"/>
    </xf>
    <xf numFmtId="5" fontId="56" fillId="0" borderId="18" xfId="0" applyNumberFormat="1" applyFont="1" applyBorder="1" applyProtection="1">
      <protection locked="0"/>
    </xf>
    <xf numFmtId="0" fontId="4" fillId="0" borderId="33" xfId="0" applyFont="1" applyBorder="1" applyAlignment="1">
      <alignment horizontal="right"/>
    </xf>
    <xf numFmtId="5" fontId="4" fillId="0" borderId="48" xfId="0" applyNumberFormat="1" applyFont="1" applyBorder="1" applyProtection="1"/>
    <xf numFmtId="0" fontId="4" fillId="0" borderId="15" xfId="0" applyFont="1" applyBorder="1" applyAlignment="1" applyProtection="1">
      <alignment horizontal="center"/>
    </xf>
    <xf numFmtId="0" fontId="7" fillId="0" borderId="17" xfId="0" applyFont="1" applyBorder="1" applyProtection="1"/>
    <xf numFmtId="0" fontId="68" fillId="0" borderId="17" xfId="0" applyFont="1" applyBorder="1" applyAlignment="1" applyProtection="1">
      <alignment horizontal="centerContinuous"/>
    </xf>
    <xf numFmtId="0" fontId="68" fillId="0" borderId="0" xfId="0" applyFont="1" applyAlignment="1" applyProtection="1">
      <alignment horizontal="centerContinuous"/>
    </xf>
    <xf numFmtId="0" fontId="68" fillId="0" borderId="18" xfId="0" applyFont="1" applyBorder="1" applyAlignment="1" applyProtection="1">
      <alignment horizontal="centerContinuous"/>
    </xf>
    <xf numFmtId="0" fontId="0" fillId="0" borderId="28" xfId="0" applyBorder="1" applyProtection="1"/>
    <xf numFmtId="0" fontId="0" fillId="0" borderId="36" xfId="0" applyBorder="1" applyProtection="1"/>
    <xf numFmtId="0" fontId="0" fillId="0" borderId="12" xfId="0" applyBorder="1" applyAlignment="1" applyProtection="1">
      <alignment horizontal="center"/>
    </xf>
    <xf numFmtId="0" fontId="8" fillId="0" borderId="28" xfId="0" applyFont="1" applyBorder="1" applyProtection="1"/>
    <xf numFmtId="0" fontId="0" fillId="42" borderId="28" xfId="0" applyFill="1" applyBorder="1" applyProtection="1"/>
    <xf numFmtId="37" fontId="0" fillId="42" borderId="0" xfId="0" applyNumberFormat="1" applyFill="1" applyProtection="1"/>
    <xf numFmtId="37" fontId="0" fillId="42" borderId="36" xfId="0" applyNumberFormat="1" applyFill="1" applyBorder="1" applyProtection="1"/>
    <xf numFmtId="5" fontId="0" fillId="0" borderId="59" xfId="0" applyNumberFormat="1" applyBorder="1" applyProtection="1"/>
    <xf numFmtId="0" fontId="0" fillId="0" borderId="21" xfId="0" applyBorder="1" applyAlignment="1" applyProtection="1">
      <alignment horizontal="center"/>
    </xf>
    <xf numFmtId="0" fontId="0" fillId="0" borderId="34" xfId="0" applyBorder="1" applyAlignment="1" applyProtection="1">
      <alignment horizontal="center"/>
    </xf>
    <xf numFmtId="37" fontId="0" fillId="0" borderId="19" xfId="0" applyNumberFormat="1" applyBorder="1" applyProtection="1"/>
    <xf numFmtId="0" fontId="0" fillId="0" borderId="34" xfId="0" applyBorder="1" applyProtection="1"/>
    <xf numFmtId="37" fontId="0" fillId="42" borderId="19" xfId="0" applyNumberFormat="1" applyFill="1" applyBorder="1" applyProtection="1"/>
    <xf numFmtId="0" fontId="0" fillId="0" borderId="15" xfId="0" applyBorder="1" applyAlignment="1" applyProtection="1">
      <alignment horizontal="left"/>
    </xf>
    <xf numFmtId="0" fontId="0" fillId="0" borderId="15" xfId="0" applyBorder="1" applyAlignment="1" applyProtection="1">
      <alignment horizontal="center"/>
    </xf>
    <xf numFmtId="0" fontId="0" fillId="0" borderId="50" xfId="0" applyBorder="1" applyAlignment="1" applyProtection="1">
      <alignment horizontal="center"/>
    </xf>
    <xf numFmtId="5" fontId="0" fillId="0" borderId="63" xfId="0" applyNumberFormat="1" applyBorder="1" applyProtection="1"/>
    <xf numFmtId="0" fontId="0" fillId="0" borderId="0" xfId="0" applyFont="1" applyProtection="1"/>
    <xf numFmtId="0" fontId="0" fillId="0" borderId="43" xfId="0" applyBorder="1" applyAlignment="1" applyProtection="1">
      <alignment horizontal="center"/>
    </xf>
    <xf numFmtId="0" fontId="0" fillId="0" borderId="19" xfId="0" applyBorder="1" applyAlignment="1" applyProtection="1">
      <alignment horizontal="center"/>
    </xf>
    <xf numFmtId="0" fontId="4" fillId="0" borderId="19" xfId="0" applyFont="1" applyBorder="1" applyAlignment="1" applyProtection="1">
      <alignment horizontal="left" wrapText="1"/>
    </xf>
    <xf numFmtId="37" fontId="0" fillId="0" borderId="44" xfId="0" applyNumberFormat="1" applyBorder="1" applyProtection="1"/>
    <xf numFmtId="5" fontId="0" fillId="40" borderId="0" xfId="0" applyNumberFormat="1" applyFill="1" applyProtection="1"/>
    <xf numFmtId="0" fontId="0" fillId="40" borderId="36" xfId="0" applyFill="1" applyBorder="1"/>
    <xf numFmtId="0" fontId="0" fillId="0" borderId="31" xfId="0" applyBorder="1" applyAlignment="1">
      <alignment horizontal="right"/>
    </xf>
    <xf numFmtId="5" fontId="0" fillId="40" borderId="36" xfId="0" applyNumberFormat="1" applyFill="1" applyBorder="1" applyProtection="1"/>
    <xf numFmtId="0" fontId="0" fillId="0" borderId="57" xfId="0" applyBorder="1" applyAlignment="1">
      <alignment horizontal="center"/>
    </xf>
    <xf numFmtId="0" fontId="5" fillId="0" borderId="12" xfId="0" applyFont="1" applyBorder="1" applyAlignment="1" applyProtection="1">
      <alignment horizontal="centerContinuous"/>
    </xf>
    <xf numFmtId="0" fontId="47" fillId="29" borderId="32" xfId="0" applyFont="1" applyFill="1" applyBorder="1" applyAlignment="1" applyProtection="1">
      <alignment horizontal="centerContinuous"/>
    </xf>
    <xf numFmtId="0" fontId="47" fillId="29" borderId="18" xfId="0" applyFont="1" applyFill="1" applyBorder="1" applyAlignment="1" applyProtection="1">
      <alignment horizontal="centerContinuous"/>
    </xf>
    <xf numFmtId="0" fontId="47" fillId="29" borderId="18" xfId="0" applyFont="1" applyFill="1" applyBorder="1" applyProtection="1"/>
    <xf numFmtId="0" fontId="47" fillId="29" borderId="23" xfId="0" applyFont="1" applyFill="1" applyBorder="1" applyAlignment="1" applyProtection="1">
      <alignment horizontal="center"/>
    </xf>
    <xf numFmtId="0" fontId="0" fillId="0" borderId="45" xfId="0" applyBorder="1" applyAlignment="1" applyProtection="1">
      <alignment horizontal="centerContinuous"/>
    </xf>
    <xf numFmtId="0" fontId="0" fillId="0" borderId="53" xfId="0" applyBorder="1" applyAlignment="1" applyProtection="1">
      <alignment horizontal="centerContinuous"/>
    </xf>
    <xf numFmtId="0" fontId="0" fillId="0" borderId="46" xfId="0" applyBorder="1" applyAlignment="1" applyProtection="1">
      <alignment horizontal="center"/>
    </xf>
    <xf numFmtId="0" fontId="47" fillId="29" borderId="17" xfId="0" applyFont="1" applyFill="1" applyBorder="1" applyAlignment="1" applyProtection="1">
      <alignment horizontal="center"/>
    </xf>
    <xf numFmtId="0" fontId="45" fillId="0" borderId="30" xfId="0" applyFont="1" applyBorder="1" applyAlignment="1" applyProtection="1">
      <alignment horizontal="centerContinuous"/>
    </xf>
    <xf numFmtId="0" fontId="47" fillId="29" borderId="25" xfId="0" applyFont="1" applyFill="1" applyBorder="1" applyAlignment="1" applyProtection="1">
      <alignment horizontal="center"/>
    </xf>
    <xf numFmtId="0" fontId="0" fillId="0" borderId="18" xfId="0" applyBorder="1" applyAlignment="1" applyProtection="1">
      <alignment horizontal="center"/>
    </xf>
    <xf numFmtId="0" fontId="45" fillId="0" borderId="28" xfId="0" applyFont="1" applyBorder="1" applyAlignment="1" applyProtection="1">
      <alignment horizontal="center"/>
    </xf>
    <xf numFmtId="0" fontId="47" fillId="29" borderId="28" xfId="0" applyFont="1" applyFill="1" applyBorder="1" applyAlignment="1" applyProtection="1">
      <alignment horizontal="center"/>
    </xf>
    <xf numFmtId="0" fontId="0" fillId="0" borderId="32" xfId="0" applyBorder="1" applyAlignment="1" applyProtection="1">
      <alignment horizontal="center"/>
    </xf>
    <xf numFmtId="0" fontId="47" fillId="29" borderId="50" xfId="0" applyFont="1" applyFill="1" applyBorder="1" applyAlignment="1" applyProtection="1">
      <alignment horizontal="center"/>
    </xf>
    <xf numFmtId="38" fontId="0" fillId="0" borderId="35" xfId="0" applyNumberFormat="1" applyBorder="1" applyProtection="1"/>
    <xf numFmtId="0" fontId="47" fillId="29" borderId="23" xfId="0" applyFont="1" applyFill="1" applyBorder="1" applyAlignment="1" applyProtection="1">
      <alignment horizontal="right"/>
    </xf>
    <xf numFmtId="0" fontId="0" fillId="0" borderId="35" xfId="0" applyBorder="1" applyAlignment="1" applyProtection="1">
      <alignment horizontal="right"/>
    </xf>
    <xf numFmtId="0" fontId="47" fillId="29" borderId="17" xfId="0" applyFont="1" applyFill="1" applyBorder="1" applyAlignment="1" applyProtection="1">
      <alignment horizontal="right"/>
    </xf>
    <xf numFmtId="38" fontId="47" fillId="29" borderId="35" xfId="0" applyNumberFormat="1" applyFont="1" applyFill="1" applyBorder="1" applyProtection="1"/>
    <xf numFmtId="37" fontId="47" fillId="29" borderId="35" xfId="0" applyNumberFormat="1" applyFont="1" applyFill="1" applyBorder="1" applyProtection="1"/>
    <xf numFmtId="38" fontId="47" fillId="29" borderId="39" xfId="0" applyNumberFormat="1" applyFont="1" applyFill="1" applyBorder="1" applyProtection="1"/>
    <xf numFmtId="37" fontId="47" fillId="29" borderId="39" xfId="0" applyNumberFormat="1" applyFont="1" applyFill="1" applyBorder="1" applyProtection="1"/>
    <xf numFmtId="0" fontId="47" fillId="29" borderId="64" xfId="0" applyFont="1" applyFill="1" applyBorder="1" applyAlignment="1" applyProtection="1">
      <alignment horizontal="center"/>
    </xf>
    <xf numFmtId="0" fontId="47" fillId="29" borderId="56" xfId="0" applyFont="1" applyFill="1" applyBorder="1" applyAlignment="1" applyProtection="1">
      <alignment horizontal="center"/>
    </xf>
    <xf numFmtId="5" fontId="47" fillId="29" borderId="56" xfId="0" applyNumberFormat="1" applyFont="1" applyFill="1" applyBorder="1" applyProtection="1"/>
    <xf numFmtId="0" fontId="47" fillId="41" borderId="64" xfId="0" applyFont="1" applyFill="1" applyBorder="1" applyProtection="1"/>
    <xf numFmtId="0" fontId="47" fillId="41" borderId="56" xfId="0" applyFont="1" applyFill="1" applyBorder="1" applyProtection="1"/>
    <xf numFmtId="0" fontId="0" fillId="0" borderId="58" xfId="0" applyBorder="1" applyAlignment="1" applyProtection="1">
      <alignment horizontal="center"/>
    </xf>
    <xf numFmtId="0" fontId="5" fillId="0" borderId="21" xfId="0" applyFont="1" applyBorder="1" applyAlignment="1" applyProtection="1">
      <alignment horizontal="centerContinuous"/>
    </xf>
    <xf numFmtId="0" fontId="5" fillId="0" borderId="19" xfId="0" applyFont="1" applyBorder="1" applyAlignment="1" applyProtection="1">
      <alignment horizontal="centerContinuous"/>
    </xf>
    <xf numFmtId="0" fontId="0" fillId="0" borderId="74" xfId="0" applyBorder="1" applyAlignment="1" applyProtection="1">
      <alignment horizontal="center"/>
    </xf>
    <xf numFmtId="0" fontId="0" fillId="0" borderId="15" xfId="0" applyBorder="1" applyAlignment="1" applyProtection="1">
      <alignment horizontal="centerContinuous"/>
    </xf>
    <xf numFmtId="0" fontId="0" fillId="0" borderId="16" xfId="0" applyBorder="1" applyAlignment="1" applyProtection="1">
      <alignment horizontal="centerContinuous"/>
    </xf>
    <xf numFmtId="0" fontId="0" fillId="0" borderId="14" xfId="0" applyBorder="1" applyAlignment="1" applyProtection="1">
      <alignment horizontal="centerContinuous"/>
    </xf>
    <xf numFmtId="0" fontId="0" fillId="0" borderId="100" xfId="0" applyBorder="1" applyAlignment="1" applyProtection="1">
      <alignment horizontal="centerContinuous"/>
    </xf>
    <xf numFmtId="0" fontId="0" fillId="0" borderId="101" xfId="0" applyBorder="1" applyAlignment="1" applyProtection="1">
      <alignment horizontal="centerContinuous"/>
    </xf>
    <xf numFmtId="0" fontId="0" fillId="0" borderId="65" xfId="0" applyBorder="1" applyAlignment="1" applyProtection="1">
      <alignment horizontal="center"/>
    </xf>
    <xf numFmtId="0" fontId="0" fillId="0" borderId="66" xfId="0" applyBorder="1" applyAlignment="1" applyProtection="1">
      <alignment horizontal="center"/>
    </xf>
    <xf numFmtId="0" fontId="0" fillId="0" borderId="22" xfId="0" applyBorder="1" applyAlignment="1" applyProtection="1">
      <alignment horizontal="center"/>
    </xf>
    <xf numFmtId="0" fontId="0" fillId="0" borderId="19" xfId="0" applyBorder="1" applyAlignment="1" applyProtection="1"/>
    <xf numFmtId="0" fontId="0" fillId="0" borderId="22" xfId="0" applyBorder="1" applyAlignment="1" applyProtection="1"/>
    <xf numFmtId="0" fontId="0" fillId="0" borderId="21" xfId="0" applyBorder="1" applyAlignment="1" applyProtection="1">
      <alignment horizontal="centerContinuous"/>
    </xf>
    <xf numFmtId="0" fontId="0" fillId="0" borderId="65" xfId="0" applyBorder="1" applyAlignment="1" applyProtection="1">
      <alignment horizontal="right"/>
    </xf>
    <xf numFmtId="0" fontId="0" fillId="0" borderId="17" xfId="0" applyBorder="1" applyAlignment="1" applyProtection="1">
      <alignment horizontal="right"/>
    </xf>
    <xf numFmtId="37" fontId="0" fillId="0" borderId="18" xfId="0" applyNumberFormat="1" applyBorder="1" applyAlignment="1" applyProtection="1">
      <alignment horizontal="right"/>
    </xf>
    <xf numFmtId="0" fontId="0" fillId="0" borderId="65" xfId="0" applyBorder="1" applyProtection="1"/>
    <xf numFmtId="0" fontId="0" fillId="0" borderId="66" xfId="0" applyBorder="1" applyProtection="1"/>
    <xf numFmtId="0" fontId="0" fillId="0" borderId="64" xfId="0" applyBorder="1" applyProtection="1"/>
    <xf numFmtId="0" fontId="0" fillId="0" borderId="26" xfId="0" applyBorder="1" applyAlignment="1" applyProtection="1">
      <alignment horizontal="centerContinuous"/>
    </xf>
    <xf numFmtId="0" fontId="0" fillId="0" borderId="24" xfId="0" applyBorder="1" applyAlignment="1" applyProtection="1">
      <alignment horizontal="center"/>
    </xf>
    <xf numFmtId="0" fontId="0" fillId="0" borderId="6" xfId="0" applyBorder="1" applyAlignment="1" applyProtection="1">
      <alignment horizontal="center"/>
    </xf>
    <xf numFmtId="0" fontId="0" fillId="0" borderId="26" xfId="0" applyBorder="1" applyAlignment="1" applyProtection="1">
      <alignment horizontal="center"/>
    </xf>
    <xf numFmtId="0" fontId="0" fillId="0" borderId="27" xfId="0" applyBorder="1" applyAlignment="1" applyProtection="1">
      <alignment horizontal="centerContinuous"/>
    </xf>
    <xf numFmtId="0" fontId="0" fillId="0" borderId="27" xfId="0" applyBorder="1" applyAlignment="1" applyProtection="1">
      <alignment horizontal="center"/>
    </xf>
    <xf numFmtId="0" fontId="69" fillId="0" borderId="0" xfId="0" applyFont="1" applyAlignment="1" applyProtection="1">
      <alignment horizontal="center"/>
    </xf>
    <xf numFmtId="0" fontId="0" fillId="0" borderId="30" xfId="0" applyBorder="1" applyAlignment="1" applyProtection="1">
      <alignment horizontal="centerContinuous"/>
    </xf>
    <xf numFmtId="0" fontId="0" fillId="0" borderId="30" xfId="0" applyBorder="1" applyAlignment="1" applyProtection="1">
      <alignment horizontal="center"/>
    </xf>
    <xf numFmtId="0" fontId="0" fillId="0" borderId="52" xfId="0" applyBorder="1" applyAlignment="1" applyProtection="1">
      <alignment horizontal="center"/>
    </xf>
    <xf numFmtId="0" fontId="0" fillId="0" borderId="59" xfId="0" applyBorder="1" applyAlignment="1" applyProtection="1">
      <alignment horizontal="center"/>
    </xf>
    <xf numFmtId="0" fontId="0" fillId="0" borderId="45" xfId="0" applyBorder="1" applyProtection="1"/>
    <xf numFmtId="0" fontId="0" fillId="40" borderId="37" xfId="0" applyFill="1" applyBorder="1" applyProtection="1"/>
    <xf numFmtId="0" fontId="0" fillId="40" borderId="24" xfId="0" applyFill="1" applyBorder="1" applyProtection="1"/>
    <xf numFmtId="0" fontId="0" fillId="40" borderId="26" xfId="0" applyFill="1" applyBorder="1" applyProtection="1"/>
    <xf numFmtId="0" fontId="0" fillId="40" borderId="39" xfId="0" applyFill="1" applyBorder="1" applyProtection="1"/>
    <xf numFmtId="0" fontId="0" fillId="40" borderId="35" xfId="0" applyFill="1" applyBorder="1" applyProtection="1"/>
    <xf numFmtId="0" fontId="52" fillId="0" borderId="0" xfId="0" applyFont="1" applyBorder="1" applyProtection="1"/>
    <xf numFmtId="0" fontId="4" fillId="0" borderId="34" xfId="0" applyFont="1" applyBorder="1" applyAlignment="1" applyProtection="1">
      <alignment horizontal="center"/>
    </xf>
    <xf numFmtId="0" fontId="4" fillId="0" borderId="0" xfId="0" applyFont="1" applyBorder="1" applyAlignment="1" applyProtection="1">
      <alignment horizontal="centerContinuous"/>
    </xf>
    <xf numFmtId="0" fontId="19" fillId="0" borderId="17" xfId="0" applyFont="1" applyBorder="1" applyProtection="1">
      <protection locked="0"/>
    </xf>
    <xf numFmtId="0" fontId="19" fillId="0" borderId="18" xfId="0" applyFont="1" applyBorder="1" applyProtection="1">
      <protection locked="0"/>
    </xf>
    <xf numFmtId="0" fontId="70" fillId="0" borderId="0" xfId="0" applyFont="1" applyProtection="1">
      <protection locked="0"/>
    </xf>
    <xf numFmtId="0" fontId="19" fillId="0" borderId="21" xfId="0" applyFont="1" applyBorder="1" applyProtection="1">
      <protection locked="0"/>
    </xf>
    <xf numFmtId="0" fontId="19" fillId="0" borderId="19" xfId="0" applyFont="1" applyBorder="1" applyProtection="1">
      <protection locked="0"/>
    </xf>
    <xf numFmtId="0" fontId="19" fillId="0" borderId="22" xfId="0" applyFont="1" applyBorder="1" applyProtection="1">
      <protection locked="0"/>
    </xf>
    <xf numFmtId="0" fontId="64" fillId="0" borderId="0" xfId="0" applyFont="1"/>
    <xf numFmtId="0" fontId="64" fillId="0" borderId="14" xfId="0" applyFont="1" applyBorder="1"/>
    <xf numFmtId="0" fontId="64" fillId="0" borderId="15" xfId="0" applyFont="1" applyBorder="1"/>
    <xf numFmtId="0" fontId="64" fillId="0" borderId="16" xfId="0" applyFont="1" applyBorder="1"/>
    <xf numFmtId="0" fontId="0" fillId="0" borderId="23" xfId="0" applyBorder="1"/>
    <xf numFmtId="0" fontId="0" fillId="0" borderId="37" xfId="0" applyBorder="1"/>
    <xf numFmtId="0" fontId="0" fillId="0" borderId="39" xfId="0" applyBorder="1"/>
    <xf numFmtId="0" fontId="0" fillId="0" borderId="35" xfId="0" applyBorder="1" applyAlignment="1">
      <alignment horizontal="right"/>
    </xf>
    <xf numFmtId="37" fontId="19" fillId="0" borderId="12" xfId="0" applyNumberFormat="1" applyFont="1" applyBorder="1" applyProtection="1">
      <protection locked="0"/>
    </xf>
    <xf numFmtId="0" fontId="0" fillId="0" borderId="12" xfId="0" applyBorder="1" applyAlignment="1">
      <alignment horizontal="left"/>
    </xf>
    <xf numFmtId="0" fontId="0" fillId="0" borderId="26" xfId="0" applyBorder="1" applyAlignment="1">
      <alignment horizontal="centerContinuous"/>
    </xf>
    <xf numFmtId="0" fontId="19" fillId="0" borderId="18" xfId="0" applyFont="1" applyBorder="1" applyAlignment="1" applyProtection="1">
      <alignment horizontal="centerContinuous"/>
      <protection locked="0"/>
    </xf>
    <xf numFmtId="0" fontId="0" fillId="0" borderId="24" xfId="0" applyBorder="1" applyAlignment="1">
      <alignment horizontal="centerContinuous"/>
    </xf>
    <xf numFmtId="0" fontId="35" fillId="0" borderId="0" xfId="0" applyFont="1"/>
    <xf numFmtId="0" fontId="35" fillId="0" borderId="14" xfId="0" applyFont="1" applyBorder="1"/>
    <xf numFmtId="0" fontId="35" fillId="0" borderId="15" xfId="0" applyFont="1" applyBorder="1"/>
    <xf numFmtId="0" fontId="0" fillId="0" borderId="17" xfId="0" applyBorder="1" applyAlignment="1">
      <alignment horizontal="left"/>
    </xf>
    <xf numFmtId="170" fontId="19" fillId="0" borderId="12" xfId="0" applyNumberFormat="1" applyFont="1" applyBorder="1" applyProtection="1">
      <protection locked="0"/>
    </xf>
    <xf numFmtId="9" fontId="0" fillId="0" borderId="12" xfId="0" applyNumberFormat="1" applyBorder="1" applyProtection="1"/>
    <xf numFmtId="0" fontId="19" fillId="0" borderId="12" xfId="0" applyFont="1" applyBorder="1" applyProtection="1">
      <protection locked="0"/>
    </xf>
    <xf numFmtId="9" fontId="19" fillId="0" borderId="12" xfId="0" applyNumberFormat="1" applyFont="1" applyBorder="1" applyProtection="1">
      <protection locked="0"/>
    </xf>
    <xf numFmtId="5" fontId="19" fillId="0" borderId="12" xfId="0" applyNumberFormat="1" applyFont="1" applyBorder="1" applyProtection="1">
      <protection locked="0"/>
    </xf>
    <xf numFmtId="0" fontId="35" fillId="0" borderId="0" xfId="0" applyFont="1" applyAlignment="1" applyProtection="1">
      <alignment horizontal="centerContinuous"/>
    </xf>
    <xf numFmtId="0" fontId="0" fillId="0" borderId="0" xfId="0" applyAlignment="1" applyProtection="1">
      <alignment horizontal="right"/>
    </xf>
    <xf numFmtId="0" fontId="35" fillId="0" borderId="17" xfId="0" applyFont="1" applyBorder="1" applyAlignment="1">
      <alignment horizontal="centerContinuous"/>
    </xf>
    <xf numFmtId="0" fontId="35" fillId="0" borderId="0" xfId="0" applyFont="1" applyAlignment="1">
      <alignment horizontal="centerContinuous"/>
    </xf>
    <xf numFmtId="0" fontId="71" fillId="0" borderId="0" xfId="0" applyFont="1" applyAlignment="1">
      <alignment horizontal="center"/>
    </xf>
    <xf numFmtId="0" fontId="35" fillId="0" borderId="12" xfId="0" applyFont="1" applyBorder="1" applyAlignment="1">
      <alignment horizontal="center"/>
    </xf>
    <xf numFmtId="0" fontId="35" fillId="0" borderId="12" xfId="0" applyFont="1" applyBorder="1"/>
    <xf numFmtId="37" fontId="0" fillId="0" borderId="59" xfId="0" applyNumberFormat="1" applyBorder="1" applyProtection="1"/>
    <xf numFmtId="0" fontId="0" fillId="0" borderId="49" xfId="0" applyBorder="1"/>
    <xf numFmtId="0" fontId="35" fillId="0" borderId="19" xfId="0" applyFont="1" applyBorder="1"/>
    <xf numFmtId="0" fontId="3" fillId="0" borderId="17" xfId="0" applyFont="1" applyBorder="1" applyAlignment="1" applyProtection="1">
      <alignment horizontal="centerContinuous"/>
    </xf>
    <xf numFmtId="0" fontId="0" fillId="0" borderId="17" xfId="0" applyBorder="1" applyAlignment="1" applyProtection="1">
      <alignment horizontal="center" vertical="top"/>
    </xf>
    <xf numFmtId="0" fontId="16" fillId="0" borderId="0" xfId="0" applyFont="1" applyAlignment="1" applyProtection="1">
      <alignment horizontal="centerContinuous" wrapText="1"/>
    </xf>
    <xf numFmtId="0" fontId="35" fillId="0" borderId="0" xfId="0" applyFont="1" applyAlignment="1" applyProtection="1">
      <alignment horizontal="center"/>
    </xf>
    <xf numFmtId="0" fontId="35" fillId="0" borderId="0" xfId="0" applyFont="1" applyProtection="1"/>
    <xf numFmtId="37" fontId="19" fillId="0" borderId="18" xfId="0" applyNumberFormat="1" applyFont="1" applyBorder="1" applyProtection="1">
      <protection locked="0"/>
    </xf>
    <xf numFmtId="0" fontId="0" fillId="0" borderId="6" xfId="0" applyBorder="1"/>
    <xf numFmtId="0" fontId="0" fillId="0" borderId="26" xfId="0" applyBorder="1" applyAlignment="1">
      <alignment horizontal="center"/>
    </xf>
    <xf numFmtId="170" fontId="19" fillId="0" borderId="27" xfId="0" applyNumberFormat="1" applyFont="1" applyBorder="1" applyProtection="1">
      <protection locked="0"/>
    </xf>
    <xf numFmtId="170" fontId="19" fillId="40" borderId="54" xfId="0" applyNumberFormat="1" applyFont="1" applyFill="1" applyBorder="1" applyProtection="1">
      <protection locked="0"/>
    </xf>
    <xf numFmtId="0" fontId="19" fillId="0" borderId="27" xfId="0" applyFont="1" applyBorder="1" applyProtection="1">
      <protection locked="0"/>
    </xf>
    <xf numFmtId="0" fontId="19" fillId="0" borderId="33" xfId="0" applyFont="1" applyBorder="1" applyProtection="1">
      <protection locked="0"/>
    </xf>
    <xf numFmtId="37" fontId="19" fillId="0" borderId="22" xfId="0" applyNumberFormat="1" applyFont="1" applyBorder="1" applyProtection="1">
      <protection locked="0"/>
    </xf>
    <xf numFmtId="0" fontId="14" fillId="0" borderId="14" xfId="0" applyFont="1" applyBorder="1"/>
    <xf numFmtId="0" fontId="57" fillId="29" borderId="15" xfId="0" applyFont="1" applyFill="1" applyBorder="1"/>
    <xf numFmtId="0" fontId="14" fillId="0" borderId="16" xfId="0" applyFont="1" applyBorder="1"/>
    <xf numFmtId="0" fontId="48" fillId="29" borderId="17" xfId="0" applyFont="1" applyFill="1" applyBorder="1" applyAlignment="1">
      <alignment horizontal="centerContinuous" vertical="center"/>
    </xf>
    <xf numFmtId="0" fontId="4" fillId="0" borderId="0" xfId="0" applyFont="1" applyAlignment="1">
      <alignment horizontal="centerContinuous" vertical="center"/>
    </xf>
    <xf numFmtId="0" fontId="57" fillId="29" borderId="18" xfId="0" applyFont="1" applyFill="1" applyBorder="1" applyAlignment="1">
      <alignment horizontal="centerContinuous" vertical="center"/>
    </xf>
    <xf numFmtId="0" fontId="57" fillId="29" borderId="17" xfId="0" applyFont="1" applyFill="1" applyBorder="1"/>
    <xf numFmtId="0" fontId="57" fillId="29" borderId="18" xfId="0" applyFont="1" applyFill="1" applyBorder="1"/>
    <xf numFmtId="0" fontId="72" fillId="0" borderId="0" xfId="0" applyFont="1"/>
    <xf numFmtId="0" fontId="73" fillId="29" borderId="18" xfId="0" applyFont="1" applyFill="1" applyBorder="1"/>
    <xf numFmtId="0" fontId="72" fillId="0" borderId="12" xfId="0" applyFont="1" applyBorder="1"/>
    <xf numFmtId="0" fontId="73" fillId="29" borderId="32" xfId="0" applyFont="1" applyFill="1" applyBorder="1"/>
    <xf numFmtId="0" fontId="47" fillId="29" borderId="23" xfId="0" applyFont="1" applyFill="1" applyBorder="1"/>
    <xf numFmtId="0" fontId="47" fillId="29" borderId="17" xfId="0" applyFont="1" applyFill="1" applyBorder="1"/>
    <xf numFmtId="0" fontId="47" fillId="29" borderId="17" xfId="0" applyFont="1" applyFill="1" applyBorder="1" applyAlignment="1">
      <alignment horizontal="centerContinuous"/>
    </xf>
    <xf numFmtId="0" fontId="47" fillId="29" borderId="18" xfId="0" applyFont="1" applyFill="1" applyBorder="1" applyAlignment="1">
      <alignment horizontal="center"/>
    </xf>
    <xf numFmtId="0" fontId="47" fillId="29" borderId="29" xfId="0" applyFont="1" applyFill="1" applyBorder="1" applyAlignment="1">
      <alignment horizontal="centerContinuous"/>
    </xf>
    <xf numFmtId="0" fontId="47" fillId="29" borderId="33" xfId="0" applyFont="1" applyFill="1" applyBorder="1"/>
    <xf numFmtId="0" fontId="47" fillId="29" borderId="19" xfId="0" applyFont="1" applyFill="1" applyBorder="1" applyAlignment="1">
      <alignment horizontal="center"/>
    </xf>
    <xf numFmtId="0" fontId="62" fillId="0" borderId="0" xfId="106"/>
    <xf numFmtId="37" fontId="4" fillId="0" borderId="27" xfId="106" applyNumberFormat="1" applyFont="1" applyBorder="1" applyProtection="1"/>
    <xf numFmtId="37" fontId="4" fillId="0" borderId="18" xfId="106" applyNumberFormat="1" applyFont="1" applyBorder="1" applyProtection="1"/>
    <xf numFmtId="0" fontId="47" fillId="29" borderId="12" xfId="106" applyFont="1" applyFill="1" applyBorder="1"/>
    <xf numFmtId="0" fontId="47" fillId="29" borderId="0" xfId="106" applyFont="1" applyFill="1"/>
    <xf numFmtId="0" fontId="47" fillId="29" borderId="0" xfId="106" applyFont="1" applyFill="1" applyAlignment="1">
      <alignment horizontal="center"/>
    </xf>
    <xf numFmtId="0" fontId="47" fillId="29" borderId="0" xfId="106" applyFont="1" applyFill="1" applyAlignment="1">
      <alignment horizontal="centerContinuous"/>
    </xf>
    <xf numFmtId="0" fontId="4" fillId="0" borderId="0" xfId="106" applyFont="1"/>
    <xf numFmtId="0" fontId="47" fillId="29" borderId="14" xfId="106" applyFont="1" applyFill="1" applyBorder="1"/>
    <xf numFmtId="0" fontId="47" fillId="29" borderId="15" xfId="106" applyFont="1" applyFill="1" applyBorder="1"/>
    <xf numFmtId="0" fontId="47" fillId="29" borderId="16" xfId="106" applyFont="1" applyFill="1" applyBorder="1"/>
    <xf numFmtId="0" fontId="48" fillId="29" borderId="17" xfId="106" applyFont="1" applyFill="1" applyBorder="1" applyAlignment="1">
      <alignment horizontal="centerContinuous"/>
    </xf>
    <xf numFmtId="0" fontId="4" fillId="0" borderId="0" xfId="106" applyFont="1" applyAlignment="1">
      <alignment horizontal="centerContinuous"/>
    </xf>
    <xf numFmtId="0" fontId="47" fillId="29" borderId="18" xfId="106" applyFont="1" applyFill="1" applyBorder="1" applyAlignment="1">
      <alignment horizontal="centerContinuous"/>
    </xf>
    <xf numFmtId="0" fontId="47" fillId="29" borderId="29" xfId="106" applyFont="1" applyFill="1" applyBorder="1"/>
    <xf numFmtId="0" fontId="47" fillId="29" borderId="32" xfId="106" applyFont="1" applyFill="1" applyBorder="1"/>
    <xf numFmtId="0" fontId="47" fillId="29" borderId="17" xfId="106" applyFont="1" applyFill="1" applyBorder="1"/>
    <xf numFmtId="0" fontId="47" fillId="29" borderId="18" xfId="106" applyFont="1" applyFill="1" applyBorder="1"/>
    <xf numFmtId="0" fontId="47" fillId="29" borderId="50" xfId="106" applyFont="1" applyFill="1" applyBorder="1"/>
    <xf numFmtId="0" fontId="47" fillId="29" borderId="6" xfId="106" applyFont="1" applyFill="1" applyBorder="1"/>
    <xf numFmtId="0" fontId="47" fillId="29" borderId="59" xfId="106" applyFont="1" applyFill="1" applyBorder="1" applyAlignment="1">
      <alignment horizontal="centerContinuous"/>
    </xf>
    <xf numFmtId="0" fontId="4" fillId="0" borderId="59" xfId="106" applyFont="1" applyBorder="1" applyAlignment="1">
      <alignment horizontal="centerContinuous"/>
    </xf>
    <xf numFmtId="0" fontId="47" fillId="29" borderId="102" xfId="106" applyFont="1" applyFill="1" applyBorder="1" applyAlignment="1"/>
    <xf numFmtId="0" fontId="47" fillId="29" borderId="46" xfId="106" applyFont="1" applyFill="1" applyBorder="1" applyAlignment="1">
      <alignment horizontal="centerContinuous"/>
    </xf>
    <xf numFmtId="0" fontId="47" fillId="29" borderId="41" xfId="106" applyFont="1" applyFill="1" applyBorder="1" applyAlignment="1">
      <alignment horizontal="center"/>
    </xf>
    <xf numFmtId="0" fontId="47" fillId="29" borderId="27" xfId="106" applyFont="1" applyFill="1" applyBorder="1" applyAlignment="1">
      <alignment horizontal="center"/>
    </xf>
    <xf numFmtId="0" fontId="4" fillId="0" borderId="27" xfId="106" applyFont="1" applyBorder="1"/>
    <xf numFmtId="0" fontId="47" fillId="29" borderId="28" xfId="106" applyFont="1" applyFill="1" applyBorder="1" applyAlignment="1">
      <alignment horizontal="center"/>
    </xf>
    <xf numFmtId="0" fontId="4" fillId="0" borderId="18" xfId="106" applyFont="1" applyBorder="1"/>
    <xf numFmtId="0" fontId="47" fillId="29" borderId="41" xfId="106" applyFont="1" applyFill="1" applyBorder="1"/>
    <xf numFmtId="0" fontId="47" fillId="29" borderId="18" xfId="106" applyFont="1" applyFill="1" applyBorder="1" applyAlignment="1">
      <alignment horizontal="center"/>
    </xf>
    <xf numFmtId="0" fontId="47" fillId="29" borderId="27" xfId="106" applyFont="1" applyFill="1" applyBorder="1"/>
    <xf numFmtId="0" fontId="47" fillId="29" borderId="50" xfId="106" applyFont="1" applyFill="1" applyBorder="1" applyAlignment="1">
      <alignment horizontal="center"/>
    </xf>
    <xf numFmtId="0" fontId="47" fillId="29" borderId="26" xfId="106" applyFont="1" applyFill="1" applyBorder="1"/>
    <xf numFmtId="171" fontId="47" fillId="29" borderId="27" xfId="106" applyNumberFormat="1" applyFont="1" applyFill="1" applyBorder="1" applyProtection="1"/>
    <xf numFmtId="0" fontId="47" fillId="29" borderId="42" xfId="106" applyFont="1" applyFill="1" applyBorder="1" applyAlignment="1">
      <alignment horizontal="center"/>
    </xf>
    <xf numFmtId="171" fontId="47" fillId="29" borderId="30" xfId="106" applyNumberFormat="1" applyFont="1" applyFill="1" applyBorder="1" applyProtection="1"/>
    <xf numFmtId="0" fontId="47" fillId="29" borderId="30" xfId="106" applyFont="1" applyFill="1" applyBorder="1"/>
    <xf numFmtId="0" fontId="47" fillId="29" borderId="17" xfId="106" applyFont="1" applyFill="1" applyBorder="1" applyAlignment="1">
      <alignment horizontal="center"/>
    </xf>
    <xf numFmtId="0" fontId="47" fillId="29" borderId="45" xfId="106" applyFont="1" applyFill="1" applyBorder="1" applyAlignment="1">
      <alignment horizontal="centerContinuous"/>
    </xf>
    <xf numFmtId="0" fontId="47" fillId="29" borderId="59" xfId="106" applyFont="1" applyFill="1" applyBorder="1"/>
    <xf numFmtId="0" fontId="47" fillId="29" borderId="45" xfId="106" applyFont="1" applyFill="1" applyBorder="1"/>
    <xf numFmtId="0" fontId="47" fillId="29" borderId="12" xfId="106" applyFont="1" applyFill="1" applyBorder="1" applyAlignment="1">
      <alignment horizontal="centerContinuous"/>
    </xf>
    <xf numFmtId="0" fontId="47" fillId="29" borderId="30" xfId="106" applyFont="1" applyFill="1" applyBorder="1" applyAlignment="1">
      <alignment horizontal="centerContinuous"/>
    </xf>
    <xf numFmtId="0" fontId="47" fillId="29" borderId="32" xfId="106" applyFont="1" applyFill="1" applyBorder="1" applyAlignment="1">
      <alignment horizontal="centerContinuous"/>
    </xf>
    <xf numFmtId="0" fontId="47" fillId="29" borderId="43" xfId="106" applyFont="1" applyFill="1" applyBorder="1" applyAlignment="1">
      <alignment horizontal="center"/>
    </xf>
    <xf numFmtId="0" fontId="47" fillId="29" borderId="33" xfId="106" applyFont="1" applyFill="1" applyBorder="1"/>
    <xf numFmtId="0" fontId="47" fillId="29" borderId="22" xfId="106" applyFont="1" applyFill="1" applyBorder="1"/>
    <xf numFmtId="0" fontId="4" fillId="0" borderId="0" xfId="106" applyFont="1" applyAlignment="1">
      <alignment horizontal="right"/>
    </xf>
    <xf numFmtId="0" fontId="54" fillId="29" borderId="0" xfId="106" applyFont="1" applyFill="1"/>
    <xf numFmtId="0" fontId="4" fillId="0" borderId="27" xfId="106" applyFont="1" applyBorder="1" applyAlignment="1">
      <alignment horizontal="center"/>
    </xf>
    <xf numFmtId="0" fontId="54" fillId="29" borderId="0" xfId="106" applyFont="1" applyFill="1" applyAlignment="1">
      <alignment horizontal="center"/>
    </xf>
    <xf numFmtId="0" fontId="4" fillId="0" borderId="0" xfId="106" applyFont="1" applyAlignment="1">
      <alignment horizontal="centerContinuous" vertical="center"/>
    </xf>
    <xf numFmtId="0" fontId="54" fillId="29" borderId="14" xfId="106" applyFont="1" applyFill="1" applyBorder="1"/>
    <xf numFmtId="0" fontId="54" fillId="29" borderId="15" xfId="106" applyFont="1" applyFill="1" applyBorder="1"/>
    <xf numFmtId="0" fontId="54" fillId="29" borderId="16" xfId="106" applyFont="1" applyFill="1" applyBorder="1"/>
    <xf numFmtId="0" fontId="39" fillId="29" borderId="17" xfId="106" applyFont="1" applyFill="1" applyBorder="1" applyAlignment="1">
      <alignment horizontal="centerContinuous"/>
    </xf>
    <xf numFmtId="0" fontId="54" fillId="29" borderId="0" xfId="106" applyFont="1" applyFill="1" applyAlignment="1">
      <alignment horizontal="centerContinuous"/>
    </xf>
    <xf numFmtId="0" fontId="39" fillId="29" borderId="0" xfId="106" applyFont="1" applyFill="1" applyAlignment="1">
      <alignment horizontal="centerContinuous"/>
    </xf>
    <xf numFmtId="0" fontId="54" fillId="29" borderId="18" xfId="106" applyFont="1" applyFill="1" applyBorder="1" applyAlignment="1">
      <alignment horizontal="centerContinuous"/>
    </xf>
    <xf numFmtId="0" fontId="54" fillId="29" borderId="29" xfId="106" applyFont="1" applyFill="1" applyBorder="1"/>
    <xf numFmtId="0" fontId="54" fillId="29" borderId="12" xfId="106" applyFont="1" applyFill="1" applyBorder="1"/>
    <xf numFmtId="0" fontId="54" fillId="29" borderId="32" xfId="106" applyFont="1" applyFill="1" applyBorder="1"/>
    <xf numFmtId="0" fontId="54" fillId="29" borderId="17" xfId="106" applyFont="1" applyFill="1" applyBorder="1"/>
    <xf numFmtId="0" fontId="54" fillId="29" borderId="18" xfId="106" applyFont="1" applyFill="1" applyBorder="1"/>
    <xf numFmtId="0" fontId="54" fillId="29" borderId="50" xfId="106" applyFont="1" applyFill="1" applyBorder="1"/>
    <xf numFmtId="0" fontId="54" fillId="29" borderId="24" xfId="106" applyFont="1" applyFill="1" applyBorder="1"/>
    <xf numFmtId="0" fontId="54" fillId="29" borderId="25" xfId="106" applyFont="1" applyFill="1" applyBorder="1"/>
    <xf numFmtId="0" fontId="54" fillId="29" borderId="59" xfId="106" applyFont="1" applyFill="1" applyBorder="1" applyAlignment="1">
      <alignment horizontal="centerContinuous" vertical="center"/>
    </xf>
    <xf numFmtId="0" fontId="54" fillId="29" borderId="59" xfId="106" applyFont="1" applyFill="1" applyBorder="1" applyAlignment="1">
      <alignment horizontal="centerContinuous"/>
    </xf>
    <xf numFmtId="0" fontId="54" fillId="29" borderId="46" xfId="106" applyFont="1" applyFill="1" applyBorder="1" applyAlignment="1">
      <alignment horizontal="centerContinuous" vertical="center"/>
    </xf>
    <xf numFmtId="0" fontId="54" fillId="29" borderId="41" xfId="106" applyFont="1" applyFill="1" applyBorder="1" applyAlignment="1">
      <alignment horizontal="center"/>
    </xf>
    <xf numFmtId="0" fontId="54" fillId="29" borderId="27" xfId="106" applyFont="1" applyFill="1" applyBorder="1" applyAlignment="1">
      <alignment horizontal="center"/>
    </xf>
    <xf numFmtId="0" fontId="54" fillId="29" borderId="27" xfId="106" applyFont="1" applyFill="1" applyBorder="1" applyAlignment="1">
      <alignment horizontal="right"/>
    </xf>
    <xf numFmtId="0" fontId="54" fillId="29" borderId="36" xfId="106" applyFont="1" applyFill="1" applyBorder="1" applyAlignment="1">
      <alignment horizontal="center"/>
    </xf>
    <xf numFmtId="0" fontId="54" fillId="29" borderId="41" xfId="106" applyFont="1" applyFill="1" applyBorder="1"/>
    <xf numFmtId="0" fontId="54" fillId="29" borderId="18" xfId="106" applyFont="1" applyFill="1" applyBorder="1" applyAlignment="1">
      <alignment horizontal="center"/>
    </xf>
    <xf numFmtId="0" fontId="54" fillId="29" borderId="50" xfId="106" applyFont="1" applyFill="1" applyBorder="1" applyAlignment="1">
      <alignment horizontal="center"/>
    </xf>
    <xf numFmtId="0" fontId="54" fillId="29" borderId="6" xfId="106" applyFont="1" applyFill="1" applyBorder="1" applyAlignment="1">
      <alignment horizontal="left"/>
    </xf>
    <xf numFmtId="0" fontId="54" fillId="29" borderId="6" xfId="106" applyFont="1" applyFill="1" applyBorder="1"/>
    <xf numFmtId="38" fontId="54" fillId="29" borderId="6" xfId="106" applyNumberFormat="1" applyFont="1" applyFill="1" applyBorder="1"/>
    <xf numFmtId="38" fontId="54" fillId="29" borderId="26" xfId="106" applyNumberFormat="1" applyFont="1" applyFill="1" applyBorder="1"/>
    <xf numFmtId="0" fontId="54" fillId="29" borderId="27" xfId="106" applyFont="1" applyFill="1" applyBorder="1" applyAlignment="1">
      <alignment horizontal="left"/>
    </xf>
    <xf numFmtId="0" fontId="54" fillId="29" borderId="27" xfId="106" applyFont="1" applyFill="1" applyBorder="1"/>
    <xf numFmtId="38" fontId="54" fillId="29" borderId="27" xfId="106" applyNumberFormat="1" applyFont="1" applyFill="1" applyBorder="1"/>
    <xf numFmtId="38" fontId="54" fillId="29" borderId="18" xfId="106" applyNumberFormat="1" applyFont="1" applyFill="1" applyBorder="1"/>
    <xf numFmtId="0" fontId="54" fillId="29" borderId="27" xfId="106" applyFont="1" applyFill="1" applyBorder="1" applyAlignment="1">
      <alignment horizontal="centerContinuous"/>
    </xf>
    <xf numFmtId="0" fontId="54" fillId="29" borderId="43" xfId="106" applyFont="1" applyFill="1" applyBorder="1" applyAlignment="1">
      <alignment horizontal="center"/>
    </xf>
    <xf numFmtId="0" fontId="54" fillId="29" borderId="33" xfId="106" applyFont="1" applyFill="1" applyBorder="1"/>
    <xf numFmtId="38" fontId="54" fillId="29" borderId="33" xfId="106" applyNumberFormat="1" applyFont="1" applyFill="1" applyBorder="1"/>
    <xf numFmtId="38" fontId="54" fillId="29" borderId="44" xfId="106" applyNumberFormat="1" applyFont="1" applyFill="1" applyBorder="1"/>
    <xf numFmtId="38" fontId="54" fillId="29" borderId="15" xfId="106" applyNumberFormat="1" applyFont="1" applyFill="1" applyBorder="1"/>
    <xf numFmtId="0" fontId="54" fillId="29" borderId="0" xfId="106" applyFont="1" applyFill="1" applyAlignment="1">
      <alignment horizontal="centerContinuous" vertical="center"/>
    </xf>
    <xf numFmtId="38" fontId="54" fillId="29" borderId="0" xfId="106" applyNumberFormat="1" applyFont="1" applyFill="1" applyBorder="1"/>
    <xf numFmtId="0" fontId="54" fillId="29" borderId="0" xfId="106" applyFont="1" applyFill="1" applyBorder="1" applyAlignment="1">
      <alignment horizontal="center"/>
    </xf>
    <xf numFmtId="0" fontId="74" fillId="29" borderId="0" xfId="106" applyFont="1" applyFill="1" applyBorder="1"/>
    <xf numFmtId="0" fontId="54" fillId="29" borderId="0" xfId="106" applyFont="1" applyFill="1" applyBorder="1"/>
    <xf numFmtId="38" fontId="54" fillId="29" borderId="32" xfId="106" applyNumberFormat="1" applyFont="1" applyFill="1" applyBorder="1"/>
    <xf numFmtId="0" fontId="54" fillId="29" borderId="31" xfId="106" applyFont="1" applyFill="1" applyBorder="1" applyAlignment="1">
      <alignment horizontal="center"/>
    </xf>
    <xf numFmtId="0" fontId="54" fillId="29" borderId="32" xfId="106" applyFont="1" applyFill="1" applyBorder="1" applyAlignment="1">
      <alignment horizontal="center"/>
    </xf>
    <xf numFmtId="0" fontId="54" fillId="29" borderId="40" xfId="106" applyFont="1" applyFill="1" applyBorder="1" applyAlignment="1">
      <alignment horizontal="center"/>
    </xf>
    <xf numFmtId="38" fontId="54" fillId="29" borderId="36" xfId="106" applyNumberFormat="1" applyFont="1" applyFill="1" applyBorder="1"/>
    <xf numFmtId="38" fontId="54" fillId="29" borderId="22" xfId="106" applyNumberFormat="1" applyFont="1" applyFill="1" applyBorder="1"/>
    <xf numFmtId="0" fontId="54" fillId="29" borderId="0" xfId="106" applyFont="1" applyFill="1" applyAlignment="1">
      <alignment horizontal="right"/>
    </xf>
    <xf numFmtId="0" fontId="68" fillId="0" borderId="17" xfId="106" applyFont="1" applyBorder="1" applyAlignment="1" applyProtection="1">
      <alignment horizontal="centerContinuous"/>
    </xf>
    <xf numFmtId="0" fontId="68" fillId="0" borderId="0" xfId="106" applyFont="1" applyAlignment="1" applyProtection="1">
      <alignment horizontal="centerContinuous"/>
    </xf>
    <xf numFmtId="0" fontId="68" fillId="0" borderId="18" xfId="106" applyFont="1" applyBorder="1" applyAlignment="1" applyProtection="1">
      <alignment horizontal="centerContinuous"/>
    </xf>
    <xf numFmtId="0" fontId="4" fillId="0" borderId="14" xfId="106" applyFont="1" applyBorder="1" applyProtection="1"/>
    <xf numFmtId="0" fontId="4" fillId="0" borderId="15" xfId="106" applyFont="1" applyBorder="1" applyProtection="1"/>
    <xf numFmtId="0" fontId="4" fillId="0" borderId="16" xfId="106" applyFont="1" applyBorder="1" applyProtection="1"/>
    <xf numFmtId="0" fontId="5" fillId="0" borderId="17" xfId="106" applyFont="1" applyBorder="1" applyAlignment="1" applyProtection="1">
      <alignment horizontal="centerContinuous"/>
    </xf>
    <xf numFmtId="0" fontId="5" fillId="0" borderId="0" xfId="106" applyFont="1" applyAlignment="1" applyProtection="1">
      <alignment horizontal="centerContinuous"/>
    </xf>
    <xf numFmtId="0" fontId="4" fillId="0" borderId="0" xfId="106" applyFont="1" applyAlignment="1" applyProtection="1">
      <alignment horizontal="centerContinuous"/>
    </xf>
    <xf numFmtId="0" fontId="4" fillId="0" borderId="18" xfId="106" applyFont="1" applyBorder="1" applyAlignment="1" applyProtection="1">
      <alignment horizontal="centerContinuous"/>
    </xf>
    <xf numFmtId="0" fontId="4" fillId="0" borderId="17" xfId="106" applyFont="1" applyBorder="1" applyProtection="1"/>
    <xf numFmtId="0" fontId="4" fillId="0" borderId="0" xfId="106" applyFont="1" applyProtection="1"/>
    <xf numFmtId="0" fontId="4" fillId="0" borderId="18" xfId="106" applyFont="1" applyBorder="1" applyProtection="1"/>
    <xf numFmtId="0" fontId="4" fillId="0" borderId="29" xfId="106" applyFont="1" applyBorder="1" applyProtection="1"/>
    <xf numFmtId="0" fontId="4" fillId="0" borderId="12" xfId="106" applyFont="1" applyBorder="1" applyProtection="1"/>
    <xf numFmtId="0" fontId="4" fillId="0" borderId="28" xfId="106" applyFont="1" applyBorder="1" applyProtection="1"/>
    <xf numFmtId="0" fontId="4" fillId="0" borderId="35" xfId="106" applyFont="1" applyBorder="1" applyAlignment="1" applyProtection="1">
      <alignment horizontal="centerContinuous"/>
    </xf>
    <xf numFmtId="0" fontId="4" fillId="0" borderId="27" xfId="106" applyFont="1" applyBorder="1" applyAlignment="1" applyProtection="1">
      <alignment horizontal="centerContinuous"/>
    </xf>
    <xf numFmtId="0" fontId="4" fillId="0" borderId="24" xfId="106" applyFont="1" applyBorder="1" applyAlignment="1" applyProtection="1">
      <alignment horizontal="center"/>
    </xf>
    <xf numFmtId="0" fontId="4" fillId="0" borderId="53" xfId="106" applyFont="1" applyBorder="1" applyAlignment="1" applyProtection="1">
      <alignment horizontal="centerContinuous"/>
    </xf>
    <xf numFmtId="0" fontId="4" fillId="0" borderId="46" xfId="106" applyFont="1" applyBorder="1" applyAlignment="1" applyProtection="1">
      <alignment horizontal="centerContinuous"/>
    </xf>
    <xf numFmtId="0" fontId="4" fillId="0" borderId="28" xfId="106" applyFont="1" applyBorder="1" applyAlignment="1" applyProtection="1">
      <alignment horizontal="center"/>
    </xf>
    <xf numFmtId="0" fontId="4" fillId="0" borderId="0" xfId="106" applyFont="1" applyAlignment="1" applyProtection="1">
      <alignment horizontal="center"/>
    </xf>
    <xf numFmtId="0" fontId="4" fillId="0" borderId="59" xfId="106" applyFont="1" applyBorder="1" applyAlignment="1" applyProtection="1">
      <alignment horizontal="centerContinuous"/>
    </xf>
    <xf numFmtId="0" fontId="4" fillId="0" borderId="45" xfId="106" applyFont="1" applyBorder="1" applyAlignment="1" applyProtection="1">
      <alignment horizontal="centerContinuous"/>
    </xf>
    <xf numFmtId="0" fontId="4" fillId="0" borderId="17" xfId="106" applyFont="1" applyBorder="1" applyAlignment="1" applyProtection="1">
      <alignment horizontal="center"/>
    </xf>
    <xf numFmtId="0" fontId="4" fillId="0" borderId="27" xfId="106" applyFont="1" applyBorder="1" applyAlignment="1" applyProtection="1">
      <alignment horizontal="center"/>
    </xf>
    <xf numFmtId="0" fontId="4" fillId="0" borderId="18" xfId="106" applyFont="1" applyBorder="1" applyAlignment="1" applyProtection="1">
      <alignment horizontal="center"/>
    </xf>
    <xf numFmtId="0" fontId="4" fillId="0" borderId="31" xfId="106" applyFont="1" applyBorder="1" applyAlignment="1" applyProtection="1">
      <alignment horizontal="center"/>
    </xf>
    <xf numFmtId="0" fontId="4" fillId="0" borderId="12" xfId="106" applyFont="1" applyBorder="1" applyAlignment="1" applyProtection="1">
      <alignment horizontal="center"/>
    </xf>
    <xf numFmtId="0" fontId="4" fillId="0" borderId="30" xfId="106" applyFont="1" applyBorder="1" applyAlignment="1" applyProtection="1">
      <alignment horizontal="center"/>
    </xf>
    <xf numFmtId="0" fontId="4" fillId="0" borderId="32" xfId="106" applyFont="1" applyBorder="1" applyAlignment="1" applyProtection="1">
      <alignment horizontal="center"/>
    </xf>
    <xf numFmtId="0" fontId="7" fillId="0" borderId="28" xfId="106" applyFont="1" applyBorder="1" applyProtection="1"/>
    <xf numFmtId="37" fontId="4" fillId="29" borderId="27" xfId="106" applyNumberFormat="1" applyFont="1" applyFill="1" applyBorder="1" applyProtection="1"/>
    <xf numFmtId="37" fontId="4" fillId="0" borderId="0" xfId="106" applyNumberFormat="1" applyFont="1" applyProtection="1"/>
    <xf numFmtId="37" fontId="4" fillId="0" borderId="28" xfId="106" applyNumberFormat="1" applyFont="1" applyBorder="1" applyProtection="1"/>
    <xf numFmtId="172" fontId="4" fillId="0" borderId="27" xfId="106" applyNumberFormat="1" applyFont="1" applyBorder="1" applyProtection="1"/>
    <xf numFmtId="0" fontId="4" fillId="0" borderId="21" xfId="106" applyFont="1" applyBorder="1" applyAlignment="1" applyProtection="1">
      <alignment horizontal="center"/>
    </xf>
    <xf numFmtId="0" fontId="4" fillId="0" borderId="34" xfId="106" applyFont="1" applyBorder="1" applyProtection="1"/>
    <xf numFmtId="172" fontId="4" fillId="42" borderId="47" xfId="106" applyNumberFormat="1" applyFont="1" applyFill="1" applyBorder="1" applyProtection="1"/>
    <xf numFmtId="37" fontId="4" fillId="0" borderId="47" xfId="106" applyNumberFormat="1" applyFont="1" applyBorder="1" applyProtection="1"/>
    <xf numFmtId="37" fontId="4" fillId="0" borderId="48" xfId="106" applyNumberFormat="1" applyFont="1" applyBorder="1" applyProtection="1"/>
    <xf numFmtId="0" fontId="79" fillId="0" borderId="0" xfId="0" applyFont="1" applyAlignment="1" applyProtection="1">
      <alignment horizontal="left" vertical="top"/>
    </xf>
    <xf numFmtId="0" fontId="79" fillId="0" borderId="0" xfId="0" applyFont="1" applyAlignment="1" applyProtection="1">
      <alignment horizontal="left"/>
    </xf>
    <xf numFmtId="0" fontId="79" fillId="0" borderId="0" xfId="0" applyFont="1" applyAlignment="1" applyProtection="1">
      <alignment horizontal="centerContinuous" vertical="top" wrapText="1"/>
    </xf>
    <xf numFmtId="0" fontId="80" fillId="0" borderId="0" xfId="0" applyFont="1" applyProtection="1">
      <protection locked="0"/>
    </xf>
    <xf numFmtId="0" fontId="81" fillId="0" borderId="0" xfId="0" applyFont="1" applyAlignment="1" applyProtection="1">
      <alignment horizontal="right"/>
      <protection locked="0"/>
    </xf>
    <xf numFmtId="0" fontId="81" fillId="0" borderId="0" xfId="0" applyFont="1" applyProtection="1">
      <protection locked="0"/>
    </xf>
    <xf numFmtId="0" fontId="82" fillId="0" borderId="0" xfId="0" applyFont="1" applyAlignment="1" applyProtection="1">
      <alignment vertical="top"/>
      <protection locked="0"/>
    </xf>
    <xf numFmtId="0" fontId="19" fillId="0" borderId="0" xfId="0" applyFont="1" applyBorder="1" applyProtection="1">
      <protection locked="0"/>
    </xf>
    <xf numFmtId="0" fontId="83" fillId="0" borderId="0" xfId="0" applyFont="1" applyProtection="1">
      <protection locked="0"/>
    </xf>
    <xf numFmtId="0" fontId="19" fillId="0" borderId="0" xfId="0" applyFont="1" applyAlignment="1" applyProtection="1">
      <alignment horizontal="right"/>
      <protection locked="0"/>
    </xf>
    <xf numFmtId="0" fontId="19" fillId="0" borderId="0" xfId="0" applyFont="1" applyAlignment="1" applyProtection="1">
      <alignment horizontal="left"/>
      <protection locked="0"/>
    </xf>
    <xf numFmtId="0" fontId="83" fillId="0" borderId="0" xfId="0" applyFont="1" applyAlignment="1" applyProtection="1">
      <alignment horizontal="centerContinuous"/>
      <protection locked="0"/>
    </xf>
    <xf numFmtId="0" fontId="37" fillId="0" borderId="0" xfId="0" applyFont="1" applyAlignment="1" applyProtection="1">
      <alignment horizontal="right"/>
    </xf>
    <xf numFmtId="0" fontId="84" fillId="29" borderId="0" xfId="0" applyFont="1" applyFill="1" applyProtection="1"/>
    <xf numFmtId="0" fontId="4" fillId="25" borderId="14" xfId="0" applyFont="1" applyFill="1" applyBorder="1" applyProtection="1"/>
    <xf numFmtId="0" fontId="4" fillId="25" borderId="15" xfId="0" applyFont="1" applyFill="1" applyBorder="1" applyProtection="1"/>
    <xf numFmtId="0" fontId="4" fillId="25" borderId="16" xfId="0" applyFont="1" applyFill="1" applyBorder="1" applyProtection="1"/>
    <xf numFmtId="0" fontId="5" fillId="25" borderId="17" xfId="0" applyFont="1" applyFill="1" applyBorder="1" applyAlignment="1" applyProtection="1">
      <alignment horizontal="centerContinuous"/>
    </xf>
    <xf numFmtId="0" fontId="4" fillId="25" borderId="0" xfId="0" applyFont="1" applyFill="1" applyAlignment="1" applyProtection="1">
      <alignment horizontal="centerContinuous"/>
    </xf>
    <xf numFmtId="0" fontId="4" fillId="25" borderId="18" xfId="0" applyFont="1" applyFill="1" applyBorder="1" applyAlignment="1" applyProtection="1">
      <alignment horizontal="centerContinuous"/>
    </xf>
    <xf numFmtId="0" fontId="4" fillId="25" borderId="29" xfId="0" applyFont="1" applyFill="1" applyBorder="1" applyAlignment="1" applyProtection="1">
      <alignment horizontal="centerContinuous"/>
    </xf>
    <xf numFmtId="0" fontId="4" fillId="25" borderId="32" xfId="0" applyFont="1" applyFill="1" applyBorder="1" applyProtection="1"/>
    <xf numFmtId="0" fontId="4" fillId="25" borderId="17" xfId="0" applyFont="1" applyFill="1" applyBorder="1" applyAlignment="1" applyProtection="1">
      <alignment horizontal="centerContinuous"/>
    </xf>
    <xf numFmtId="0" fontId="4" fillId="25" borderId="28" xfId="0" applyFont="1" applyFill="1" applyBorder="1" applyAlignment="1" applyProtection="1">
      <alignment horizontal="center" vertical="center"/>
    </xf>
    <xf numFmtId="0" fontId="4" fillId="25" borderId="0" xfId="0" applyFont="1" applyFill="1" applyProtection="1"/>
    <xf numFmtId="0" fontId="4" fillId="25" borderId="36" xfId="0" applyFont="1" applyFill="1" applyBorder="1" applyProtection="1"/>
    <xf numFmtId="0" fontId="47" fillId="29" borderId="31" xfId="0" applyFont="1" applyFill="1" applyBorder="1" applyAlignment="1" applyProtection="1">
      <alignment horizontal="center" vertical="center"/>
    </xf>
    <xf numFmtId="0" fontId="4" fillId="25" borderId="39" xfId="0" applyFont="1" applyFill="1" applyBorder="1" applyAlignment="1" applyProtection="1">
      <alignment horizontal="centerContinuous"/>
    </xf>
    <xf numFmtId="0" fontId="4" fillId="25" borderId="40" xfId="0" applyFont="1" applyFill="1" applyBorder="1" applyAlignment="1" applyProtection="1">
      <alignment horizontal="center"/>
    </xf>
    <xf numFmtId="0" fontId="4" fillId="25" borderId="17" xfId="0" applyFont="1" applyFill="1" applyBorder="1" applyProtection="1"/>
    <xf numFmtId="0" fontId="4" fillId="25" borderId="28" xfId="0" applyFont="1" applyFill="1" applyBorder="1" applyAlignment="1" applyProtection="1">
      <alignment horizontal="center"/>
    </xf>
    <xf numFmtId="0" fontId="4" fillId="25" borderId="36" xfId="0" applyFont="1" applyFill="1" applyBorder="1" applyAlignment="1" applyProtection="1">
      <alignment horizontal="center"/>
    </xf>
    <xf numFmtId="0" fontId="4" fillId="25" borderId="28" xfId="0" applyFont="1" applyFill="1" applyBorder="1" applyProtection="1"/>
    <xf numFmtId="0" fontId="4" fillId="0" borderId="28" xfId="0" applyFont="1" applyBorder="1" applyAlignment="1" applyProtection="1">
      <alignment horizontal="center" vertical="center"/>
    </xf>
    <xf numFmtId="0" fontId="47" fillId="29" borderId="28" xfId="0" applyFont="1" applyFill="1" applyBorder="1" applyAlignment="1" applyProtection="1">
      <alignment horizontal="center" vertical="center"/>
    </xf>
    <xf numFmtId="0" fontId="4" fillId="0" borderId="44" xfId="0" applyFont="1" applyBorder="1" applyProtection="1"/>
    <xf numFmtId="0" fontId="85" fillId="0" borderId="0" xfId="0" applyFont="1"/>
    <xf numFmtId="43" fontId="0" fillId="0" borderId="0" xfId="69" applyFont="1"/>
    <xf numFmtId="43" fontId="0" fillId="0" borderId="86" xfId="69" applyFont="1" applyBorder="1" applyProtection="1"/>
    <xf numFmtId="0" fontId="0" fillId="0" borderId="59" xfId="0" applyFill="1" applyBorder="1" applyProtection="1"/>
    <xf numFmtId="43" fontId="4" fillId="0" borderId="18" xfId="69" applyFont="1" applyBorder="1" applyProtection="1"/>
    <xf numFmtId="43" fontId="4" fillId="0" borderId="18" xfId="69" applyFont="1" applyBorder="1" applyAlignment="1" applyProtection="1">
      <alignment horizontal="center"/>
    </xf>
    <xf numFmtId="37" fontId="28" fillId="0" borderId="36" xfId="0" applyNumberFormat="1" applyFont="1" applyBorder="1" applyProtection="1">
      <protection locked="0"/>
    </xf>
    <xf numFmtId="37" fontId="28" fillId="0" borderId="40" xfId="0" applyNumberFormat="1" applyFont="1" applyBorder="1" applyProtection="1">
      <protection locked="0"/>
    </xf>
    <xf numFmtId="37" fontId="4" fillId="29" borderId="0" xfId="0" applyNumberFormat="1" applyFont="1" applyFill="1" applyBorder="1" applyProtection="1"/>
    <xf numFmtId="14" fontId="4" fillId="0" borderId="39" xfId="0" applyNumberFormat="1" applyFont="1" applyFill="1" applyBorder="1" applyAlignment="1" applyProtection="1">
      <alignment horizontal="center"/>
    </xf>
    <xf numFmtId="0" fontId="0" fillId="0" borderId="0" xfId="0" quotePrefix="1"/>
    <xf numFmtId="0" fontId="4" fillId="0" borderId="35" xfId="0" applyFont="1" applyFill="1" applyBorder="1" applyAlignment="1" applyProtection="1">
      <alignment horizontal="center"/>
    </xf>
    <xf numFmtId="37" fontId="4" fillId="0" borderId="28" xfId="0" applyNumberFormat="1" applyFont="1" applyFill="1" applyBorder="1" applyProtection="1"/>
    <xf numFmtId="37" fontId="4" fillId="0" borderId="18" xfId="0" applyNumberFormat="1" applyFont="1" applyFill="1" applyBorder="1" applyProtection="1"/>
    <xf numFmtId="0" fontId="4" fillId="0" borderId="35" xfId="0" applyFont="1" applyFill="1" applyBorder="1" applyProtection="1"/>
    <xf numFmtId="0" fontId="1" fillId="0" borderId="0" xfId="0" applyFont="1"/>
    <xf numFmtId="37" fontId="47" fillId="0" borderId="40" xfId="0" applyNumberFormat="1" applyFont="1" applyFill="1" applyBorder="1" applyProtection="1"/>
    <xf numFmtId="0" fontId="4" fillId="0" borderId="50" xfId="0" applyFont="1" applyFill="1" applyBorder="1" applyAlignment="1">
      <alignment horizontal="center"/>
    </xf>
    <xf numFmtId="0" fontId="4" fillId="0" borderId="24" xfId="0" applyFont="1" applyFill="1" applyBorder="1"/>
    <xf numFmtId="0" fontId="4" fillId="0" borderId="25" xfId="0" applyFont="1" applyFill="1" applyBorder="1"/>
    <xf numFmtId="0" fontId="4" fillId="0" borderId="25" xfId="0" applyFont="1" applyFill="1" applyBorder="1" applyAlignment="1">
      <alignment horizontal="center"/>
    </xf>
    <xf numFmtId="0" fontId="4" fillId="0" borderId="26" xfId="0" applyFont="1" applyFill="1" applyBorder="1"/>
    <xf numFmtId="0" fontId="0" fillId="0" borderId="0" xfId="0" applyFill="1"/>
    <xf numFmtId="0" fontId="4" fillId="0" borderId="41" xfId="0" applyFont="1" applyFill="1" applyBorder="1" applyAlignment="1">
      <alignment horizontal="center"/>
    </xf>
    <xf numFmtId="0" fontId="4" fillId="0" borderId="0" xfId="0" applyFont="1" applyFill="1"/>
    <xf numFmtId="0" fontId="4" fillId="0" borderId="28" xfId="0" applyFont="1" applyFill="1" applyBorder="1" applyAlignment="1">
      <alignment horizontal="center"/>
    </xf>
    <xf numFmtId="0" fontId="4" fillId="0" borderId="28" xfId="0" applyFont="1" applyFill="1" applyBorder="1"/>
    <xf numFmtId="0" fontId="4" fillId="0" borderId="0" xfId="0" applyFont="1" applyFill="1" applyAlignment="1">
      <alignment horizontal="center"/>
    </xf>
    <xf numFmtId="0" fontId="4" fillId="0" borderId="42" xfId="0" applyFont="1" applyFill="1" applyBorder="1" applyAlignment="1">
      <alignment horizontal="center"/>
    </xf>
    <xf numFmtId="0" fontId="4" fillId="0" borderId="12" xfId="0" applyFont="1" applyFill="1" applyBorder="1" applyAlignment="1">
      <alignment horizontal="center"/>
    </xf>
    <xf numFmtId="0" fontId="4" fillId="0" borderId="31" xfId="0" applyFont="1" applyFill="1" applyBorder="1" applyAlignment="1">
      <alignment horizontal="center"/>
    </xf>
    <xf numFmtId="0" fontId="4" fillId="0" borderId="32" xfId="0" applyFont="1" applyFill="1" applyBorder="1" applyAlignment="1">
      <alignment horizontal="center"/>
    </xf>
    <xf numFmtId="5" fontId="28" fillId="0" borderId="28" xfId="0" applyNumberFormat="1" applyFont="1" applyFill="1" applyBorder="1" applyProtection="1">
      <protection locked="0"/>
    </xf>
    <xf numFmtId="5" fontId="4" fillId="0" borderId="18" xfId="0" applyNumberFormat="1" applyFont="1" applyFill="1" applyBorder="1" applyProtection="1"/>
    <xf numFmtId="37" fontId="28" fillId="0" borderId="28" xfId="0" applyNumberFormat="1" applyFont="1" applyFill="1" applyBorder="1" applyProtection="1">
      <protection locked="0"/>
    </xf>
    <xf numFmtId="0" fontId="0" fillId="0" borderId="28" xfId="0" applyFill="1" applyBorder="1"/>
    <xf numFmtId="5" fontId="4" fillId="0" borderId="103" xfId="0" applyNumberFormat="1" applyFont="1" applyFill="1" applyBorder="1" applyProtection="1"/>
    <xf numFmtId="5" fontId="4" fillId="0" borderId="104" xfId="0" applyNumberFormat="1" applyFont="1" applyFill="1" applyBorder="1" applyProtection="1"/>
    <xf numFmtId="5" fontId="0" fillId="0" borderId="0" xfId="0" applyNumberFormat="1" applyFill="1"/>
    <xf numFmtId="14" fontId="4" fillId="0" borderId="27" xfId="0" applyNumberFormat="1" applyFont="1" applyBorder="1" applyProtection="1"/>
    <xf numFmtId="0" fontId="4" fillId="0" borderId="17" xfId="0" applyFont="1" applyFill="1" applyBorder="1" applyAlignment="1" applyProtection="1">
      <alignment horizontal="center"/>
    </xf>
    <xf numFmtId="0" fontId="4" fillId="0" borderId="36" xfId="0" applyFont="1" applyFill="1" applyBorder="1" applyAlignment="1" applyProtection="1">
      <alignment horizontal="center"/>
    </xf>
    <xf numFmtId="0" fontId="4" fillId="0" borderId="0" xfId="0" applyFont="1" applyFill="1" applyProtection="1"/>
    <xf numFmtId="0" fontId="1" fillId="0" borderId="0" xfId="0" applyFont="1" applyAlignment="1">
      <alignment horizontal="center"/>
    </xf>
    <xf numFmtId="43" fontId="1" fillId="0" borderId="0" xfId="69" applyFont="1"/>
    <xf numFmtId="37" fontId="4" fillId="0" borderId="51" xfId="0" applyNumberFormat="1" applyFont="1" applyFill="1" applyBorder="1" applyProtection="1"/>
    <xf numFmtId="38" fontId="1" fillId="0" borderId="0" xfId="0" applyNumberFormat="1" applyFont="1"/>
    <xf numFmtId="38" fontId="28" fillId="0" borderId="30" xfId="0" applyNumberFormat="1" applyFont="1" applyFill="1" applyBorder="1" applyProtection="1">
      <protection locked="0"/>
    </xf>
    <xf numFmtId="37" fontId="47" fillId="0" borderId="36" xfId="0" applyNumberFormat="1" applyFont="1" applyFill="1" applyBorder="1" applyProtection="1"/>
    <xf numFmtId="39" fontId="1" fillId="0" borderId="0" xfId="0" applyNumberFormat="1" applyFont="1"/>
    <xf numFmtId="7" fontId="1" fillId="0" borderId="0" xfId="0" applyNumberFormat="1" applyFont="1"/>
    <xf numFmtId="174" fontId="0" fillId="0" borderId="25" xfId="0" applyNumberFormat="1" applyFill="1" applyBorder="1" applyProtection="1"/>
    <xf numFmtId="37" fontId="0" fillId="0" borderId="25" xfId="0" applyNumberFormat="1" applyFill="1" applyBorder="1" applyProtection="1"/>
    <xf numFmtId="37" fontId="0" fillId="0" borderId="51" xfId="0" applyNumberFormat="1" applyFill="1" applyBorder="1" applyProtection="1"/>
    <xf numFmtId="0" fontId="8" fillId="0" borderId="0" xfId="0" applyFont="1" applyFill="1" applyProtection="1"/>
    <xf numFmtId="0" fontId="0" fillId="0" borderId="0" xfId="0" applyFill="1" applyProtection="1"/>
    <xf numFmtId="0" fontId="0" fillId="0" borderId="36" xfId="0" applyFill="1" applyBorder="1" applyProtection="1"/>
    <xf numFmtId="0" fontId="5" fillId="0" borderId="17" xfId="0" applyFont="1" applyBorder="1" applyAlignment="1" applyProtection="1">
      <alignment horizontal="center"/>
    </xf>
    <xf numFmtId="0" fontId="47" fillId="0" borderId="0" xfId="0" applyFont="1" applyFill="1" applyAlignment="1" applyProtection="1">
      <alignment horizontal="left"/>
    </xf>
    <xf numFmtId="0" fontId="14" fillId="0" borderId="12" xfId="0" applyFont="1" applyFill="1" applyBorder="1"/>
    <xf numFmtId="0" fontId="14" fillId="0" borderId="0" xfId="0" applyFont="1" applyFill="1"/>
    <xf numFmtId="0" fontId="16" fillId="0" borderId="0" xfId="0" applyFont="1" applyFill="1" applyAlignment="1">
      <alignment horizontal="centerContinuous"/>
    </xf>
    <xf numFmtId="0" fontId="4" fillId="0" borderId="0" xfId="0" applyFont="1" applyFill="1" applyAlignment="1">
      <alignment horizontal="centerContinuous"/>
    </xf>
    <xf numFmtId="0" fontId="45" fillId="0" borderId="0" xfId="0" applyFont="1" applyFill="1"/>
    <xf numFmtId="0" fontId="5" fillId="0" borderId="0" xfId="0" applyFont="1" applyFill="1"/>
    <xf numFmtId="0" fontId="0" fillId="0" borderId="0" xfId="0" applyFill="1" applyAlignment="1">
      <alignment horizontal="centerContinuous"/>
    </xf>
    <xf numFmtId="0" fontId="5" fillId="0" borderId="0" xfId="0" applyFont="1" applyFill="1" applyAlignment="1">
      <alignment horizontal="centerContinuous"/>
    </xf>
    <xf numFmtId="172" fontId="4" fillId="29" borderId="25" xfId="106" applyNumberFormat="1" applyFont="1" applyFill="1" applyBorder="1" applyProtection="1"/>
    <xf numFmtId="172" fontId="4" fillId="0" borderId="28" xfId="106" applyNumberFormat="1" applyFont="1" applyBorder="1" applyProtection="1"/>
    <xf numFmtId="172" fontId="4" fillId="0" borderId="31" xfId="106" applyNumberFormat="1" applyFont="1" applyBorder="1" applyProtection="1"/>
    <xf numFmtId="37" fontId="4" fillId="29" borderId="25" xfId="106" applyNumberFormat="1" applyFont="1" applyFill="1" applyBorder="1" applyProtection="1"/>
    <xf numFmtId="0" fontId="5" fillId="0" borderId="17" xfId="0" applyFont="1" applyBorder="1" applyAlignment="1" applyProtection="1">
      <alignment horizontal="left"/>
    </xf>
    <xf numFmtId="38" fontId="4" fillId="0" borderId="0" xfId="0" applyNumberFormat="1" applyFont="1" applyBorder="1" applyProtection="1"/>
    <xf numFmtId="38" fontId="4" fillId="0" borderId="0" xfId="0" applyNumberFormat="1" applyFont="1" applyBorder="1" applyAlignment="1" applyProtection="1">
      <alignment horizontal="centerContinuous"/>
    </xf>
    <xf numFmtId="0" fontId="76" fillId="0" borderId="18" xfId="0" applyFont="1" applyBorder="1" applyProtection="1">
      <protection locked="0"/>
    </xf>
    <xf numFmtId="0" fontId="49" fillId="0" borderId="105" xfId="0" applyFont="1" applyBorder="1" applyProtection="1"/>
    <xf numFmtId="0" fontId="47" fillId="0" borderId="106" xfId="0" applyFont="1" applyBorder="1" applyAlignment="1" applyProtection="1">
      <alignment horizontal="centerContinuous"/>
    </xf>
    <xf numFmtId="0" fontId="0" fillId="0" borderId="106" xfId="0" applyBorder="1" applyAlignment="1" applyProtection="1">
      <alignment horizontal="centerContinuous"/>
    </xf>
    <xf numFmtId="37" fontId="47" fillId="0" borderId="106" xfId="0" applyNumberFormat="1" applyFont="1" applyBorder="1" applyAlignment="1" applyProtection="1">
      <alignment horizontal="centerContinuous"/>
    </xf>
    <xf numFmtId="0" fontId="0" fillId="0" borderId="107" xfId="0" applyBorder="1" applyAlignment="1" applyProtection="1">
      <alignment horizontal="centerContinuous"/>
    </xf>
    <xf numFmtId="5" fontId="0" fillId="0" borderId="86" xfId="0" applyNumberFormat="1" applyBorder="1" applyProtection="1"/>
    <xf numFmtId="5" fontId="0" fillId="0" borderId="0" xfId="0" applyNumberFormat="1" applyBorder="1" applyProtection="1"/>
    <xf numFmtId="0" fontId="28" fillId="0" borderId="28" xfId="0" applyFont="1" applyFill="1" applyBorder="1" applyAlignment="1" applyProtection="1">
      <alignment horizontal="left" indent="1"/>
      <protection locked="0"/>
    </xf>
    <xf numFmtId="3" fontId="4" fillId="0" borderId="0" xfId="0" applyNumberFormat="1" applyFont="1" applyFill="1" applyAlignment="1" applyProtection="1">
      <alignment horizontal="right"/>
    </xf>
    <xf numFmtId="0" fontId="0" fillId="0" borderId="42" xfId="0" applyFill="1" applyBorder="1" applyAlignment="1" applyProtection="1">
      <alignment horizontal="center"/>
    </xf>
    <xf numFmtId="0" fontId="0" fillId="0" borderId="12" xfId="0" applyFill="1" applyBorder="1" applyProtection="1"/>
    <xf numFmtId="0" fontId="0" fillId="0" borderId="30" xfId="0" applyFill="1" applyBorder="1" applyProtection="1"/>
    <xf numFmtId="0" fontId="0" fillId="0" borderId="27" xfId="0" applyFill="1" applyBorder="1" applyProtection="1"/>
    <xf numFmtId="0" fontId="0" fillId="0" borderId="43" xfId="0" applyFill="1" applyBorder="1" applyAlignment="1" applyProtection="1">
      <alignment horizontal="center"/>
    </xf>
    <xf numFmtId="0" fontId="0" fillId="0" borderId="61" xfId="0" applyFill="1" applyBorder="1" applyProtection="1"/>
    <xf numFmtId="0" fontId="0" fillId="0" borderId="47" xfId="0" applyFill="1" applyBorder="1" applyProtection="1"/>
    <xf numFmtId="0" fontId="47" fillId="0" borderId="0" xfId="0" applyFont="1" applyFill="1" applyProtection="1"/>
    <xf numFmtId="0" fontId="4" fillId="0" borderId="12" xfId="0" applyFont="1" applyFill="1" applyBorder="1" applyProtection="1"/>
    <xf numFmtId="0" fontId="38" fillId="0" borderId="0" xfId="0" applyFont="1"/>
    <xf numFmtId="0" fontId="1" fillId="0" borderId="18" xfId="0" applyFont="1" applyBorder="1"/>
    <xf numFmtId="5" fontId="4" fillId="23" borderId="56" xfId="0" applyNumberFormat="1" applyFont="1" applyFill="1" applyBorder="1" applyProtection="1"/>
    <xf numFmtId="38" fontId="4" fillId="0" borderId="0" xfId="0" applyNumberFormat="1" applyFont="1" applyFill="1" applyBorder="1" applyProtection="1"/>
    <xf numFmtId="0" fontId="4" fillId="0" borderId="15" xfId="0" applyFont="1" applyFill="1" applyBorder="1" applyProtection="1"/>
    <xf numFmtId="0" fontId="4" fillId="0" borderId="0" xfId="0" applyFont="1" applyFill="1" applyAlignment="1" applyProtection="1">
      <alignment horizontal="centerContinuous"/>
    </xf>
    <xf numFmtId="0" fontId="4" fillId="0" borderId="12" xfId="0" applyFont="1" applyFill="1" applyBorder="1" applyAlignment="1" applyProtection="1">
      <alignment horizontal="centerContinuous"/>
    </xf>
    <xf numFmtId="0" fontId="4" fillId="0" borderId="53" xfId="0" applyFont="1" applyFill="1" applyBorder="1" applyAlignment="1" applyProtection="1">
      <alignment horizontal="centerContinuous"/>
    </xf>
    <xf numFmtId="0" fontId="4" fillId="0" borderId="39" xfId="0" applyFont="1" applyFill="1" applyBorder="1" applyAlignment="1" applyProtection="1">
      <alignment horizontal="center"/>
    </xf>
    <xf numFmtId="37" fontId="4" fillId="0" borderId="53" xfId="0" applyNumberFormat="1" applyFont="1" applyFill="1" applyBorder="1" applyProtection="1"/>
    <xf numFmtId="37" fontId="0" fillId="0" borderId="35" xfId="0" applyNumberFormat="1" applyFill="1" applyBorder="1" applyProtection="1"/>
    <xf numFmtId="7" fontId="4" fillId="0" borderId="0" xfId="0" applyNumberFormat="1" applyFont="1" applyFill="1" applyProtection="1"/>
    <xf numFmtId="5" fontId="4" fillId="0" borderId="0" xfId="0" applyNumberFormat="1" applyFont="1" applyFill="1" applyProtection="1"/>
    <xf numFmtId="37" fontId="4" fillId="0" borderId="0" xfId="0" applyNumberFormat="1" applyFont="1" applyFill="1" applyAlignment="1" applyProtection="1">
      <alignment horizontal="centerContinuous"/>
    </xf>
    <xf numFmtId="0" fontId="0" fillId="0" borderId="0" xfId="0" applyFill="1" applyBorder="1"/>
    <xf numFmtId="43" fontId="4" fillId="0" borderId="0" xfId="69" applyFont="1" applyFill="1"/>
    <xf numFmtId="0" fontId="47" fillId="0" borderId="39" xfId="0" applyFont="1" applyFill="1" applyBorder="1" applyAlignment="1" applyProtection="1">
      <alignment horizontal="center"/>
    </xf>
    <xf numFmtId="5" fontId="47" fillId="0" borderId="40" xfId="0" applyNumberFormat="1" applyFont="1" applyFill="1" applyBorder="1" applyProtection="1"/>
    <xf numFmtId="37" fontId="47" fillId="0" borderId="39" xfId="0" applyNumberFormat="1" applyFont="1" applyFill="1" applyBorder="1" applyProtection="1"/>
    <xf numFmtId="5" fontId="47" fillId="0" borderId="39" xfId="0" applyNumberFormat="1" applyFont="1" applyFill="1" applyBorder="1" applyProtection="1"/>
    <xf numFmtId="37" fontId="47" fillId="0" borderId="0" xfId="0" applyNumberFormat="1" applyFont="1" applyFill="1" applyBorder="1" applyProtection="1"/>
    <xf numFmtId="37" fontId="4" fillId="0" borderId="0" xfId="0" applyNumberFormat="1" applyFont="1" applyFill="1"/>
    <xf numFmtId="43" fontId="0" fillId="0" borderId="0" xfId="0" applyNumberFormat="1"/>
    <xf numFmtId="39" fontId="0" fillId="0" borderId="0" xfId="0" applyNumberFormat="1"/>
    <xf numFmtId="5" fontId="4" fillId="0" borderId="54" xfId="0" applyNumberFormat="1" applyFont="1" applyFill="1" applyBorder="1" applyProtection="1"/>
    <xf numFmtId="0" fontId="4" fillId="0" borderId="28" xfId="0" applyFont="1" applyFill="1" applyBorder="1" applyProtection="1"/>
    <xf numFmtId="5" fontId="5" fillId="0" borderId="0" xfId="0" applyNumberFormat="1" applyFont="1" applyProtection="1"/>
    <xf numFmtId="0" fontId="0" fillId="0" borderId="19" xfId="0" applyBorder="1" applyAlignment="1" applyProtection="1">
      <alignment horizontal="left"/>
    </xf>
    <xf numFmtId="0" fontId="4" fillId="0" borderId="28" xfId="106" applyFont="1" applyFill="1" applyBorder="1" applyProtection="1"/>
    <xf numFmtId="172" fontId="4" fillId="0" borderId="28" xfId="106" applyNumberFormat="1" applyFont="1" applyFill="1" applyBorder="1" applyProtection="1"/>
    <xf numFmtId="37" fontId="4" fillId="0" borderId="28" xfId="106" applyNumberFormat="1" applyFont="1" applyFill="1" applyBorder="1" applyProtection="1"/>
    <xf numFmtId="37" fontId="4" fillId="0" borderId="27" xfId="106" applyNumberFormat="1" applyFont="1" applyFill="1" applyBorder="1" applyProtection="1"/>
    <xf numFmtId="0" fontId="7" fillId="0" borderId="28" xfId="106" applyFont="1" applyFill="1" applyBorder="1" applyAlignment="1" applyProtection="1">
      <alignment horizontal="left"/>
    </xf>
    <xf numFmtId="0" fontId="5" fillId="0" borderId="28" xfId="106" applyFont="1" applyBorder="1" applyProtection="1"/>
    <xf numFmtId="172" fontId="5" fillId="0" borderId="28" xfId="106" applyNumberFormat="1" applyFont="1" applyBorder="1" applyProtection="1"/>
    <xf numFmtId="37" fontId="5" fillId="0" borderId="28" xfId="106" applyNumberFormat="1" applyFont="1" applyBorder="1" applyProtection="1"/>
    <xf numFmtId="172" fontId="5" fillId="0" borderId="27" xfId="106" applyNumberFormat="1" applyFont="1" applyBorder="1" applyProtection="1"/>
    <xf numFmtId="0" fontId="92" fillId="0" borderId="28" xfId="106" applyFont="1" applyBorder="1" applyProtection="1"/>
    <xf numFmtId="37" fontId="4" fillId="0" borderId="31" xfId="106" applyNumberFormat="1" applyFont="1" applyBorder="1" applyProtection="1"/>
    <xf numFmtId="5" fontId="4" fillId="0" borderId="53" xfId="0" applyNumberFormat="1" applyFont="1" applyFill="1" applyBorder="1" applyProtection="1"/>
    <xf numFmtId="37" fontId="4" fillId="0" borderId="17" xfId="0" applyNumberFormat="1" applyFont="1" applyFill="1" applyBorder="1" applyProtection="1"/>
    <xf numFmtId="0" fontId="52" fillId="0" borderId="0" xfId="0" applyFont="1"/>
    <xf numFmtId="0" fontId="52" fillId="0" borderId="37" xfId="0" applyFont="1" applyBorder="1" applyAlignment="1" applyProtection="1">
      <alignment horizontal="center"/>
    </xf>
    <xf numFmtId="0" fontId="52" fillId="0" borderId="24" xfId="0" applyFont="1" applyBorder="1" applyProtection="1"/>
    <xf numFmtId="0" fontId="52" fillId="0" borderId="6" xfId="0" applyFont="1" applyBorder="1" applyProtection="1"/>
    <xf numFmtId="0" fontId="52" fillId="0" borderId="27" xfId="0" applyFont="1" applyBorder="1" applyProtection="1"/>
    <xf numFmtId="0" fontId="52" fillId="0" borderId="35" xfId="0" applyFont="1" applyBorder="1" applyProtection="1"/>
    <xf numFmtId="0" fontId="52" fillId="0" borderId="53" xfId="0" applyFont="1" applyBorder="1" applyProtection="1"/>
    <xf numFmtId="0" fontId="52" fillId="0" borderId="59" xfId="0" applyFont="1" applyBorder="1" applyProtection="1"/>
    <xf numFmtId="0" fontId="52" fillId="0" borderId="45" xfId="0" applyFont="1" applyBorder="1" applyProtection="1"/>
    <xf numFmtId="0" fontId="52" fillId="0" borderId="45" xfId="0" applyFont="1" applyBorder="1" applyAlignment="1" applyProtection="1">
      <alignment horizontal="center"/>
    </xf>
    <xf numFmtId="0" fontId="52" fillId="0" borderId="35" xfId="0" applyFont="1" applyFill="1" applyBorder="1" applyProtection="1"/>
    <xf numFmtId="0" fontId="52" fillId="0" borderId="0" xfId="0" applyFont="1" applyFill="1" applyProtection="1"/>
    <xf numFmtId="0" fontId="52" fillId="0" borderId="24" xfId="0" applyFont="1" applyFill="1" applyBorder="1" applyProtection="1"/>
    <xf numFmtId="0" fontId="52" fillId="0" borderId="6" xfId="0" applyFont="1" applyFill="1" applyBorder="1" applyProtection="1"/>
    <xf numFmtId="0" fontId="52" fillId="0" borderId="27" xfId="0" applyFont="1" applyFill="1" applyBorder="1" applyProtection="1"/>
    <xf numFmtId="37" fontId="52" fillId="0" borderId="0" xfId="0" applyNumberFormat="1" applyFont="1"/>
    <xf numFmtId="0" fontId="52" fillId="0" borderId="0" xfId="0" applyFont="1" applyFill="1" applyBorder="1" applyProtection="1"/>
    <xf numFmtId="0" fontId="93" fillId="0" borderId="0" xfId="0" applyFont="1" applyFill="1" applyBorder="1" applyProtection="1"/>
    <xf numFmtId="37" fontId="93" fillId="0" borderId="27" xfId="0" applyNumberFormat="1" applyFont="1" applyFill="1" applyBorder="1" applyProtection="1"/>
    <xf numFmtId="0" fontId="94" fillId="0" borderId="0" xfId="0" applyFont="1" applyFill="1" applyBorder="1" applyProtection="1"/>
    <xf numFmtId="0" fontId="93" fillId="0" borderId="0" xfId="0" applyFont="1" applyFill="1" applyProtection="1"/>
    <xf numFmtId="37" fontId="52" fillId="0" borderId="0" xfId="0" applyNumberFormat="1" applyFont="1" applyFill="1" applyProtection="1"/>
    <xf numFmtId="0" fontId="95" fillId="0" borderId="0" xfId="0" applyFont="1" applyFill="1" applyAlignment="1" applyProtection="1">
      <alignment horizontal="center"/>
    </xf>
    <xf numFmtId="0" fontId="95" fillId="0" borderId="27" xfId="0" applyFont="1" applyFill="1" applyBorder="1" applyAlignment="1" applyProtection="1">
      <alignment horizontal="center"/>
    </xf>
    <xf numFmtId="10" fontId="93" fillId="0" borderId="0" xfId="0" applyNumberFormat="1" applyFont="1" applyFill="1" applyProtection="1"/>
    <xf numFmtId="0" fontId="52" fillId="0" borderId="0" xfId="0" quotePrefix="1" applyFont="1" applyFill="1" applyBorder="1" applyAlignment="1" applyProtection="1">
      <alignment horizontal="center"/>
    </xf>
    <xf numFmtId="0" fontId="52" fillId="0" borderId="0" xfId="0" applyFont="1" applyFill="1" applyBorder="1" applyAlignment="1" applyProtection="1">
      <alignment horizontal="left"/>
    </xf>
    <xf numFmtId="37" fontId="52" fillId="0" borderId="0" xfId="0" applyNumberFormat="1" applyFont="1" applyFill="1" applyBorder="1" applyProtection="1"/>
    <xf numFmtId="0" fontId="52" fillId="0" borderId="39" xfId="0" applyFont="1" applyFill="1" applyBorder="1" applyProtection="1"/>
    <xf numFmtId="0" fontId="52" fillId="0" borderId="12" xfId="0" applyFont="1" applyFill="1" applyBorder="1" applyProtection="1"/>
    <xf numFmtId="37" fontId="52" fillId="0" borderId="12" xfId="0" applyNumberFormat="1" applyFont="1" applyFill="1" applyBorder="1" applyProtection="1"/>
    <xf numFmtId="37" fontId="52" fillId="0" borderId="30" xfId="0" applyNumberFormat="1" applyFont="1" applyFill="1" applyBorder="1" applyProtection="1"/>
    <xf numFmtId="0" fontId="52" fillId="0" borderId="30" xfId="0" applyFont="1" applyFill="1" applyBorder="1" applyProtection="1"/>
    <xf numFmtId="0" fontId="5" fillId="0" borderId="0" xfId="0" quotePrefix="1" applyFont="1" applyAlignment="1" applyProtection="1">
      <alignment horizontal="centerContinuous"/>
    </xf>
    <xf numFmtId="0" fontId="52" fillId="0" borderId="0" xfId="0" applyFont="1" applyAlignment="1" applyProtection="1">
      <alignment horizontal="centerContinuous"/>
    </xf>
    <xf numFmtId="10" fontId="52" fillId="0" borderId="0" xfId="0" applyNumberFormat="1" applyFont="1"/>
    <xf numFmtId="0" fontId="91" fillId="0" borderId="0" xfId="0" applyFont="1"/>
    <xf numFmtId="43" fontId="0" fillId="0" borderId="0" xfId="69" applyFont="1" applyBorder="1" applyProtection="1"/>
    <xf numFmtId="0" fontId="5" fillId="0" borderId="86" xfId="0" applyFont="1" applyBorder="1" applyAlignment="1" applyProtection="1">
      <alignment horizontal="right"/>
    </xf>
    <xf numFmtId="43" fontId="5" fillId="0" borderId="0" xfId="69" applyFont="1" applyProtection="1"/>
    <xf numFmtId="43" fontId="5" fillId="0" borderId="0" xfId="69" applyFont="1"/>
    <xf numFmtId="0" fontId="47" fillId="0" borderId="0" xfId="0" applyFont="1" applyFill="1" applyBorder="1" applyProtection="1"/>
    <xf numFmtId="0" fontId="5" fillId="0" borderId="0" xfId="0" applyFont="1" applyBorder="1" applyAlignment="1" applyProtection="1">
      <alignment horizontal="right"/>
    </xf>
    <xf numFmtId="37" fontId="19" fillId="0" borderId="18" xfId="0" applyNumberFormat="1" applyFont="1" applyFill="1" applyBorder="1" applyProtection="1">
      <protection locked="0"/>
    </xf>
    <xf numFmtId="39" fontId="47" fillId="43" borderId="36" xfId="0" applyNumberFormat="1" applyFont="1" applyFill="1" applyBorder="1" applyAlignment="1" applyProtection="1">
      <alignment horizontal="centerContinuous"/>
    </xf>
    <xf numFmtId="0" fontId="4" fillId="0" borderId="35" xfId="0" applyFont="1" applyFill="1" applyBorder="1"/>
    <xf numFmtId="5" fontId="5" fillId="0" borderId="0" xfId="0" applyNumberFormat="1" applyFont="1" applyFill="1"/>
    <xf numFmtId="5" fontId="5" fillId="0" borderId="86" xfId="0" applyNumberFormat="1" applyFont="1" applyBorder="1" applyProtection="1"/>
    <xf numFmtId="3" fontId="0" fillId="0" borderId="0" xfId="0" applyNumberFormat="1" applyFill="1"/>
    <xf numFmtId="0" fontId="0" fillId="0" borderId="15" xfId="0" applyBorder="1" applyAlignment="1"/>
    <xf numFmtId="0" fontId="4" fillId="0" borderId="16" xfId="0" applyFont="1" applyFill="1" applyBorder="1" applyProtection="1"/>
    <xf numFmtId="0" fontId="4" fillId="0" borderId="14" xfId="0" applyFont="1" applyFill="1" applyBorder="1" applyProtection="1"/>
    <xf numFmtId="0" fontId="5" fillId="0" borderId="17" xfId="0" applyFont="1" applyFill="1" applyBorder="1" applyAlignment="1" applyProtection="1">
      <alignment horizontal="centerContinuous"/>
    </xf>
    <xf numFmtId="0" fontId="0" fillId="0" borderId="32" xfId="0" applyFill="1" applyBorder="1" applyProtection="1"/>
    <xf numFmtId="0" fontId="4" fillId="0" borderId="29" xfId="0" applyFont="1" applyFill="1" applyBorder="1" applyProtection="1"/>
    <xf numFmtId="165" fontId="0" fillId="0" borderId="12" xfId="0" applyNumberFormat="1" applyFill="1" applyBorder="1" applyAlignment="1" applyProtection="1">
      <alignment horizontal="center"/>
    </xf>
    <xf numFmtId="0" fontId="4" fillId="0" borderId="18" xfId="0" applyFont="1" applyFill="1" applyBorder="1" applyProtection="1"/>
    <xf numFmtId="0" fontId="4" fillId="0" borderId="17" xfId="0" applyFont="1" applyFill="1" applyBorder="1" applyProtection="1"/>
    <xf numFmtId="0" fontId="52" fillId="0" borderId="18" xfId="0" applyFont="1" applyFill="1" applyBorder="1" applyProtection="1"/>
    <xf numFmtId="0" fontId="52" fillId="0" borderId="17" xfId="0" applyFont="1" applyFill="1" applyBorder="1" applyProtection="1"/>
    <xf numFmtId="0" fontId="4" fillId="0" borderId="26" xfId="0" applyFont="1" applyFill="1" applyBorder="1" applyProtection="1"/>
    <xf numFmtId="0" fontId="4" fillId="0" borderId="18" xfId="0" applyFont="1" applyFill="1" applyBorder="1" applyAlignment="1" applyProtection="1">
      <alignment horizontal="center"/>
    </xf>
    <xf numFmtId="0" fontId="4" fillId="0" borderId="28" xfId="0" applyFont="1" applyFill="1" applyBorder="1" applyAlignment="1" applyProtection="1">
      <alignment horizontal="center"/>
    </xf>
    <xf numFmtId="0" fontId="4" fillId="0" borderId="0" xfId="0" applyFont="1" applyFill="1" applyAlignment="1" applyProtection="1">
      <alignment horizontal="center"/>
    </xf>
    <xf numFmtId="0" fontId="4" fillId="0" borderId="32" xfId="0" applyFont="1" applyFill="1" applyBorder="1" applyAlignment="1" applyProtection="1">
      <alignment horizontal="center"/>
    </xf>
    <xf numFmtId="0" fontId="4" fillId="0" borderId="29" xfId="0" applyFont="1" applyFill="1" applyBorder="1" applyAlignment="1" applyProtection="1">
      <alignment horizontal="center"/>
    </xf>
    <xf numFmtId="0" fontId="4" fillId="0" borderId="31" xfId="0" applyFont="1" applyFill="1" applyBorder="1" applyAlignment="1" applyProtection="1">
      <alignment horizontal="center"/>
    </xf>
    <xf numFmtId="0" fontId="4" fillId="0" borderId="12" xfId="0" applyFont="1" applyFill="1" applyBorder="1" applyAlignment="1" applyProtection="1">
      <alignment horizontal="center"/>
    </xf>
    <xf numFmtId="0" fontId="4" fillId="0" borderId="46" xfId="0" applyFont="1" applyFill="1" applyBorder="1" applyProtection="1"/>
    <xf numFmtId="0" fontId="4" fillId="0" borderId="60" xfId="0" applyFont="1" applyFill="1" applyBorder="1" applyProtection="1"/>
    <xf numFmtId="0" fontId="4" fillId="0" borderId="59" xfId="0" applyFont="1" applyFill="1" applyBorder="1" applyProtection="1"/>
    <xf numFmtId="5" fontId="4" fillId="0" borderId="46" xfId="0" applyNumberFormat="1" applyFont="1" applyFill="1" applyBorder="1" applyProtection="1"/>
    <xf numFmtId="5" fontId="4" fillId="0" borderId="52" xfId="0" applyNumberFormat="1" applyFont="1" applyFill="1" applyBorder="1" applyProtection="1"/>
    <xf numFmtId="5" fontId="4" fillId="0" borderId="45" xfId="0" applyNumberFormat="1" applyFont="1" applyFill="1" applyBorder="1" applyProtection="1"/>
    <xf numFmtId="37" fontId="4" fillId="0" borderId="46" xfId="0" applyNumberFormat="1" applyFont="1" applyFill="1" applyBorder="1" applyProtection="1"/>
    <xf numFmtId="37" fontId="4" fillId="0" borderId="52" xfId="0" applyNumberFormat="1" applyFont="1" applyFill="1" applyBorder="1" applyProtection="1"/>
    <xf numFmtId="37" fontId="4" fillId="0" borderId="45" xfId="0" applyNumberFormat="1" applyFont="1" applyFill="1" applyBorder="1" applyProtection="1"/>
    <xf numFmtId="37" fontId="4" fillId="0" borderId="26" xfId="0" applyNumberFormat="1" applyFont="1" applyFill="1" applyBorder="1" applyProtection="1"/>
    <xf numFmtId="37" fontId="4" fillId="0" borderId="23" xfId="0" applyNumberFormat="1" applyFont="1" applyFill="1" applyBorder="1" applyProtection="1"/>
    <xf numFmtId="37" fontId="4" fillId="0" borderId="24" xfId="0" applyNumberFormat="1" applyFont="1" applyFill="1" applyBorder="1" applyProtection="1"/>
    <xf numFmtId="37" fontId="4" fillId="0" borderId="54" xfId="0" applyNumberFormat="1" applyFont="1" applyFill="1" applyBorder="1" applyProtection="1"/>
    <xf numFmtId="37" fontId="4" fillId="0" borderId="60" xfId="0" applyNumberFormat="1" applyFont="1" applyFill="1" applyBorder="1" applyProtection="1"/>
    <xf numFmtId="37" fontId="4" fillId="0" borderId="59" xfId="0" applyNumberFormat="1" applyFont="1" applyFill="1" applyBorder="1" applyProtection="1"/>
    <xf numFmtId="5" fontId="4" fillId="0" borderId="58" xfId="0" applyNumberFormat="1" applyFont="1" applyFill="1" applyBorder="1" applyProtection="1"/>
    <xf numFmtId="5" fontId="4" fillId="0" borderId="55" xfId="0" applyNumberFormat="1" applyFont="1" applyFill="1" applyBorder="1" applyProtection="1"/>
    <xf numFmtId="5" fontId="4" fillId="0" borderId="57" xfId="0" applyNumberFormat="1" applyFont="1" applyFill="1" applyBorder="1" applyProtection="1"/>
    <xf numFmtId="5" fontId="4" fillId="0" borderId="0" xfId="0" applyNumberFormat="1" applyFont="1" applyFill="1" applyAlignment="1" applyProtection="1">
      <alignment horizontal="centerContinuous"/>
    </xf>
    <xf numFmtId="0" fontId="4" fillId="0" borderId="38" xfId="0" applyFont="1" applyFill="1" applyBorder="1" applyProtection="1"/>
    <xf numFmtId="0" fontId="4" fillId="0" borderId="40" xfId="0" applyFont="1" applyFill="1" applyBorder="1" applyAlignment="1" applyProtection="1">
      <alignment horizontal="center"/>
    </xf>
    <xf numFmtId="37" fontId="4" fillId="0" borderId="16" xfId="0" applyNumberFormat="1" applyFont="1" applyFill="1" applyBorder="1" applyProtection="1"/>
    <xf numFmtId="37" fontId="4" fillId="0" borderId="14" xfId="0" applyNumberFormat="1" applyFont="1" applyFill="1" applyBorder="1" applyProtection="1"/>
    <xf numFmtId="37" fontId="4" fillId="0" borderId="15" xfId="0" applyNumberFormat="1" applyFont="1" applyFill="1" applyBorder="1" applyProtection="1"/>
    <xf numFmtId="0" fontId="39" fillId="0" borderId="17" xfId="0" applyFont="1" applyFill="1" applyBorder="1" applyAlignment="1" applyProtection="1">
      <alignment horizontal="centerContinuous"/>
    </xf>
    <xf numFmtId="37" fontId="4" fillId="0" borderId="32" xfId="0" applyNumberFormat="1" applyFont="1" applyFill="1" applyBorder="1" applyProtection="1"/>
    <xf numFmtId="37" fontId="4" fillId="0" borderId="29" xfId="0" applyNumberFormat="1" applyFont="1" applyFill="1" applyBorder="1" applyProtection="1"/>
    <xf numFmtId="37" fontId="4" fillId="0" borderId="12" xfId="0" applyNumberFormat="1" applyFont="1" applyFill="1" applyBorder="1" applyProtection="1"/>
    <xf numFmtId="5" fontId="4" fillId="0" borderId="17" xfId="0" applyNumberFormat="1" applyFont="1" applyFill="1" applyBorder="1" applyProtection="1"/>
    <xf numFmtId="5" fontId="4" fillId="0" borderId="22" xfId="0" applyNumberFormat="1" applyFont="1" applyFill="1" applyBorder="1" applyProtection="1"/>
    <xf numFmtId="5" fontId="4" fillId="0" borderId="21" xfId="0" applyNumberFormat="1" applyFont="1" applyFill="1" applyBorder="1" applyProtection="1"/>
    <xf numFmtId="5" fontId="4" fillId="0" borderId="19" xfId="0" applyNumberFormat="1" applyFont="1" applyFill="1" applyBorder="1" applyProtection="1"/>
    <xf numFmtId="43" fontId="0" fillId="0" borderId="0" xfId="69" applyFont="1" applyAlignment="1">
      <alignment horizontal="right"/>
    </xf>
    <xf numFmtId="43" fontId="4" fillId="0" borderId="16" xfId="69" applyFont="1" applyBorder="1" applyAlignment="1" applyProtection="1">
      <alignment horizontal="right"/>
    </xf>
    <xf numFmtId="43" fontId="4" fillId="0" borderId="18" xfId="69" applyFont="1" applyBorder="1" applyAlignment="1" applyProtection="1">
      <alignment horizontal="right"/>
    </xf>
    <xf numFmtId="43" fontId="0" fillId="0" borderId="32" xfId="69" applyFont="1" applyBorder="1" applyAlignment="1" applyProtection="1">
      <alignment horizontal="right"/>
    </xf>
    <xf numFmtId="43" fontId="4" fillId="0" borderId="32" xfId="69" applyFont="1" applyBorder="1" applyAlignment="1" applyProtection="1">
      <alignment horizontal="right"/>
    </xf>
    <xf numFmtId="43" fontId="4" fillId="0" borderId="0" xfId="69" applyFont="1" applyAlignment="1" applyProtection="1">
      <alignment horizontal="right"/>
    </xf>
    <xf numFmtId="5" fontId="4" fillId="0" borderId="0" xfId="0" applyNumberFormat="1" applyFont="1" applyFill="1" applyBorder="1" applyProtection="1"/>
    <xf numFmtId="0" fontId="4" fillId="0" borderId="0" xfId="0" applyFont="1" applyBorder="1" applyAlignment="1" applyProtection="1">
      <alignment horizontal="center"/>
    </xf>
    <xf numFmtId="37" fontId="4" fillId="0" borderId="27" xfId="0" applyNumberFormat="1" applyFont="1" applyFill="1" applyBorder="1" applyProtection="1"/>
    <xf numFmtId="37" fontId="4" fillId="0" borderId="0" xfId="0" applyNumberFormat="1" applyFont="1" applyFill="1" applyBorder="1" applyProtection="1"/>
    <xf numFmtId="5" fontId="4" fillId="0" borderId="51" xfId="0" applyNumberFormat="1" applyFont="1" applyFill="1" applyBorder="1" applyProtection="1"/>
    <xf numFmtId="37" fontId="4" fillId="0" borderId="41" xfId="0" applyNumberFormat="1" applyFont="1" applyFill="1" applyBorder="1" applyProtection="1"/>
    <xf numFmtId="37" fontId="4" fillId="0" borderId="35" xfId="104" applyNumberFormat="1" applyFont="1" applyFill="1" applyBorder="1" applyProtection="1"/>
    <xf numFmtId="0" fontId="23" fillId="0" borderId="37" xfId="0" applyFont="1" applyFill="1" applyBorder="1" applyAlignment="1" applyProtection="1">
      <alignment horizontal="left" wrapText="1"/>
      <protection locked="0"/>
    </xf>
    <xf numFmtId="0" fontId="23" fillId="0" borderId="53" xfId="0" applyFont="1" applyFill="1" applyBorder="1" applyAlignment="1" applyProtection="1">
      <alignment horizontal="left" wrapText="1"/>
      <protection locked="0"/>
    </xf>
    <xf numFmtId="0" fontId="5" fillId="0" borderId="0" xfId="0" applyFont="1" applyAlignment="1" applyProtection="1">
      <alignment horizontal="left"/>
    </xf>
    <xf numFmtId="0" fontId="19" fillId="0" borderId="0" xfId="0" applyFont="1" applyFill="1" applyProtection="1">
      <protection locked="0"/>
    </xf>
    <xf numFmtId="0" fontId="98" fillId="0" borderId="0" xfId="0" applyFont="1" applyProtection="1">
      <protection locked="0"/>
    </xf>
    <xf numFmtId="37" fontId="98" fillId="0" borderId="18" xfId="0" applyNumberFormat="1" applyFont="1" applyFill="1" applyBorder="1" applyProtection="1">
      <protection locked="0"/>
    </xf>
    <xf numFmtId="0" fontId="98" fillId="0" borderId="0" xfId="0" applyFont="1" applyFill="1" applyProtection="1">
      <protection locked="0"/>
    </xf>
    <xf numFmtId="0" fontId="98" fillId="0" borderId="18" xfId="0" applyFont="1" applyFill="1" applyBorder="1" applyProtection="1">
      <protection locked="0"/>
    </xf>
    <xf numFmtId="5" fontId="98" fillId="0" borderId="36" xfId="0" applyNumberFormat="1" applyFont="1" applyBorder="1" applyProtection="1">
      <protection locked="0"/>
    </xf>
    <xf numFmtId="37" fontId="98" fillId="0" borderId="36" xfId="0" applyNumberFormat="1" applyFont="1" applyBorder="1" applyProtection="1">
      <protection locked="0"/>
    </xf>
    <xf numFmtId="37" fontId="98" fillId="0" borderId="12" xfId="0" applyNumberFormat="1" applyFont="1" applyBorder="1" applyProtection="1">
      <protection locked="0"/>
    </xf>
    <xf numFmtId="37" fontId="98" fillId="0" borderId="0" xfId="0" applyNumberFormat="1" applyFont="1" applyProtection="1">
      <protection locked="0"/>
    </xf>
    <xf numFmtId="174" fontId="98" fillId="0" borderId="12" xfId="0" applyNumberFormat="1" applyFont="1" applyBorder="1" applyProtection="1">
      <protection locked="0"/>
    </xf>
    <xf numFmtId="10" fontId="98" fillId="0" borderId="12" xfId="0" applyNumberFormat="1" applyFont="1" applyBorder="1" applyProtection="1">
      <protection locked="0"/>
    </xf>
    <xf numFmtId="37" fontId="99" fillId="0" borderId="0" xfId="0" applyNumberFormat="1" applyFont="1" applyProtection="1"/>
    <xf numFmtId="14" fontId="98" fillId="0" borderId="12" xfId="0" quotePrefix="1" applyNumberFormat="1" applyFont="1" applyBorder="1" applyAlignment="1" applyProtection="1">
      <alignment horizontal="right"/>
      <protection locked="0"/>
    </xf>
    <xf numFmtId="10" fontId="98" fillId="0" borderId="12" xfId="113" applyNumberFormat="1" applyFont="1" applyBorder="1" applyProtection="1">
      <protection locked="0"/>
    </xf>
    <xf numFmtId="9" fontId="98" fillId="0" borderId="0" xfId="0" applyNumberFormat="1" applyFont="1" applyProtection="1">
      <protection locked="0"/>
    </xf>
    <xf numFmtId="0" fontId="99" fillId="0" borderId="0" xfId="0" applyFont="1"/>
    <xf numFmtId="37" fontId="98" fillId="0" borderId="0" xfId="0" applyNumberFormat="1" applyFont="1" applyFill="1" applyProtection="1">
      <protection locked="0"/>
    </xf>
    <xf numFmtId="43" fontId="0" fillId="0" borderId="86" xfId="0" applyNumberFormat="1" applyBorder="1" applyProtection="1"/>
    <xf numFmtId="43" fontId="0" fillId="0" borderId="0" xfId="0" applyNumberFormat="1" applyBorder="1" applyProtection="1"/>
    <xf numFmtId="0" fontId="4" fillId="0" borderId="0" xfId="0" applyFont="1" applyFill="1" applyAlignment="1" applyProtection="1">
      <alignment horizontal="left"/>
    </xf>
    <xf numFmtId="0" fontId="4" fillId="0" borderId="0" xfId="0" applyFont="1" applyFill="1" applyAlignment="1" applyProtection="1"/>
    <xf numFmtId="0" fontId="60" fillId="0" borderId="25" xfId="0" applyFont="1" applyFill="1" applyBorder="1" applyProtection="1">
      <protection locked="0"/>
    </xf>
    <xf numFmtId="0" fontId="28" fillId="0" borderId="28" xfId="0" applyFont="1" applyFill="1" applyBorder="1" applyProtection="1">
      <protection locked="0"/>
    </xf>
    <xf numFmtId="0" fontId="60" fillId="0" borderId="28" xfId="0" applyFont="1" applyFill="1" applyBorder="1" applyProtection="1">
      <protection locked="0"/>
    </xf>
    <xf numFmtId="0" fontId="28" fillId="0" borderId="31" xfId="0" applyFont="1" applyFill="1" applyBorder="1" applyAlignment="1" applyProtection="1">
      <alignment horizontal="left" indent="1"/>
      <protection locked="0"/>
    </xf>
    <xf numFmtId="0" fontId="46" fillId="0" borderId="0" xfId="0" applyFont="1" applyFill="1" applyProtection="1">
      <protection locked="0"/>
    </xf>
    <xf numFmtId="0" fontId="4" fillId="0" borderId="19" xfId="0" applyFont="1" applyFill="1" applyBorder="1" applyProtection="1"/>
    <xf numFmtId="0" fontId="47" fillId="0" borderId="12" xfId="0" applyFont="1" applyFill="1" applyBorder="1" applyAlignment="1" applyProtection="1">
      <alignment horizontal="left"/>
    </xf>
    <xf numFmtId="0" fontId="100" fillId="0" borderId="0" xfId="0" applyFont="1"/>
    <xf numFmtId="0" fontId="5" fillId="0" borderId="17" xfId="0" applyFont="1" applyBorder="1" applyAlignment="1">
      <alignment horizontal="left"/>
    </xf>
    <xf numFmtId="0" fontId="0" fillId="0" borderId="0" xfId="0" applyBorder="1" applyAlignment="1">
      <alignment horizontal="centerContinuous"/>
    </xf>
    <xf numFmtId="0" fontId="0" fillId="0" borderId="0" xfId="0" applyBorder="1" applyAlignment="1">
      <alignment horizontal="center"/>
    </xf>
    <xf numFmtId="38" fontId="28" fillId="0" borderId="0" xfId="0" applyNumberFormat="1" applyFont="1" applyBorder="1" applyProtection="1">
      <protection locked="0"/>
    </xf>
    <xf numFmtId="38" fontId="4" fillId="0" borderId="0" xfId="0" applyNumberFormat="1" applyFont="1" applyBorder="1" applyProtection="1">
      <protection locked="0"/>
    </xf>
    <xf numFmtId="38" fontId="4" fillId="0" borderId="0" xfId="0" applyNumberFormat="1" applyFont="1" applyBorder="1"/>
    <xf numFmtId="38" fontId="4" fillId="0" borderId="0" xfId="0" applyNumberFormat="1" applyFont="1" applyBorder="1" applyAlignment="1">
      <alignment horizontal="center"/>
    </xf>
    <xf numFmtId="37" fontId="4" fillId="0" borderId="0" xfId="0" applyNumberFormat="1" applyFont="1" applyBorder="1" applyProtection="1">
      <protection locked="0"/>
    </xf>
    <xf numFmtId="37" fontId="4" fillId="0" borderId="0" xfId="0" applyNumberFormat="1" applyFont="1" applyBorder="1" applyProtection="1"/>
    <xf numFmtId="14" fontId="0" fillId="0" borderId="0" xfId="0" applyNumberFormat="1" applyBorder="1"/>
    <xf numFmtId="0" fontId="16" fillId="0" borderId="0" xfId="0" applyFont="1" applyBorder="1" applyAlignment="1">
      <alignment horizontal="centerContinuous" wrapText="1"/>
    </xf>
    <xf numFmtId="38" fontId="4" fillId="0" borderId="0" xfId="0" applyNumberFormat="1" applyFont="1" applyFill="1" applyBorder="1" applyAlignment="1" applyProtection="1">
      <alignment horizontal="centerContinuous"/>
    </xf>
    <xf numFmtId="38" fontId="4" fillId="0" borderId="0" xfId="0" applyNumberFormat="1" applyFont="1" applyFill="1" applyBorder="1"/>
    <xf numFmtId="38" fontId="4" fillId="0" borderId="0" xfId="0" applyNumberFormat="1" applyFont="1" applyFill="1" applyProtection="1"/>
    <xf numFmtId="38" fontId="4" fillId="0" borderId="0" xfId="0" applyNumberFormat="1" applyFont="1" applyFill="1" applyAlignment="1" applyProtection="1">
      <alignment horizontal="centerContinuous"/>
    </xf>
    <xf numFmtId="0" fontId="0" fillId="0" borderId="15" xfId="0" applyFill="1" applyBorder="1"/>
    <xf numFmtId="0" fontId="0" fillId="0" borderId="27" xfId="0" applyFill="1" applyBorder="1" applyAlignment="1">
      <alignment horizontal="center"/>
    </xf>
    <xf numFmtId="0" fontId="0" fillId="0" borderId="30" xfId="0" applyFill="1" applyBorder="1" applyAlignment="1">
      <alignment horizontal="center"/>
    </xf>
    <xf numFmtId="0" fontId="4" fillId="0" borderId="27" xfId="0" applyFont="1" applyFill="1" applyBorder="1"/>
    <xf numFmtId="0" fontId="4" fillId="0" borderId="36" xfId="0" applyFont="1" applyFill="1" applyBorder="1"/>
    <xf numFmtId="38" fontId="4" fillId="0" borderId="36" xfId="0" applyNumberFormat="1" applyFont="1" applyFill="1" applyBorder="1" applyProtection="1">
      <protection locked="0"/>
    </xf>
    <xf numFmtId="38" fontId="4" fillId="0" borderId="36" xfId="0" applyNumberFormat="1" applyFont="1" applyFill="1" applyBorder="1" applyProtection="1"/>
    <xf numFmtId="38" fontId="4" fillId="0" borderId="30" xfId="0" applyNumberFormat="1" applyFont="1" applyFill="1" applyBorder="1" applyProtection="1"/>
    <xf numFmtId="38" fontId="28" fillId="0" borderId="45" xfId="0" applyNumberFormat="1" applyFont="1" applyFill="1" applyBorder="1" applyProtection="1">
      <protection locked="0"/>
    </xf>
    <xf numFmtId="38" fontId="28" fillId="0" borderId="28" xfId="0" applyNumberFormat="1" applyFont="1" applyFill="1" applyBorder="1" applyProtection="1">
      <protection locked="0"/>
    </xf>
    <xf numFmtId="38" fontId="4" fillId="0" borderId="15" xfId="0" applyNumberFormat="1" applyFont="1" applyFill="1" applyBorder="1"/>
    <xf numFmtId="38" fontId="4" fillId="0" borderId="12" xfId="0" applyNumberFormat="1" applyFont="1" applyFill="1" applyBorder="1"/>
    <xf numFmtId="38" fontId="4" fillId="0" borderId="27" xfId="0" applyNumberFormat="1" applyFont="1" applyFill="1" applyBorder="1" applyAlignment="1">
      <alignment horizontal="center"/>
    </xf>
    <xf numFmtId="38" fontId="4" fillId="0" borderId="30" xfId="0" applyNumberFormat="1" applyFont="1" applyFill="1" applyBorder="1" applyAlignment="1">
      <alignment horizontal="center"/>
    </xf>
    <xf numFmtId="38" fontId="47" fillId="0" borderId="27" xfId="0" applyNumberFormat="1" applyFont="1" applyFill="1" applyBorder="1" applyProtection="1"/>
    <xf numFmtId="38" fontId="4" fillId="0" borderId="27" xfId="0" applyNumberFormat="1" applyFont="1" applyFill="1" applyBorder="1"/>
    <xf numFmtId="38" fontId="4" fillId="0" borderId="28" xfId="0" applyNumberFormat="1" applyFont="1" applyFill="1" applyBorder="1"/>
    <xf numFmtId="38" fontId="47" fillId="0" borderId="49" xfId="0" applyNumberFormat="1" applyFont="1" applyFill="1" applyBorder="1" applyProtection="1">
      <protection locked="0"/>
    </xf>
    <xf numFmtId="38" fontId="28" fillId="0" borderId="0" xfId="0" applyNumberFormat="1" applyFont="1" applyFill="1" applyProtection="1">
      <protection locked="0"/>
    </xf>
    <xf numFmtId="38" fontId="28" fillId="0" borderId="0" xfId="0" applyNumberFormat="1" applyFont="1" applyFill="1" applyAlignment="1" applyProtection="1">
      <alignment horizontal="centerContinuous"/>
      <protection locked="0"/>
    </xf>
    <xf numFmtId="38" fontId="28" fillId="0" borderId="109" xfId="0" applyNumberFormat="1" applyFont="1" applyFill="1" applyBorder="1" applyProtection="1">
      <protection locked="0"/>
    </xf>
    <xf numFmtId="37" fontId="28" fillId="0" borderId="27" xfId="0" applyNumberFormat="1" applyFont="1" applyFill="1" applyBorder="1" applyProtection="1">
      <protection locked="0"/>
    </xf>
    <xf numFmtId="5" fontId="4" fillId="0" borderId="34" xfId="0" applyNumberFormat="1" applyFont="1" applyFill="1" applyBorder="1" applyProtection="1"/>
    <xf numFmtId="0" fontId="0" fillId="0" borderId="19" xfId="0" applyFill="1" applyBorder="1"/>
    <xf numFmtId="37" fontId="4" fillId="0" borderId="35" xfId="0" applyNumberFormat="1" applyFont="1" applyFill="1" applyBorder="1" applyProtection="1">
      <protection locked="0"/>
    </xf>
    <xf numFmtId="0" fontId="5" fillId="0" borderId="0" xfId="0" applyFont="1" applyFill="1" applyBorder="1" applyAlignment="1">
      <alignment horizontal="centerContinuous"/>
    </xf>
    <xf numFmtId="5" fontId="4" fillId="29" borderId="0" xfId="0" applyNumberFormat="1" applyFont="1" applyFill="1" applyBorder="1" applyProtection="1"/>
    <xf numFmtId="38" fontId="4" fillId="0" borderId="110" xfId="0" applyNumberFormat="1" applyFont="1" applyBorder="1" applyProtection="1"/>
    <xf numFmtId="38" fontId="4" fillId="0" borderId="110" xfId="0" applyNumberFormat="1" applyFont="1" applyBorder="1" applyAlignment="1" applyProtection="1">
      <alignment horizontal="centerContinuous"/>
    </xf>
    <xf numFmtId="0" fontId="0" fillId="0" borderId="111" xfId="0" applyFill="1" applyBorder="1" applyAlignment="1">
      <alignment horizontal="center"/>
    </xf>
    <xf numFmtId="0" fontId="0" fillId="0" borderId="36" xfId="0" applyFill="1" applyBorder="1" applyAlignment="1">
      <alignment horizontal="center"/>
    </xf>
    <xf numFmtId="38" fontId="28" fillId="0" borderId="36" xfId="0" applyNumberFormat="1" applyFont="1" applyFill="1" applyBorder="1" applyProtection="1">
      <protection locked="0"/>
    </xf>
    <xf numFmtId="15" fontId="27" fillId="29" borderId="0" xfId="0" quotePrefix="1" applyNumberFormat="1" applyFont="1" applyFill="1" applyProtection="1">
      <protection locked="0"/>
    </xf>
    <xf numFmtId="1" fontId="0" fillId="0" borderId="0" xfId="0" applyNumberFormat="1" applyAlignment="1">
      <alignment horizontal="left"/>
    </xf>
    <xf numFmtId="0" fontId="0" fillId="0" borderId="0" xfId="0" applyFill="1" applyBorder="1" applyAlignment="1">
      <alignment horizontal="center"/>
    </xf>
    <xf numFmtId="0" fontId="0" fillId="0" borderId="0" xfId="0" applyBorder="1" applyAlignment="1" applyProtection="1">
      <alignment horizontal="centerContinuous"/>
    </xf>
    <xf numFmtId="0" fontId="4" fillId="0" borderId="30" xfId="0" quotePrefix="1" applyFont="1" applyBorder="1" applyAlignment="1" applyProtection="1">
      <alignment horizontal="center"/>
    </xf>
    <xf numFmtId="37" fontId="47" fillId="0" borderId="31" xfId="0" applyNumberFormat="1" applyFont="1" applyFill="1" applyBorder="1" applyAlignment="1" applyProtection="1"/>
    <xf numFmtId="3" fontId="0" fillId="0" borderId="51" xfId="69" applyNumberFormat="1" applyFont="1" applyBorder="1" applyProtection="1"/>
    <xf numFmtId="0" fontId="47" fillId="52" borderId="112" xfId="0" applyFont="1" applyFill="1" applyBorder="1" applyProtection="1"/>
    <xf numFmtId="0" fontId="47" fillId="52" borderId="113" xfId="0" applyFont="1" applyFill="1" applyBorder="1" applyAlignment="1" applyProtection="1">
      <alignment horizontal="right"/>
    </xf>
    <xf numFmtId="0" fontId="0" fillId="0" borderId="0" xfId="0" quotePrefix="1" applyAlignment="1" applyProtection="1"/>
    <xf numFmtId="3" fontId="19" fillId="0" borderId="51" xfId="0" applyNumberFormat="1" applyFont="1" applyBorder="1" applyProtection="1">
      <protection locked="0"/>
    </xf>
    <xf numFmtId="3" fontId="19" fillId="42" borderId="51" xfId="0" applyNumberFormat="1" applyFont="1" applyFill="1" applyBorder="1" applyProtection="1">
      <protection locked="0"/>
    </xf>
    <xf numFmtId="3" fontId="0" fillId="0" borderId="51" xfId="0" applyNumberFormat="1" applyBorder="1" applyProtection="1"/>
    <xf numFmtId="43" fontId="1" fillId="0" borderId="0" xfId="69" applyFont="1" applyFill="1"/>
    <xf numFmtId="5" fontId="4" fillId="0" borderId="0" xfId="0" applyNumberFormat="1" applyFont="1" applyAlignment="1" applyProtection="1">
      <alignment horizontal="center"/>
    </xf>
    <xf numFmtId="37" fontId="101" fillId="0" borderId="0" xfId="69" applyNumberFormat="1" applyFont="1" applyFill="1" applyBorder="1" applyAlignment="1">
      <alignment vertical="center"/>
    </xf>
    <xf numFmtId="0" fontId="91" fillId="0" borderId="0" xfId="0" applyFont="1" applyFill="1" applyAlignment="1" applyProtection="1">
      <alignment horizontal="center"/>
    </xf>
    <xf numFmtId="37" fontId="47" fillId="0" borderId="0" xfId="0" applyNumberFormat="1" applyFont="1" applyBorder="1" applyAlignment="1" applyProtection="1">
      <alignment horizontal="centerContinuous"/>
    </xf>
    <xf numFmtId="37" fontId="47" fillId="0" borderId="12" xfId="0" applyNumberFormat="1" applyFont="1" applyBorder="1" applyProtection="1"/>
    <xf numFmtId="37" fontId="48" fillId="22" borderId="40" xfId="0" applyNumberFormat="1" applyFont="1" applyFill="1" applyBorder="1" applyAlignment="1" applyProtection="1">
      <alignment horizontal="center"/>
    </xf>
    <xf numFmtId="39" fontId="47" fillId="40" borderId="0" xfId="0" applyNumberFormat="1" applyFont="1" applyFill="1" applyBorder="1" applyAlignment="1" applyProtection="1">
      <alignment horizontal="centerContinuous"/>
    </xf>
    <xf numFmtId="5" fontId="47" fillId="0" borderId="12" xfId="0" applyNumberFormat="1" applyFont="1" applyBorder="1" applyAlignment="1" applyProtection="1">
      <protection locked="0"/>
    </xf>
    <xf numFmtId="37" fontId="47" fillId="0" borderId="12" xfId="0" applyNumberFormat="1" applyFont="1" applyBorder="1" applyAlignment="1" applyProtection="1">
      <protection locked="0"/>
    </xf>
    <xf numFmtId="37" fontId="47" fillId="40" borderId="0" xfId="0" applyNumberFormat="1" applyFont="1" applyFill="1" applyBorder="1" applyAlignment="1" applyProtection="1">
      <alignment horizontal="centerContinuous"/>
    </xf>
    <xf numFmtId="0" fontId="4" fillId="0" borderId="0" xfId="0" applyFont="1" applyFill="1" applyBorder="1" applyAlignment="1" applyProtection="1">
      <alignment horizontal="centerContinuous"/>
    </xf>
    <xf numFmtId="0" fontId="4" fillId="0" borderId="0" xfId="0" applyFont="1" applyFill="1" applyBorder="1" applyAlignment="1" applyProtection="1">
      <alignment horizontal="center"/>
    </xf>
    <xf numFmtId="5" fontId="4" fillId="0" borderId="59" xfId="0" applyNumberFormat="1" applyFont="1" applyFill="1" applyBorder="1" applyProtection="1"/>
    <xf numFmtId="5" fontId="4" fillId="0" borderId="61" xfId="0" applyNumberFormat="1" applyFont="1" applyFill="1" applyBorder="1" applyProtection="1"/>
    <xf numFmtId="37" fontId="4" fillId="0" borderId="0" xfId="0" applyNumberFormat="1" applyFont="1" applyFill="1" applyBorder="1" applyAlignment="1" applyProtection="1">
      <alignment horizontal="centerContinuous"/>
    </xf>
    <xf numFmtId="0" fontId="47" fillId="0" borderId="12" xfId="0" applyFont="1" applyFill="1" applyBorder="1" applyAlignment="1" applyProtection="1">
      <alignment horizontal="centerContinuous"/>
    </xf>
    <xf numFmtId="0" fontId="47" fillId="0" borderId="42" xfId="0" applyFont="1" applyFill="1" applyBorder="1" applyProtection="1"/>
    <xf numFmtId="5" fontId="4" fillId="0" borderId="0" xfId="0" applyNumberFormat="1" applyFont="1" applyBorder="1" applyProtection="1"/>
    <xf numFmtId="5" fontId="4" fillId="0" borderId="61" xfId="0" applyNumberFormat="1" applyFont="1" applyBorder="1" applyProtection="1"/>
    <xf numFmtId="0" fontId="45" fillId="0" borderId="0" xfId="0" applyFont="1" applyBorder="1" applyProtection="1"/>
    <xf numFmtId="41" fontId="4" fillId="0" borderId="0" xfId="0" applyNumberFormat="1" applyFont="1" applyFill="1" applyBorder="1" applyProtection="1"/>
    <xf numFmtId="37" fontId="0" fillId="0" borderId="0" xfId="0" applyNumberFormat="1" applyBorder="1" applyProtection="1"/>
    <xf numFmtId="37" fontId="7" fillId="0" borderId="0" xfId="0" applyNumberFormat="1" applyFont="1" applyBorder="1" applyProtection="1"/>
    <xf numFmtId="37" fontId="4" fillId="41" borderId="0" xfId="0" applyNumberFormat="1" applyFont="1" applyFill="1" applyBorder="1" applyProtection="1"/>
    <xf numFmtId="37" fontId="47" fillId="29" borderId="0" xfId="0" applyNumberFormat="1" applyFont="1" applyFill="1" applyBorder="1" applyProtection="1"/>
    <xf numFmtId="5" fontId="4" fillId="0" borderId="59" xfId="0" applyNumberFormat="1" applyFont="1" applyBorder="1" applyProtection="1"/>
    <xf numFmtId="5" fontId="4" fillId="0" borderId="24" xfId="0" applyNumberFormat="1" applyFont="1" applyBorder="1" applyProtection="1"/>
    <xf numFmtId="0" fontId="4" fillId="41" borderId="0" xfId="0" applyFont="1" applyFill="1" applyBorder="1" applyProtection="1"/>
    <xf numFmtId="37" fontId="4" fillId="29" borderId="0" xfId="0" applyNumberFormat="1" applyFont="1" applyFill="1" applyBorder="1" applyAlignment="1" applyProtection="1">
      <alignment horizontal="centerContinuous"/>
    </xf>
    <xf numFmtId="37" fontId="93" fillId="0" borderId="0" xfId="0" applyNumberFormat="1" applyFont="1" applyFill="1" applyBorder="1" applyProtection="1"/>
    <xf numFmtId="9" fontId="52" fillId="0" borderId="0" xfId="0" applyNumberFormat="1" applyFont="1" applyFill="1" applyBorder="1" applyProtection="1"/>
    <xf numFmtId="0" fontId="52" fillId="0" borderId="0" xfId="0" applyFont="1" applyFill="1" applyBorder="1" applyAlignment="1" applyProtection="1">
      <alignment horizontal="center"/>
    </xf>
    <xf numFmtId="37" fontId="4" fillId="0" borderId="0" xfId="69" applyNumberFormat="1" applyFont="1" applyFill="1"/>
    <xf numFmtId="0" fontId="52" fillId="0" borderId="6" xfId="0" applyFont="1" applyBorder="1" applyAlignment="1" applyProtection="1">
      <alignment horizontal="center"/>
    </xf>
    <xf numFmtId="37" fontId="52" fillId="0" borderId="115" xfId="0" applyNumberFormat="1" applyFont="1" applyFill="1" applyBorder="1" applyProtection="1"/>
    <xf numFmtId="37" fontId="52" fillId="0" borderId="116" xfId="0" applyNumberFormat="1" applyFont="1" applyFill="1" applyBorder="1" applyProtection="1"/>
    <xf numFmtId="37" fontId="93" fillId="0" borderId="115" xfId="0" applyNumberFormat="1" applyFont="1" applyFill="1" applyBorder="1" applyProtection="1"/>
    <xf numFmtId="37" fontId="93" fillId="0" borderId="117" xfId="0" applyNumberFormat="1" applyFont="1" applyFill="1" applyBorder="1" applyProtection="1"/>
    <xf numFmtId="37" fontId="52" fillId="0" borderId="117" xfId="0" applyNumberFormat="1" applyFont="1" applyFill="1" applyBorder="1" applyProtection="1"/>
    <xf numFmtId="37" fontId="52" fillId="0" borderId="118" xfId="0" applyNumberFormat="1" applyFont="1" applyFill="1" applyBorder="1" applyProtection="1"/>
    <xf numFmtId="37" fontId="52" fillId="0" borderId="99" xfId="0" applyNumberFormat="1" applyFont="1" applyFill="1" applyBorder="1" applyProtection="1"/>
    <xf numFmtId="9" fontId="52" fillId="0" borderId="119" xfId="0" applyNumberFormat="1" applyFont="1" applyFill="1" applyBorder="1" applyProtection="1"/>
    <xf numFmtId="37" fontId="52" fillId="0" borderId="120" xfId="0" applyNumberFormat="1" applyFont="1" applyFill="1" applyBorder="1" applyProtection="1"/>
    <xf numFmtId="37" fontId="52" fillId="0" borderId="121" xfId="0" applyNumberFormat="1" applyFont="1" applyFill="1" applyBorder="1" applyProtection="1"/>
    <xf numFmtId="0" fontId="75" fillId="0" borderId="0" xfId="0" applyFont="1" applyAlignment="1" applyProtection="1">
      <alignment horizontal="centerContinuous"/>
    </xf>
    <xf numFmtId="0" fontId="76" fillId="0" borderId="0" xfId="0" applyFont="1" applyAlignment="1" applyProtection="1">
      <alignment horizontal="centerContinuous"/>
    </xf>
    <xf numFmtId="0" fontId="77" fillId="0" borderId="0" xfId="0" applyFont="1" applyAlignment="1" applyProtection="1">
      <alignment horizontal="centerContinuous"/>
    </xf>
    <xf numFmtId="0" fontId="64" fillId="0" borderId="0" xfId="0" applyFont="1" applyAlignment="1" applyProtection="1">
      <alignment horizontal="centerContinuous"/>
    </xf>
    <xf numFmtId="0" fontId="64" fillId="0" borderId="0" xfId="0" applyFont="1" applyProtection="1"/>
    <xf numFmtId="0" fontId="64" fillId="0" borderId="0" xfId="0" applyFont="1" applyAlignment="1" applyProtection="1">
      <alignment horizontal="center"/>
    </xf>
    <xf numFmtId="0" fontId="16" fillId="0" borderId="0" xfId="0" applyFont="1" applyAlignment="1" applyProtection="1">
      <alignment horizontal="left"/>
    </xf>
    <xf numFmtId="5" fontId="64" fillId="0" borderId="0" xfId="0" applyNumberFormat="1" applyFont="1" applyProtection="1"/>
    <xf numFmtId="0" fontId="64" fillId="0" borderId="0" xfId="0" applyFont="1" applyAlignment="1" applyProtection="1">
      <alignment horizontal="left"/>
    </xf>
    <xf numFmtId="7" fontId="0" fillId="0" borderId="0" xfId="0" applyNumberFormat="1" applyProtection="1"/>
    <xf numFmtId="173" fontId="0" fillId="0" borderId="0" xfId="0" applyNumberFormat="1" applyProtection="1"/>
    <xf numFmtId="173" fontId="0" fillId="0" borderId="0" xfId="0" applyNumberFormat="1" applyAlignment="1" applyProtection="1">
      <alignment horizontal="centerContinuous"/>
    </xf>
    <xf numFmtId="172" fontId="0" fillId="0" borderId="0" xfId="0" applyNumberFormat="1" applyProtection="1"/>
    <xf numFmtId="0" fontId="78" fillId="0" borderId="0" xfId="0" applyFont="1" applyProtection="1"/>
    <xf numFmtId="0" fontId="6" fillId="0" borderId="0" xfId="0" applyFont="1" applyProtection="1"/>
    <xf numFmtId="170" fontId="0" fillId="0" borderId="0" xfId="0" applyNumberFormat="1" applyProtection="1"/>
    <xf numFmtId="169" fontId="0" fillId="0" borderId="0" xfId="0" applyNumberFormat="1" applyProtection="1"/>
    <xf numFmtId="0" fontId="6" fillId="0" borderId="0" xfId="0" applyFont="1" applyAlignment="1" applyProtection="1">
      <alignment horizontal="center"/>
    </xf>
    <xf numFmtId="37" fontId="0" fillId="0" borderId="0" xfId="0" applyNumberFormat="1" applyAlignment="1" applyProtection="1">
      <alignment horizontal="right"/>
    </xf>
    <xf numFmtId="15" fontId="64" fillId="0" borderId="0" xfId="0" applyNumberFormat="1" applyFont="1" applyAlignment="1" applyProtection="1">
      <alignment horizontal="center"/>
    </xf>
    <xf numFmtId="44" fontId="0" fillId="0" borderId="0" xfId="0" applyNumberFormat="1" applyProtection="1"/>
    <xf numFmtId="43" fontId="4" fillId="0" borderId="0" xfId="69" applyFont="1" applyBorder="1" applyAlignment="1" applyProtection="1">
      <alignment horizontal="center"/>
    </xf>
    <xf numFmtId="43" fontId="4" fillId="0" borderId="0" xfId="69" applyFont="1" applyBorder="1" applyProtection="1"/>
    <xf numFmtId="38" fontId="4" fillId="0" borderId="0" xfId="0" applyNumberFormat="1" applyFont="1" applyBorder="1" applyAlignment="1" applyProtection="1"/>
    <xf numFmtId="0" fontId="4" fillId="0" borderId="27" xfId="107" applyFont="1" applyBorder="1"/>
    <xf numFmtId="5" fontId="4" fillId="0" borderId="27" xfId="107" applyNumberFormat="1" applyFont="1" applyFill="1" applyBorder="1" applyProtection="1"/>
    <xf numFmtId="37" fontId="4" fillId="0" borderId="27" xfId="107" applyNumberFormat="1" applyFont="1" applyFill="1" applyBorder="1" applyProtection="1"/>
    <xf numFmtId="37" fontId="4" fillId="0" borderId="18" xfId="107" applyNumberFormat="1" applyFont="1" applyFill="1" applyBorder="1" applyProtection="1"/>
    <xf numFmtId="37" fontId="4" fillId="0" borderId="27" xfId="107" applyNumberFormat="1" applyFont="1" applyBorder="1" applyProtection="1"/>
    <xf numFmtId="37" fontId="4" fillId="0" borderId="18" xfId="107" applyNumberFormat="1" applyFont="1" applyBorder="1" applyProtection="1"/>
    <xf numFmtId="0" fontId="4" fillId="0" borderId="27" xfId="107" quotePrefix="1" applyFont="1" applyBorder="1"/>
    <xf numFmtId="0" fontId="4" fillId="0" borderId="33" xfId="107" applyFont="1" applyBorder="1" applyAlignment="1">
      <alignment horizontal="center"/>
    </xf>
    <xf numFmtId="5" fontId="4" fillId="0" borderId="47" xfId="107" applyNumberFormat="1" applyFont="1" applyBorder="1" applyProtection="1"/>
    <xf numFmtId="37" fontId="4" fillId="0" borderId="47" xfId="107" applyNumberFormat="1" applyFont="1" applyBorder="1" applyProtection="1"/>
    <xf numFmtId="37" fontId="4" fillId="0" borderId="48" xfId="107" applyNumberFormat="1" applyFont="1" applyBorder="1" applyProtection="1"/>
    <xf numFmtId="0" fontId="4" fillId="0" borderId="0" xfId="107" applyFont="1"/>
    <xf numFmtId="3" fontId="19" fillId="0" borderId="51" xfId="0" applyNumberFormat="1" applyFont="1" applyFill="1" applyBorder="1" applyProtection="1">
      <protection locked="0"/>
    </xf>
    <xf numFmtId="3" fontId="0" fillId="0" borderId="51" xfId="0" applyNumberFormat="1" applyFill="1" applyBorder="1" applyProtection="1"/>
    <xf numFmtId="5" fontId="0" fillId="0" borderId="28" xfId="0" applyNumberFormat="1" applyFill="1" applyBorder="1" applyProtection="1"/>
    <xf numFmtId="5" fontId="4" fillId="0" borderId="56" xfId="0" applyNumberFormat="1" applyFont="1" applyFill="1" applyBorder="1" applyProtection="1"/>
    <xf numFmtId="5" fontId="4" fillId="0" borderId="27" xfId="0" applyNumberFormat="1" applyFont="1" applyFill="1" applyBorder="1" applyProtection="1"/>
    <xf numFmtId="37" fontId="16" fillId="0" borderId="36" xfId="0" applyNumberFormat="1" applyFont="1" applyFill="1" applyBorder="1" applyProtection="1"/>
    <xf numFmtId="3" fontId="1" fillId="0" borderId="0" xfId="0" applyNumberFormat="1" applyFont="1" applyAlignment="1">
      <alignment wrapText="1"/>
    </xf>
    <xf numFmtId="37" fontId="4" fillId="0" borderId="115" xfId="69" applyNumberFormat="1" applyFont="1" applyFill="1" applyBorder="1"/>
    <xf numFmtId="5" fontId="28" fillId="0" borderId="27" xfId="0" applyNumberFormat="1" applyFont="1" applyFill="1" applyBorder="1" applyProtection="1">
      <protection locked="0"/>
    </xf>
    <xf numFmtId="37" fontId="56" fillId="0" borderId="27" xfId="0" applyNumberFormat="1" applyFont="1" applyFill="1" applyBorder="1" applyProtection="1">
      <protection locked="0"/>
    </xf>
    <xf numFmtId="37" fontId="56" fillId="0" borderId="28" xfId="0" applyNumberFormat="1" applyFont="1" applyFill="1" applyBorder="1" applyProtection="1">
      <protection locked="0"/>
    </xf>
    <xf numFmtId="5" fontId="4" fillId="0" borderId="28" xfId="0" applyNumberFormat="1" applyFont="1" applyFill="1" applyBorder="1" applyProtection="1"/>
    <xf numFmtId="37" fontId="47" fillId="0" borderId="0" xfId="0" applyNumberFormat="1" applyFont="1" applyFill="1" applyBorder="1" applyAlignment="1" applyProtection="1"/>
    <xf numFmtId="0" fontId="47" fillId="0" borderId="0" xfId="0" applyFont="1" applyBorder="1" applyAlignment="1" applyProtection="1">
      <alignment horizontal="left"/>
    </xf>
    <xf numFmtId="37" fontId="47" fillId="0" borderId="32" xfId="0" applyNumberFormat="1" applyFont="1" applyFill="1" applyBorder="1" applyProtection="1"/>
    <xf numFmtId="37" fontId="49" fillId="0" borderId="85" xfId="0" applyNumberFormat="1" applyFont="1" applyBorder="1" applyProtection="1"/>
    <xf numFmtId="38" fontId="4" fillId="51" borderId="45" xfId="0" applyNumberFormat="1" applyFont="1" applyFill="1" applyBorder="1" applyProtection="1"/>
    <xf numFmtId="38" fontId="4" fillId="51" borderId="47" xfId="0" applyNumberFormat="1" applyFont="1" applyFill="1" applyBorder="1" applyProtection="1"/>
    <xf numFmtId="0" fontId="1" fillId="0" borderId="0" xfId="0" applyFont="1" applyAlignment="1">
      <alignment horizontal="left"/>
    </xf>
    <xf numFmtId="0" fontId="1" fillId="0" borderId="0" xfId="0" applyFont="1" applyAlignment="1"/>
    <xf numFmtId="0" fontId="0" fillId="0" borderId="34" xfId="0" applyBorder="1" applyAlignment="1">
      <alignment horizontal="right"/>
    </xf>
    <xf numFmtId="0" fontId="4" fillId="0" borderId="24" xfId="0" applyFont="1" applyFill="1" applyBorder="1" applyProtection="1"/>
    <xf numFmtId="0" fontId="4" fillId="0" borderId="37" xfId="0" applyFont="1" applyFill="1" applyBorder="1" applyProtection="1"/>
    <xf numFmtId="5" fontId="4" fillId="0" borderId="27" xfId="107" applyNumberFormat="1" applyFont="1" applyBorder="1" applyProtection="1"/>
    <xf numFmtId="37" fontId="4" fillId="0" borderId="28" xfId="107" applyNumberFormat="1" applyFont="1" applyBorder="1" applyProtection="1"/>
    <xf numFmtId="37" fontId="4" fillId="0" borderId="17" xfId="107" applyNumberFormat="1" applyFont="1" applyBorder="1" applyProtection="1"/>
    <xf numFmtId="0" fontId="52" fillId="0" borderId="35" xfId="0" applyNumberFormat="1" applyFont="1" applyBorder="1" applyAlignment="1"/>
    <xf numFmtId="38" fontId="102" fillId="0" borderId="0" xfId="69" applyNumberFormat="1" applyFont="1" applyFill="1" applyBorder="1" applyAlignment="1">
      <alignment vertical="center"/>
    </xf>
    <xf numFmtId="5" fontId="98" fillId="0" borderId="18" xfId="0" applyNumberFormat="1" applyFont="1" applyFill="1" applyBorder="1" applyProtection="1">
      <protection locked="0"/>
    </xf>
    <xf numFmtId="176" fontId="0" fillId="0" borderId="0" xfId="0" applyNumberFormat="1"/>
    <xf numFmtId="5" fontId="47" fillId="0" borderId="32" xfId="0" applyNumberFormat="1" applyFont="1" applyFill="1" applyBorder="1" applyProtection="1"/>
    <xf numFmtId="37" fontId="47" fillId="0" borderId="54" xfId="0" applyNumberFormat="1" applyFont="1" applyFill="1" applyBorder="1" applyProtection="1"/>
    <xf numFmtId="37" fontId="47" fillId="0" borderId="122" xfId="0" applyNumberFormat="1" applyFont="1" applyBorder="1" applyProtection="1"/>
    <xf numFmtId="0" fontId="1" fillId="0" borderId="0" xfId="0" applyFont="1" applyFill="1"/>
    <xf numFmtId="176" fontId="0" fillId="0" borderId="0" xfId="0" applyNumberFormat="1" applyFill="1"/>
    <xf numFmtId="5" fontId="47" fillId="52" borderId="114" xfId="0" applyNumberFormat="1" applyFont="1" applyFill="1" applyBorder="1" applyProtection="1"/>
    <xf numFmtId="37" fontId="47" fillId="0" borderId="12" xfId="0" applyNumberFormat="1" applyFont="1" applyFill="1" applyBorder="1" applyAlignment="1" applyProtection="1"/>
    <xf numFmtId="37" fontId="47" fillId="0" borderId="31" xfId="0" applyNumberFormat="1" applyFont="1" applyFill="1" applyBorder="1" applyProtection="1"/>
    <xf numFmtId="0" fontId="104" fillId="0" borderId="0" xfId="0" applyFont="1" applyProtection="1"/>
    <xf numFmtId="0" fontId="5" fillId="0" borderId="0" xfId="0" quotePrefix="1" applyFont="1"/>
    <xf numFmtId="37" fontId="28" fillId="0" borderId="28" xfId="109" applyNumberFormat="1" applyFont="1" applyFill="1" applyBorder="1" applyProtection="1">
      <protection locked="0"/>
    </xf>
    <xf numFmtId="0" fontId="47" fillId="0" borderId="0" xfId="0" applyFont="1" applyFill="1"/>
    <xf numFmtId="0" fontId="4" fillId="0" borderId="0" xfId="109" applyFont="1" applyFill="1"/>
    <xf numFmtId="0" fontId="4" fillId="0" borderId="28" xfId="109" applyFont="1" applyFill="1" applyBorder="1"/>
    <xf numFmtId="44" fontId="4" fillId="0" borderId="0" xfId="109" applyNumberFormat="1" applyFont="1" applyFill="1"/>
    <xf numFmtId="0" fontId="4" fillId="0" borderId="0" xfId="109" applyFont="1" applyFill="1" applyAlignment="1">
      <alignment horizontal="left"/>
    </xf>
    <xf numFmtId="0" fontId="28" fillId="0" borderId="0" xfId="109" applyFont="1" applyFill="1" applyProtection="1">
      <protection locked="0"/>
    </xf>
    <xf numFmtId="43" fontId="4" fillId="0" borderId="0" xfId="0" applyNumberFormat="1" applyFont="1" applyProtection="1"/>
    <xf numFmtId="0" fontId="5" fillId="0" borderId="0" xfId="0" applyFont="1" applyAlignment="1" applyProtection="1">
      <alignment horizontal="right"/>
    </xf>
    <xf numFmtId="0" fontId="4" fillId="0" borderId="27" xfId="0" applyFont="1" applyBorder="1" applyAlignment="1"/>
    <xf numFmtId="5" fontId="28" fillId="0" borderId="45" xfId="0" applyNumberFormat="1" applyFont="1" applyFill="1" applyBorder="1" applyProtection="1">
      <protection locked="0"/>
    </xf>
    <xf numFmtId="5" fontId="56" fillId="0" borderId="28" xfId="0" applyNumberFormat="1" applyFont="1" applyBorder="1" applyProtection="1"/>
    <xf numFmtId="38" fontId="4" fillId="51" borderId="45" xfId="0" applyNumberFormat="1" applyFont="1" applyFill="1" applyBorder="1" applyProtection="1">
      <protection locked="0"/>
    </xf>
    <xf numFmtId="38" fontId="4" fillId="51" borderId="51" xfId="0" applyNumberFormat="1" applyFont="1" applyFill="1" applyBorder="1"/>
    <xf numFmtId="38" fontId="28" fillId="0" borderId="27" xfId="0" quotePrefix="1" applyNumberFormat="1" applyFont="1" applyFill="1" applyBorder="1" applyProtection="1">
      <protection locked="0"/>
    </xf>
    <xf numFmtId="38" fontId="28" fillId="0" borderId="0" xfId="0" quotePrefix="1" applyNumberFormat="1" applyFont="1" applyFill="1" applyBorder="1" applyProtection="1">
      <protection locked="0"/>
    </xf>
    <xf numFmtId="0" fontId="4" fillId="0" borderId="17" xfId="0" applyFont="1" applyFill="1" applyBorder="1" applyAlignment="1">
      <alignment horizontal="center"/>
    </xf>
    <xf numFmtId="0" fontId="1" fillId="0" borderId="0" xfId="0" applyFont="1" applyFill="1" applyAlignment="1">
      <alignment horizontal="left"/>
    </xf>
    <xf numFmtId="0" fontId="1" fillId="0" borderId="0" xfId="0" applyFont="1" applyFill="1" applyAlignment="1">
      <alignment horizontal="center"/>
    </xf>
    <xf numFmtId="0" fontId="91" fillId="0" borderId="0" xfId="0" applyFont="1" applyFill="1" applyAlignment="1">
      <alignment horizontal="right"/>
    </xf>
    <xf numFmtId="43" fontId="0" fillId="0" borderId="0" xfId="69" applyFont="1" applyFill="1"/>
    <xf numFmtId="0" fontId="91" fillId="0" borderId="0" xfId="0" applyFont="1" applyAlignment="1">
      <alignment horizontal="left"/>
    </xf>
    <xf numFmtId="14" fontId="4" fillId="0" borderId="41" xfId="0" applyNumberFormat="1" applyFont="1" applyBorder="1" applyProtection="1"/>
    <xf numFmtId="0" fontId="49" fillId="0" borderId="0" xfId="105" applyFont="1" applyProtection="1"/>
    <xf numFmtId="0" fontId="4" fillId="0" borderId="0" xfId="105" applyFont="1"/>
    <xf numFmtId="0" fontId="4" fillId="0" borderId="0" xfId="105" applyFont="1" applyFill="1"/>
    <xf numFmtId="0" fontId="4" fillId="0" borderId="0" xfId="105" applyFont="1" applyFill="1" applyBorder="1"/>
    <xf numFmtId="0" fontId="62" fillId="0" borderId="0" xfId="105"/>
    <xf numFmtId="0" fontId="4" fillId="0" borderId="14" xfId="105" applyFont="1" applyBorder="1" applyProtection="1"/>
    <xf numFmtId="0" fontId="4" fillId="0" borderId="15" xfId="105" applyFont="1" applyBorder="1" applyProtection="1"/>
    <xf numFmtId="0" fontId="4" fillId="0" borderId="16" xfId="105" applyFont="1" applyBorder="1" applyProtection="1"/>
    <xf numFmtId="0" fontId="4" fillId="0" borderId="0" xfId="105" applyFont="1" applyBorder="1" applyProtection="1"/>
    <xf numFmtId="0" fontId="5" fillId="0" borderId="17" xfId="105" applyFont="1" applyBorder="1" applyAlignment="1" applyProtection="1">
      <alignment horizontal="centerContinuous"/>
    </xf>
    <xf numFmtId="0" fontId="5" fillId="0" borderId="0" xfId="105" applyFont="1" applyBorder="1" applyAlignment="1" applyProtection="1">
      <alignment horizontal="centerContinuous"/>
    </xf>
    <xf numFmtId="0" fontId="4" fillId="0" borderId="17" xfId="105" applyFont="1" applyBorder="1" applyProtection="1"/>
    <xf numFmtId="0" fontId="4" fillId="0" borderId="18" xfId="105" applyFont="1" applyBorder="1" applyProtection="1"/>
    <xf numFmtId="0" fontId="4" fillId="0" borderId="17" xfId="105" applyFont="1" applyBorder="1" applyAlignment="1" applyProtection="1">
      <alignment horizontal="center"/>
    </xf>
    <xf numFmtId="49" fontId="52" fillId="0" borderId="0" xfId="105" applyNumberFormat="1" applyFont="1" applyBorder="1" applyProtection="1"/>
    <xf numFmtId="0" fontId="4" fillId="0" borderId="18" xfId="105" applyFont="1" applyBorder="1" applyAlignment="1" applyProtection="1">
      <alignment horizontal="center"/>
    </xf>
    <xf numFmtId="0" fontId="4" fillId="0" borderId="0" xfId="105" applyFont="1" applyBorder="1" applyAlignment="1" applyProtection="1">
      <alignment horizontal="center"/>
    </xf>
    <xf numFmtId="0" fontId="52" fillId="0" borderId="0" xfId="105" applyFont="1" applyBorder="1" applyProtection="1"/>
    <xf numFmtId="43" fontId="4" fillId="0" borderId="18" xfId="105" applyNumberFormat="1" applyFont="1" applyBorder="1" applyProtection="1"/>
    <xf numFmtId="43" fontId="4" fillId="0" borderId="0" xfId="105" applyNumberFormat="1" applyFont="1" applyBorder="1" applyProtection="1"/>
    <xf numFmtId="0" fontId="4" fillId="0" borderId="123" xfId="105" applyFont="1" applyBorder="1" applyAlignment="1" applyProtection="1">
      <alignment horizontal="center"/>
    </xf>
    <xf numFmtId="0" fontId="4" fillId="0" borderId="72" xfId="105" applyFont="1" applyBorder="1" applyProtection="1"/>
    <xf numFmtId="0" fontId="4" fillId="0" borderId="16" xfId="105" applyFont="1" applyBorder="1" applyAlignment="1" applyProtection="1">
      <alignment horizontal="center"/>
    </xf>
    <xf numFmtId="0" fontId="4" fillId="0" borderId="43" xfId="105" applyFont="1" applyBorder="1" applyAlignment="1" applyProtection="1">
      <alignment horizontal="center"/>
    </xf>
    <xf numFmtId="0" fontId="4" fillId="0" borderId="34" xfId="105" applyFont="1" applyBorder="1" applyAlignment="1" applyProtection="1">
      <alignment horizontal="center"/>
    </xf>
    <xf numFmtId="0" fontId="4" fillId="0" borderId="22" xfId="105" applyFont="1" applyBorder="1" applyAlignment="1" applyProtection="1">
      <alignment horizontal="center"/>
    </xf>
    <xf numFmtId="0" fontId="4" fillId="0" borderId="0" xfId="105" applyFont="1" applyFill="1" applyBorder="1" applyAlignment="1" applyProtection="1">
      <alignment horizontal="center"/>
    </xf>
    <xf numFmtId="0" fontId="4" fillId="0" borderId="41" xfId="105" applyFont="1" applyBorder="1" applyAlignment="1" applyProtection="1">
      <alignment horizontal="center"/>
    </xf>
    <xf numFmtId="0" fontId="4" fillId="0" borderId="28" xfId="105" applyFont="1" applyBorder="1" applyProtection="1"/>
    <xf numFmtId="38" fontId="4" fillId="0" borderId="0" xfId="105" applyNumberFormat="1" applyFont="1" applyBorder="1" applyAlignment="1" applyProtection="1"/>
    <xf numFmtId="38" fontId="4" fillId="0" borderId="0" xfId="105" applyNumberFormat="1" applyFont="1" applyFill="1" applyBorder="1" applyAlignment="1" applyProtection="1"/>
    <xf numFmtId="37" fontId="4" fillId="0" borderId="0" xfId="105" applyNumberFormat="1" applyFont="1" applyBorder="1" applyProtection="1"/>
    <xf numFmtId="0" fontId="62" fillId="0" borderId="28" xfId="105" applyFill="1" applyBorder="1"/>
    <xf numFmtId="0" fontId="4" fillId="0" borderId="0" xfId="105" applyFont="1" applyProtection="1"/>
    <xf numFmtId="0" fontId="4" fillId="0" borderId="34" xfId="105" applyFont="1" applyBorder="1" applyProtection="1"/>
    <xf numFmtId="0" fontId="4" fillId="0" borderId="19" xfId="105" applyFont="1" applyBorder="1" applyProtection="1"/>
    <xf numFmtId="37" fontId="4" fillId="0" borderId="22" xfId="105" applyNumberFormat="1" applyFont="1" applyBorder="1" applyProtection="1"/>
    <xf numFmtId="0" fontId="4" fillId="0" borderId="0" xfId="105" applyFont="1" applyBorder="1"/>
    <xf numFmtId="0" fontId="4" fillId="0" borderId="0" xfId="105" applyFont="1" applyAlignment="1" applyProtection="1">
      <alignment horizontal="centerContinuous"/>
    </xf>
    <xf numFmtId="0" fontId="4" fillId="0" borderId="0" xfId="105" applyFont="1" applyBorder="1" applyAlignment="1" applyProtection="1">
      <alignment horizontal="centerContinuous"/>
    </xf>
    <xf numFmtId="0" fontId="4" fillId="0" borderId="29" xfId="105" applyFont="1" applyBorder="1" applyProtection="1"/>
    <xf numFmtId="0" fontId="4" fillId="0" borderId="12" xfId="105" applyFont="1" applyBorder="1" applyProtection="1"/>
    <xf numFmtId="0" fontId="4" fillId="0" borderId="32" xfId="105" applyFont="1" applyBorder="1" applyProtection="1"/>
    <xf numFmtId="0" fontId="4" fillId="0" borderId="50" xfId="105" applyFont="1" applyBorder="1" applyAlignment="1" applyProtection="1">
      <alignment horizontal="center"/>
    </xf>
    <xf numFmtId="0" fontId="4" fillId="0" borderId="24" xfId="105" applyFont="1" applyBorder="1" applyProtection="1"/>
    <xf numFmtId="0" fontId="4" fillId="0" borderId="25" xfId="105" applyFont="1" applyBorder="1" applyProtection="1"/>
    <xf numFmtId="0" fontId="4" fillId="0" borderId="26" xfId="105" applyFont="1" applyBorder="1" applyProtection="1"/>
    <xf numFmtId="0" fontId="4" fillId="0" borderId="42" xfId="105" applyFont="1" applyBorder="1" applyAlignment="1" applyProtection="1">
      <alignment horizontal="center"/>
    </xf>
    <xf numFmtId="0" fontId="4" fillId="0" borderId="12" xfId="105" applyFont="1" applyBorder="1" applyAlignment="1" applyProtection="1">
      <alignment horizontal="center"/>
    </xf>
    <xf numFmtId="0" fontId="4" fillId="0" borderId="31" xfId="105" applyFont="1" applyBorder="1" applyAlignment="1" applyProtection="1">
      <alignment horizontal="center"/>
    </xf>
    <xf numFmtId="0" fontId="4" fillId="0" borderId="32" xfId="105" applyFont="1" applyBorder="1" applyAlignment="1" applyProtection="1">
      <alignment horizontal="center"/>
    </xf>
    <xf numFmtId="0" fontId="62" fillId="0" borderId="0" xfId="105" applyFont="1" applyBorder="1" applyProtection="1"/>
    <xf numFmtId="37" fontId="4" fillId="0" borderId="18" xfId="105" applyNumberFormat="1" applyFont="1" applyBorder="1" applyProtection="1"/>
    <xf numFmtId="5" fontId="4" fillId="0" borderId="28" xfId="105" applyNumberFormat="1" applyFont="1" applyBorder="1" applyProtection="1"/>
    <xf numFmtId="38" fontId="5" fillId="0" borderId="0" xfId="0" applyNumberFormat="1" applyFont="1" applyBorder="1" applyProtection="1"/>
    <xf numFmtId="38" fontId="94" fillId="0" borderId="0" xfId="0" applyNumberFormat="1" applyFont="1" applyFill="1" applyBorder="1" applyProtection="1">
      <protection locked="0"/>
    </xf>
    <xf numFmtId="0" fontId="5" fillId="0" borderId="0" xfId="0" applyFont="1" applyAlignment="1">
      <alignment horizontal="left"/>
    </xf>
    <xf numFmtId="0" fontId="49" fillId="0" borderId="19" xfId="0" applyFont="1" applyBorder="1" applyAlignment="1" applyProtection="1"/>
    <xf numFmtId="0" fontId="0" fillId="0" borderId="0" xfId="0" applyAlignment="1" applyProtection="1">
      <alignment horizontal="left" indent="6"/>
    </xf>
    <xf numFmtId="37" fontId="28" fillId="0" borderId="0" xfId="0" applyNumberFormat="1" applyFont="1" applyProtection="1">
      <protection locked="0"/>
    </xf>
    <xf numFmtId="176" fontId="4" fillId="0" borderId="27" xfId="69" applyNumberFormat="1" applyFont="1" applyFill="1" applyBorder="1" applyProtection="1"/>
    <xf numFmtId="176" fontId="4" fillId="0" borderId="28" xfId="69" applyNumberFormat="1" applyFont="1" applyBorder="1" applyProtection="1"/>
    <xf numFmtId="176" fontId="4" fillId="0" borderId="18" xfId="69" applyNumberFormat="1" applyFont="1" applyBorder="1" applyProtection="1"/>
    <xf numFmtId="176" fontId="0" fillId="0" borderId="0" xfId="69" applyNumberFormat="1" applyFont="1" applyProtection="1"/>
    <xf numFmtId="176" fontId="0" fillId="0" borderId="0" xfId="69" applyNumberFormat="1" applyFont="1"/>
    <xf numFmtId="176" fontId="64" fillId="0" borderId="0" xfId="0" applyNumberFormat="1" applyFont="1" applyProtection="1"/>
    <xf numFmtId="0" fontId="106" fillId="0" borderId="0" xfId="0" applyFont="1"/>
    <xf numFmtId="37" fontId="106" fillId="0" borderId="0" xfId="0" applyNumberFormat="1" applyFont="1" applyProtection="1"/>
    <xf numFmtId="176" fontId="35" fillId="0" borderId="0" xfId="69" applyNumberFormat="1" applyFont="1" applyAlignment="1" applyProtection="1">
      <alignment horizontal="centerContinuous"/>
    </xf>
    <xf numFmtId="176" fontId="16" fillId="0" borderId="0" xfId="69" applyNumberFormat="1" applyFont="1" applyAlignment="1" applyProtection="1">
      <alignment horizontal="centerContinuous"/>
    </xf>
    <xf numFmtId="37" fontId="47" fillId="0" borderId="51" xfId="0" applyNumberFormat="1" applyFont="1" applyFill="1" applyBorder="1" applyProtection="1"/>
    <xf numFmtId="37" fontId="0" fillId="0" borderId="0" xfId="0" applyNumberFormat="1" applyFill="1" applyAlignment="1" applyProtection="1">
      <alignment horizontal="centerContinuous"/>
    </xf>
    <xf numFmtId="37" fontId="107" fillId="0" borderId="0" xfId="0" applyNumberFormat="1" applyFont="1" applyFill="1" applyAlignment="1" applyProtection="1">
      <alignment horizontal="centerContinuous"/>
    </xf>
    <xf numFmtId="176" fontId="4" fillId="0" borderId="0" xfId="69" applyNumberFormat="1" applyFont="1" applyFill="1" applyProtection="1"/>
    <xf numFmtId="176" fontId="0" fillId="0" borderId="0" xfId="69" applyNumberFormat="1" applyFont="1" applyFill="1"/>
    <xf numFmtId="176" fontId="4" fillId="0" borderId="0" xfId="69" applyNumberFormat="1" applyFont="1" applyProtection="1"/>
    <xf numFmtId="0" fontId="4" fillId="0" borderId="25" xfId="0" applyFont="1" applyBorder="1" applyAlignment="1" applyProtection="1">
      <alignment horizontal="right"/>
    </xf>
    <xf numFmtId="0" fontId="0" fillId="0" borderId="25" xfId="0" applyBorder="1"/>
    <xf numFmtId="3" fontId="47" fillId="0" borderId="12" xfId="0" applyNumberFormat="1" applyFont="1" applyFill="1" applyBorder="1" applyProtection="1">
      <protection locked="0"/>
    </xf>
    <xf numFmtId="0" fontId="47" fillId="40" borderId="18" xfId="0" applyFont="1" applyFill="1" applyBorder="1" applyProtection="1"/>
    <xf numFmtId="3" fontId="47" fillId="0" borderId="12" xfId="0" applyNumberFormat="1" applyFont="1" applyBorder="1" applyProtection="1"/>
    <xf numFmtId="0" fontId="47" fillId="40" borderId="59" xfId="0" applyFont="1" applyFill="1" applyBorder="1" applyProtection="1"/>
    <xf numFmtId="0" fontId="47" fillId="40" borderId="0" xfId="0" applyFont="1" applyFill="1" applyProtection="1"/>
    <xf numFmtId="3" fontId="47" fillId="0" borderId="30" xfId="0" applyNumberFormat="1" applyFont="1" applyFill="1" applyBorder="1" applyProtection="1">
      <protection locked="0"/>
    </xf>
    <xf numFmtId="3" fontId="47" fillId="0" borderId="30" xfId="0" applyNumberFormat="1" applyFont="1" applyBorder="1" applyProtection="1"/>
    <xf numFmtId="0" fontId="47" fillId="40" borderId="39" xfId="0" applyFont="1" applyFill="1" applyBorder="1" applyProtection="1"/>
    <xf numFmtId="0" fontId="47" fillId="40" borderId="32" xfId="0" applyFont="1" applyFill="1" applyBorder="1" applyProtection="1"/>
    <xf numFmtId="0" fontId="47" fillId="40" borderId="53" xfId="0" applyFont="1" applyFill="1" applyBorder="1" applyProtection="1"/>
    <xf numFmtId="37" fontId="47" fillId="40" borderId="59" xfId="0" applyNumberFormat="1" applyFont="1" applyFill="1" applyBorder="1" applyProtection="1"/>
    <xf numFmtId="37" fontId="47" fillId="40" borderId="46" xfId="0" applyNumberFormat="1" applyFont="1" applyFill="1" applyBorder="1" applyProtection="1"/>
    <xf numFmtId="37" fontId="49" fillId="0" borderId="30" xfId="0" applyNumberFormat="1" applyFont="1" applyFill="1" applyBorder="1" applyProtection="1">
      <protection locked="0"/>
    </xf>
    <xf numFmtId="3" fontId="47" fillId="0" borderId="30" xfId="0" applyNumberFormat="1" applyFont="1" applyFill="1" applyBorder="1" applyProtection="1"/>
    <xf numFmtId="37" fontId="47" fillId="0" borderId="30" xfId="0" applyNumberFormat="1" applyFont="1" applyFill="1" applyBorder="1" applyProtection="1"/>
    <xf numFmtId="37" fontId="49" fillId="0" borderId="51" xfId="0" applyNumberFormat="1" applyFont="1" applyFill="1" applyBorder="1" applyProtection="1">
      <protection locked="0"/>
    </xf>
    <xf numFmtId="37" fontId="47" fillId="0" borderId="25" xfId="0" applyNumberFormat="1" applyFont="1" applyFill="1" applyBorder="1" applyProtection="1"/>
    <xf numFmtId="37" fontId="47" fillId="0" borderId="38" xfId="0" applyNumberFormat="1" applyFont="1" applyFill="1" applyBorder="1" applyProtection="1"/>
    <xf numFmtId="37" fontId="47" fillId="0" borderId="57" xfId="0" applyNumberFormat="1" applyFont="1" applyFill="1" applyBorder="1" applyProtection="1"/>
    <xf numFmtId="37" fontId="47" fillId="0" borderId="58" xfId="0" applyNumberFormat="1" applyFont="1" applyFill="1" applyBorder="1" applyProtection="1"/>
    <xf numFmtId="3" fontId="144" fillId="0" borderId="12" xfId="0" applyNumberFormat="1" applyFont="1" applyFill="1" applyBorder="1" applyProtection="1">
      <protection locked="0"/>
    </xf>
    <xf numFmtId="41" fontId="62" fillId="0" borderId="18" xfId="105" applyNumberFormat="1" applyFont="1" applyBorder="1"/>
    <xf numFmtId="176" fontId="52" fillId="0" borderId="116" xfId="69" applyNumberFormat="1" applyFont="1" applyFill="1" applyBorder="1" applyProtection="1"/>
    <xf numFmtId="176" fontId="93" fillId="0" borderId="117" xfId="69" applyNumberFormat="1" applyFont="1" applyFill="1" applyBorder="1" applyProtection="1"/>
    <xf numFmtId="43" fontId="0" fillId="0" borderId="0" xfId="69" applyFont="1" applyAlignment="1"/>
    <xf numFmtId="5" fontId="47" fillId="0" borderId="53" xfId="0" applyNumberFormat="1" applyFont="1" applyBorder="1" applyProtection="1">
      <protection locked="0"/>
    </xf>
    <xf numFmtId="37" fontId="47" fillId="0" borderId="53" xfId="0" applyNumberFormat="1" applyFont="1" applyBorder="1" applyProtection="1">
      <protection locked="0"/>
    </xf>
    <xf numFmtId="5" fontId="47" fillId="0" borderId="70" xfId="0" applyNumberFormat="1" applyFont="1" applyBorder="1" applyProtection="1"/>
    <xf numFmtId="37" fontId="0" fillId="0" borderId="28" xfId="0" applyNumberFormat="1" applyBorder="1"/>
    <xf numFmtId="37" fontId="0" fillId="0" borderId="36" xfId="0" applyNumberFormat="1" applyBorder="1"/>
    <xf numFmtId="37" fontId="4" fillId="0" borderId="22" xfId="0" applyNumberFormat="1" applyFont="1" applyFill="1" applyBorder="1" applyProtection="1"/>
    <xf numFmtId="5" fontId="4" fillId="0" borderId="0" xfId="0" quotePrefix="1" applyNumberFormat="1" applyFont="1" applyBorder="1"/>
    <xf numFmtId="0" fontId="4" fillId="0" borderId="17" xfId="107" applyFont="1" applyBorder="1" applyAlignment="1">
      <alignment horizontal="center"/>
    </xf>
    <xf numFmtId="0" fontId="4" fillId="0" borderId="18" xfId="107" applyFont="1" applyBorder="1" applyAlignment="1">
      <alignment horizontal="center"/>
    </xf>
    <xf numFmtId="0" fontId="5" fillId="0" borderId="0" xfId="109" applyFont="1" applyFill="1"/>
    <xf numFmtId="0" fontId="4" fillId="0" borderId="0" xfId="109" applyFont="1" applyFill="1" applyAlignment="1">
      <alignment horizontal="centerContinuous"/>
    </xf>
    <xf numFmtId="0" fontId="5" fillId="0" borderId="14" xfId="109" applyFont="1" applyFill="1" applyBorder="1"/>
    <xf numFmtId="0" fontId="5" fillId="0" borderId="15" xfId="109" applyFont="1" applyFill="1" applyBorder="1"/>
    <xf numFmtId="0" fontId="4" fillId="0" borderId="16" xfId="109" applyFont="1" applyFill="1" applyBorder="1"/>
    <xf numFmtId="0" fontId="5" fillId="0" borderId="17" xfId="109" applyFont="1" applyFill="1" applyBorder="1" applyAlignment="1">
      <alignment horizontal="centerContinuous"/>
    </xf>
    <xf numFmtId="0" fontId="5" fillId="0" borderId="0" xfId="109" applyFont="1" applyFill="1" applyAlignment="1">
      <alignment horizontal="centerContinuous"/>
    </xf>
    <xf numFmtId="0" fontId="4" fillId="0" borderId="18" xfId="109" applyFont="1" applyFill="1" applyBorder="1" applyAlignment="1">
      <alignment horizontal="centerContinuous"/>
    </xf>
    <xf numFmtId="0" fontId="5" fillId="0" borderId="17" xfId="109" applyFont="1" applyFill="1" applyBorder="1"/>
    <xf numFmtId="0" fontId="4" fillId="0" borderId="18" xfId="109" applyFont="1" applyFill="1" applyBorder="1"/>
    <xf numFmtId="0" fontId="4" fillId="0" borderId="17" xfId="109" applyFont="1" applyFill="1" applyBorder="1"/>
    <xf numFmtId="0" fontId="28" fillId="0" borderId="0" xfId="109" applyFont="1" applyFill="1" applyAlignment="1" applyProtection="1">
      <alignment horizontal="centerContinuous"/>
      <protection locked="0"/>
    </xf>
    <xf numFmtId="0" fontId="4" fillId="0" borderId="50" xfId="109" applyFont="1" applyFill="1" applyBorder="1"/>
    <xf numFmtId="0" fontId="4" fillId="0" borderId="6" xfId="109" applyFont="1" applyFill="1" applyBorder="1"/>
    <xf numFmtId="37" fontId="4" fillId="0" borderId="25" xfId="109" applyNumberFormat="1" applyFont="1" applyFill="1" applyBorder="1"/>
    <xf numFmtId="0" fontId="4" fillId="0" borderId="37" xfId="109" applyFont="1" applyFill="1" applyBorder="1"/>
    <xf numFmtId="0" fontId="4" fillId="0" borderId="26" xfId="109" applyFont="1" applyFill="1" applyBorder="1"/>
    <xf numFmtId="0" fontId="4" fillId="0" borderId="41" xfId="109" applyFont="1" applyFill="1" applyBorder="1"/>
    <xf numFmtId="0" fontId="4" fillId="0" borderId="27" xfId="109" applyFont="1" applyFill="1" applyBorder="1"/>
    <xf numFmtId="0" fontId="4" fillId="0" borderId="35" xfId="109" applyFont="1" applyFill="1" applyBorder="1" applyAlignment="1">
      <alignment horizontal="centerContinuous"/>
    </xf>
    <xf numFmtId="0" fontId="4" fillId="0" borderId="27" xfId="109" applyFont="1" applyFill="1" applyBorder="1" applyAlignment="1">
      <alignment horizontal="centerContinuous"/>
    </xf>
    <xf numFmtId="0" fontId="4" fillId="0" borderId="39" xfId="109" applyFont="1" applyFill="1" applyBorder="1"/>
    <xf numFmtId="0" fontId="4" fillId="0" borderId="30" xfId="109" applyFont="1" applyFill="1" applyBorder="1"/>
    <xf numFmtId="0" fontId="4" fillId="0" borderId="39" xfId="109" applyFont="1" applyFill="1" applyBorder="1" applyAlignment="1">
      <alignment horizontal="centerContinuous"/>
    </xf>
    <xf numFmtId="0" fontId="4" fillId="0" borderId="32" xfId="109" applyFont="1" applyFill="1" applyBorder="1" applyAlignment="1">
      <alignment horizontal="centerContinuous"/>
    </xf>
    <xf numFmtId="0" fontId="4" fillId="0" borderId="25" xfId="109" applyFont="1" applyFill="1" applyBorder="1" applyAlignment="1">
      <alignment horizontal="center"/>
    </xf>
    <xf numFmtId="0" fontId="4" fillId="0" borderId="38" xfId="109" applyFont="1" applyFill="1" applyBorder="1" applyAlignment="1">
      <alignment horizontal="center"/>
    </xf>
    <xf numFmtId="0" fontId="4" fillId="0" borderId="41" xfId="109" applyFont="1" applyFill="1" applyBorder="1" applyAlignment="1">
      <alignment horizontal="center"/>
    </xf>
    <xf numFmtId="0" fontId="4" fillId="0" borderId="27" xfId="109" applyFont="1" applyFill="1" applyBorder="1" applyAlignment="1">
      <alignment horizontal="center"/>
    </xf>
    <xf numFmtId="0" fontId="4" fillId="0" borderId="28" xfId="109" applyFont="1" applyFill="1" applyBorder="1" applyAlignment="1">
      <alignment horizontal="center"/>
    </xf>
    <xf numFmtId="0" fontId="4" fillId="0" borderId="36" xfId="109" applyFont="1" applyFill="1" applyBorder="1" applyAlignment="1">
      <alignment horizontal="center"/>
    </xf>
    <xf numFmtId="0" fontId="4" fillId="0" borderId="42" xfId="109" applyFont="1" applyFill="1" applyBorder="1" applyAlignment="1">
      <alignment horizontal="center"/>
    </xf>
    <xf numFmtId="0" fontId="4" fillId="0" borderId="30" xfId="109" applyFont="1" applyFill="1" applyBorder="1" applyAlignment="1">
      <alignment horizontal="center"/>
    </xf>
    <xf numFmtId="0" fontId="4" fillId="0" borderId="31" xfId="109" applyFont="1" applyFill="1" applyBorder="1" applyAlignment="1">
      <alignment horizontal="center"/>
    </xf>
    <xf numFmtId="37" fontId="47" fillId="0" borderId="31" xfId="109" applyNumberFormat="1" applyFont="1" applyFill="1" applyBorder="1" applyAlignment="1" applyProtection="1">
      <alignment horizontal="center"/>
      <protection locked="0"/>
    </xf>
    <xf numFmtId="0" fontId="4" fillId="0" borderId="40" xfId="109" applyFont="1" applyFill="1" applyBorder="1" applyAlignment="1">
      <alignment horizontal="center"/>
    </xf>
    <xf numFmtId="0" fontId="28" fillId="0" borderId="28" xfId="109" applyFont="1" applyFill="1" applyBorder="1" applyProtection="1">
      <protection locked="0"/>
    </xf>
    <xf numFmtId="0" fontId="4" fillId="0" borderId="36" xfId="109" applyFont="1" applyFill="1" applyBorder="1"/>
    <xf numFmtId="176" fontId="28" fillId="0" borderId="28" xfId="69" applyNumberFormat="1" applyFont="1" applyFill="1" applyBorder="1"/>
    <xf numFmtId="37" fontId="4" fillId="0" borderId="28" xfId="109" applyNumberFormat="1" applyFont="1" applyFill="1" applyBorder="1" applyProtection="1"/>
    <xf numFmtId="37" fontId="28" fillId="0" borderId="28" xfId="109" applyNumberFormat="1" applyFont="1" applyFill="1" applyBorder="1" applyProtection="1"/>
    <xf numFmtId="37" fontId="4" fillId="0" borderId="51" xfId="109" applyNumberFormat="1" applyFont="1" applyFill="1" applyBorder="1" applyProtection="1"/>
    <xf numFmtId="37" fontId="4" fillId="0" borderId="0" xfId="109" applyNumberFormat="1" applyFont="1" applyFill="1" applyProtection="1"/>
    <xf numFmtId="37" fontId="4" fillId="0" borderId="18" xfId="109" applyNumberFormat="1" applyFont="1" applyFill="1" applyBorder="1" applyProtection="1"/>
    <xf numFmtId="37" fontId="48" fillId="0" borderId="0" xfId="109" applyNumberFormat="1" applyFont="1" applyFill="1" applyAlignment="1" applyProtection="1">
      <alignment horizontal="centerContinuous"/>
      <protection locked="0"/>
    </xf>
    <xf numFmtId="37" fontId="5" fillId="0" borderId="0" xfId="109" applyNumberFormat="1" applyFont="1" applyFill="1" applyAlignment="1" applyProtection="1">
      <alignment horizontal="centerContinuous"/>
    </xf>
    <xf numFmtId="37" fontId="5" fillId="0" borderId="18" xfId="109" applyNumberFormat="1" applyFont="1" applyFill="1" applyBorder="1" applyAlignment="1" applyProtection="1">
      <alignment horizontal="centerContinuous"/>
    </xf>
    <xf numFmtId="0" fontId="47" fillId="0" borderId="0" xfId="109" applyFont="1" applyFill="1"/>
    <xf numFmtId="0" fontId="47" fillId="0" borderId="0" xfId="109" applyFont="1" applyFill="1" applyProtection="1">
      <protection locked="0"/>
    </xf>
    <xf numFmtId="0" fontId="4" fillId="0" borderId="31" xfId="109" applyFont="1" applyFill="1" applyBorder="1"/>
    <xf numFmtId="5" fontId="4" fillId="0" borderId="0" xfId="109" applyNumberFormat="1" applyFont="1" applyFill="1"/>
    <xf numFmtId="0" fontId="28" fillId="0" borderId="18" xfId="109" applyFont="1" applyFill="1" applyBorder="1" applyProtection="1">
      <protection locked="0"/>
    </xf>
    <xf numFmtId="37" fontId="47" fillId="0" borderId="0" xfId="109" applyNumberFormat="1" applyFont="1" applyFill="1"/>
    <xf numFmtId="37" fontId="4" fillId="0" borderId="0" xfId="109" applyNumberFormat="1" applyFont="1" applyFill="1"/>
    <xf numFmtId="44" fontId="28" fillId="0" borderId="0" xfId="109" applyNumberFormat="1" applyFont="1" applyFill="1" applyProtection="1">
      <protection locked="0"/>
    </xf>
    <xf numFmtId="0" fontId="4" fillId="0" borderId="21" xfId="109" applyFont="1" applyFill="1" applyBorder="1"/>
    <xf numFmtId="0" fontId="4" fillId="0" borderId="19" xfId="109" applyFont="1" applyFill="1" applyBorder="1"/>
    <xf numFmtId="0" fontId="28" fillId="0" borderId="19" xfId="109" applyFont="1" applyFill="1" applyBorder="1" applyProtection="1">
      <protection locked="0"/>
    </xf>
    <xf numFmtId="0" fontId="28" fillId="0" borderId="22" xfId="109" applyFont="1" applyFill="1" applyBorder="1" applyProtection="1">
      <protection locked="0"/>
    </xf>
    <xf numFmtId="0" fontId="4" fillId="0" borderId="15" xfId="109" applyFont="1" applyFill="1" applyBorder="1"/>
    <xf numFmtId="0" fontId="4" fillId="0" borderId="15" xfId="109" applyFont="1" applyFill="1" applyBorder="1" applyAlignment="1">
      <alignment horizontal="left"/>
    </xf>
    <xf numFmtId="0" fontId="4" fillId="0" borderId="0" xfId="107" quotePrefix="1" applyFont="1"/>
    <xf numFmtId="0" fontId="16" fillId="0" borderId="0" xfId="107" applyFont="1" applyAlignment="1">
      <alignment horizontal="centerContinuous"/>
    </xf>
    <xf numFmtId="0" fontId="16" fillId="0" borderId="0" xfId="107" applyFont="1"/>
    <xf numFmtId="0" fontId="4" fillId="0" borderId="0" xfId="107" applyFont="1" applyAlignment="1">
      <alignment horizontal="centerContinuous"/>
    </xf>
    <xf numFmtId="0" fontId="4" fillId="0" borderId="14" xfId="107" applyFont="1" applyBorder="1"/>
    <xf numFmtId="0" fontId="4" fillId="0" borderId="15" xfId="107" applyFont="1" applyBorder="1"/>
    <xf numFmtId="0" fontId="4" fillId="0" borderId="16" xfId="107" applyFont="1" applyBorder="1"/>
    <xf numFmtId="0" fontId="5" fillId="0" borderId="17" xfId="107" applyFont="1" applyBorder="1" applyAlignment="1">
      <alignment horizontal="centerContinuous"/>
    </xf>
    <xf numFmtId="0" fontId="5" fillId="0" borderId="0" xfId="107" applyFont="1" applyAlignment="1">
      <alignment horizontal="centerContinuous"/>
    </xf>
    <xf numFmtId="0" fontId="5" fillId="0" borderId="18" xfId="107" applyFont="1" applyBorder="1" applyAlignment="1">
      <alignment horizontal="centerContinuous"/>
    </xf>
    <xf numFmtId="0" fontId="4" fillId="0" borderId="17" xfId="107" applyFont="1" applyBorder="1"/>
    <xf numFmtId="0" fontId="5" fillId="0" borderId="0" xfId="107" applyFont="1"/>
    <xf numFmtId="0" fontId="4" fillId="0" borderId="18" xfId="107" applyFont="1" applyBorder="1"/>
    <xf numFmtId="0" fontId="4" fillId="0" borderId="29" xfId="107" applyFont="1" applyBorder="1"/>
    <xf numFmtId="0" fontId="4" fillId="0" borderId="12" xfId="107" applyFont="1" applyBorder="1"/>
    <xf numFmtId="0" fontId="4" fillId="0" borderId="32" xfId="107" applyFont="1" applyBorder="1"/>
    <xf numFmtId="0" fontId="4" fillId="0" borderId="50" xfId="107" applyFont="1" applyBorder="1" applyAlignment="1">
      <alignment horizontal="center"/>
    </xf>
    <xf numFmtId="0" fontId="4" fillId="0" borderId="6" xfId="107" applyFont="1" applyBorder="1"/>
    <xf numFmtId="0" fontId="4" fillId="0" borderId="24" xfId="107" applyFont="1" applyBorder="1"/>
    <xf numFmtId="0" fontId="4" fillId="0" borderId="26" xfId="107" applyFont="1" applyBorder="1"/>
    <xf numFmtId="0" fontId="4" fillId="0" borderId="23" xfId="107" applyFont="1" applyBorder="1"/>
    <xf numFmtId="0" fontId="4" fillId="0" borderId="26" xfId="107" applyFont="1" applyBorder="1" applyAlignment="1">
      <alignment horizontal="center"/>
    </xf>
    <xf numFmtId="0" fontId="4" fillId="0" borderId="41" xfId="107" applyFont="1" applyBorder="1" applyAlignment="1">
      <alignment horizontal="center"/>
    </xf>
    <xf numFmtId="0" fontId="4" fillId="0" borderId="27" xfId="107" applyFont="1" applyBorder="1" applyAlignment="1">
      <alignment horizontal="centerContinuous"/>
    </xf>
    <xf numFmtId="0" fontId="4" fillId="0" borderId="18" xfId="107" applyFont="1" applyBorder="1" applyAlignment="1">
      <alignment horizontal="centerContinuous"/>
    </xf>
    <xf numFmtId="0" fontId="4" fillId="0" borderId="17" xfId="107" applyFont="1" applyBorder="1" applyAlignment="1">
      <alignment horizontal="centerContinuous"/>
    </xf>
    <xf numFmtId="0" fontId="4" fillId="0" borderId="12" xfId="107" applyFont="1" applyBorder="1" applyAlignment="1">
      <alignment horizontal="centerContinuous"/>
    </xf>
    <xf numFmtId="0" fontId="4" fillId="0" borderId="30" xfId="107" applyFont="1" applyBorder="1" applyAlignment="1">
      <alignment horizontal="centerContinuous"/>
    </xf>
    <xf numFmtId="0" fontId="4" fillId="0" borderId="32" xfId="107" applyFont="1" applyBorder="1" applyAlignment="1">
      <alignment horizontal="centerContinuous"/>
    </xf>
    <xf numFmtId="0" fontId="4" fillId="0" borderId="29" xfId="107" applyFont="1" applyBorder="1" applyAlignment="1">
      <alignment horizontal="centerContinuous"/>
    </xf>
    <xf numFmtId="0" fontId="4" fillId="0" borderId="30" xfId="107" applyFont="1" applyBorder="1"/>
    <xf numFmtId="0" fontId="4" fillId="0" borderId="27" xfId="107" applyFont="1" applyBorder="1" applyAlignment="1">
      <alignment horizontal="center"/>
    </xf>
    <xf numFmtId="0" fontId="4" fillId="0" borderId="41" xfId="107" applyFont="1" applyBorder="1"/>
    <xf numFmtId="0" fontId="4" fillId="0" borderId="42" xfId="107" applyFont="1" applyBorder="1" applyAlignment="1">
      <alignment horizontal="center"/>
    </xf>
    <xf numFmtId="0" fontId="4" fillId="0" borderId="31" xfId="107" applyFont="1" applyBorder="1"/>
    <xf numFmtId="0" fontId="5" fillId="0" borderId="31" xfId="107" applyFont="1" applyBorder="1" applyAlignment="1">
      <alignment horizontal="center"/>
    </xf>
    <xf numFmtId="0" fontId="5" fillId="0" borderId="30" xfId="107" applyFont="1" applyBorder="1" applyAlignment="1">
      <alignment horizontal="center"/>
    </xf>
    <xf numFmtId="0" fontId="4" fillId="0" borderId="42" xfId="107" applyFont="1" applyBorder="1"/>
    <xf numFmtId="0" fontId="4" fillId="0" borderId="32" xfId="107" applyFont="1" applyBorder="1" applyAlignment="1">
      <alignment horizontal="center"/>
    </xf>
    <xf numFmtId="0" fontId="47" fillId="0" borderId="109" xfId="108" applyFont="1" applyBorder="1"/>
    <xf numFmtId="5" fontId="4" fillId="0" borderId="25" xfId="0" applyNumberFormat="1" applyFont="1" applyBorder="1"/>
    <xf numFmtId="37" fontId="47" fillId="0" borderId="25" xfId="108" applyNumberFormat="1" applyFont="1" applyFill="1" applyBorder="1"/>
    <xf numFmtId="1" fontId="4" fillId="0" borderId="38" xfId="0" applyNumberFormat="1" applyFont="1" applyBorder="1"/>
    <xf numFmtId="0" fontId="58" fillId="0" borderId="25" xfId="108" applyNumberFormat="1" applyFont="1" applyBorder="1"/>
    <xf numFmtId="3" fontId="47" fillId="0" borderId="25" xfId="108" applyNumberFormat="1" applyFont="1" applyFill="1" applyBorder="1"/>
    <xf numFmtId="37" fontId="4" fillId="0" borderId="25" xfId="107" applyNumberFormat="1" applyFont="1" applyFill="1" applyBorder="1" applyProtection="1"/>
    <xf numFmtId="0" fontId="4" fillId="0" borderId="17" xfId="107" applyFont="1" applyBorder="1" applyAlignment="1" applyProtection="1">
      <alignment horizontal="center"/>
    </xf>
    <xf numFmtId="0" fontId="47" fillId="0" borderId="124" xfId="108" applyFont="1" applyBorder="1"/>
    <xf numFmtId="5" fontId="4" fillId="0" borderId="28" xfId="0" applyNumberFormat="1" applyFont="1" applyBorder="1"/>
    <xf numFmtId="37" fontId="47" fillId="0" borderId="28" xfId="108" applyNumberFormat="1" applyFont="1" applyFill="1" applyBorder="1"/>
    <xf numFmtId="3" fontId="4" fillId="0" borderId="36" xfId="0" applyNumberFormat="1" applyFont="1" applyBorder="1"/>
    <xf numFmtId="0" fontId="58" fillId="0" borderId="28" xfId="108" applyNumberFormat="1" applyFont="1" applyBorder="1"/>
    <xf numFmtId="3" fontId="47" fillId="0" borderId="28" xfId="108" applyNumberFormat="1" applyFont="1" applyFill="1" applyBorder="1"/>
    <xf numFmtId="37" fontId="4" fillId="0" borderId="28" xfId="107" applyNumberFormat="1" applyFont="1" applyFill="1" applyBorder="1" applyProtection="1"/>
    <xf numFmtId="0" fontId="4" fillId="0" borderId="18" xfId="107" applyFont="1" applyBorder="1" applyAlignment="1" applyProtection="1">
      <alignment horizontal="center"/>
    </xf>
    <xf numFmtId="0" fontId="4" fillId="0" borderId="41" xfId="107" applyFont="1" applyBorder="1" applyAlignment="1" applyProtection="1">
      <alignment horizontal="center"/>
    </xf>
    <xf numFmtId="0" fontId="4" fillId="0" borderId="43" xfId="107" applyFont="1" applyBorder="1" applyAlignment="1" applyProtection="1">
      <alignment horizontal="center"/>
    </xf>
    <xf numFmtId="5" fontId="4" fillId="0" borderId="55" xfId="107" applyNumberFormat="1" applyFont="1" applyBorder="1" applyProtection="1"/>
    <xf numFmtId="37" fontId="4" fillId="0" borderId="57" xfId="107" applyNumberFormat="1" applyFont="1" applyBorder="1" applyProtection="1"/>
    <xf numFmtId="0" fontId="4" fillId="0" borderId="22" xfId="107" applyFont="1" applyBorder="1" applyAlignment="1">
      <alignment horizontal="center"/>
    </xf>
    <xf numFmtId="0" fontId="4" fillId="0" borderId="0" xfId="107" applyFont="1" applyAlignment="1" applyProtection="1">
      <alignment horizontal="left"/>
    </xf>
    <xf numFmtId="5" fontId="4" fillId="0" borderId="0" xfId="107" applyNumberFormat="1" applyFont="1"/>
    <xf numFmtId="37" fontId="4" fillId="0" borderId="0" xfId="107" applyNumberFormat="1" applyFont="1"/>
    <xf numFmtId="37" fontId="4" fillId="0" borderId="0" xfId="107" applyNumberFormat="1" applyFont="1" applyProtection="1"/>
    <xf numFmtId="43" fontId="4" fillId="0" borderId="0" xfId="107" applyNumberFormat="1" applyFont="1"/>
    <xf numFmtId="43" fontId="4" fillId="0" borderId="0" xfId="107" applyNumberFormat="1" applyFont="1" applyAlignment="1">
      <alignment horizontal="centerContinuous"/>
    </xf>
    <xf numFmtId="178" fontId="4" fillId="0" borderId="0" xfId="0" applyNumberFormat="1" applyFont="1"/>
    <xf numFmtId="39" fontId="4" fillId="0" borderId="28" xfId="0" applyNumberFormat="1" applyFont="1" applyBorder="1"/>
    <xf numFmtId="179" fontId="4" fillId="0" borderId="0" xfId="0" applyNumberFormat="1" applyFont="1"/>
    <xf numFmtId="3" fontId="4" fillId="0" borderId="28" xfId="107" applyNumberFormat="1" applyFont="1" applyFill="1" applyBorder="1" applyProtection="1"/>
    <xf numFmtId="0" fontId="4" fillId="0" borderId="0" xfId="107" applyFont="1" applyAlignment="1">
      <alignment horizontal="left"/>
    </xf>
    <xf numFmtId="0" fontId="4" fillId="0" borderId="0" xfId="106" applyFont="1" applyFill="1"/>
    <xf numFmtId="0" fontId="4" fillId="0" borderId="27" xfId="0" applyFont="1" applyFill="1" applyBorder="1" applyProtection="1"/>
    <xf numFmtId="0" fontId="4" fillId="0" borderId="51" xfId="0" applyNumberFormat="1" applyFont="1" applyFill="1" applyBorder="1" applyAlignment="1">
      <alignment horizontal="center"/>
    </xf>
    <xf numFmtId="168" fontId="4" fillId="0" borderId="27" xfId="0" applyNumberFormat="1" applyFont="1" applyBorder="1" applyProtection="1"/>
    <xf numFmtId="0" fontId="4" fillId="0" borderId="28" xfId="0" applyFont="1" applyFill="1" applyBorder="1" applyAlignment="1" applyProtection="1">
      <alignment horizontal="right"/>
    </xf>
    <xf numFmtId="0" fontId="4" fillId="0" borderId="28" xfId="0" applyFont="1" applyBorder="1" applyAlignment="1" applyProtection="1">
      <alignment horizontal="justify"/>
    </xf>
    <xf numFmtId="168" fontId="4" fillId="0" borderId="28" xfId="0" applyNumberFormat="1" applyFont="1" applyBorder="1" applyProtection="1"/>
    <xf numFmtId="168" fontId="4" fillId="0" borderId="28" xfId="0" applyNumberFormat="1" applyFont="1" applyFill="1" applyBorder="1" applyProtection="1"/>
    <xf numFmtId="0" fontId="0" fillId="0" borderId="28" xfId="0" quotePrefix="1" applyBorder="1" applyAlignment="1">
      <alignment horizontal="right"/>
    </xf>
    <xf numFmtId="0" fontId="4" fillId="0" borderId="31" xfId="0" applyFont="1" applyBorder="1" applyAlignment="1" applyProtection="1">
      <alignment horizontal="right"/>
    </xf>
    <xf numFmtId="5" fontId="55" fillId="0" borderId="0" xfId="0" applyNumberFormat="1" applyFont="1" applyProtection="1"/>
    <xf numFmtId="176" fontId="47" fillId="0" borderId="40" xfId="69" applyNumberFormat="1" applyFont="1" applyFill="1" applyBorder="1" applyProtection="1"/>
    <xf numFmtId="5" fontId="28" fillId="0" borderId="35" xfId="0" applyNumberFormat="1" applyFont="1" applyFill="1" applyBorder="1" applyProtection="1">
      <protection locked="0"/>
    </xf>
    <xf numFmtId="176" fontId="28" fillId="0" borderId="35" xfId="69" applyNumberFormat="1" applyFont="1" applyFill="1" applyBorder="1" applyProtection="1">
      <protection locked="0"/>
    </xf>
    <xf numFmtId="176" fontId="4" fillId="0" borderId="35" xfId="0" applyNumberFormat="1" applyFont="1" applyFill="1" applyBorder="1" applyProtection="1"/>
    <xf numFmtId="41" fontId="4" fillId="0" borderId="36" xfId="0" applyNumberFormat="1" applyFont="1" applyFill="1" applyBorder="1" applyProtection="1"/>
    <xf numFmtId="5" fontId="4" fillId="0" borderId="36" xfId="0" applyNumberFormat="1" applyFont="1" applyFill="1" applyBorder="1" applyProtection="1"/>
    <xf numFmtId="0" fontId="62" fillId="0" borderId="28" xfId="105" applyBorder="1"/>
    <xf numFmtId="38" fontId="4" fillId="0" borderId="36" xfId="105" applyNumberFormat="1" applyFont="1" applyFill="1" applyBorder="1" applyAlignment="1" applyProtection="1"/>
    <xf numFmtId="0" fontId="62" fillId="0" borderId="36" xfId="105" applyBorder="1"/>
    <xf numFmtId="37" fontId="4" fillId="0" borderId="36" xfId="105" applyNumberFormat="1" applyFont="1" applyBorder="1" applyProtection="1"/>
    <xf numFmtId="0" fontId="4" fillId="0" borderId="18" xfId="105" applyFont="1" applyBorder="1"/>
    <xf numFmtId="0" fontId="4" fillId="0" borderId="18" xfId="105" applyFont="1" applyBorder="1" applyAlignment="1" applyProtection="1">
      <alignment horizontal="centerContinuous"/>
    </xf>
    <xf numFmtId="0" fontId="49" fillId="0" borderId="0" xfId="105" applyFont="1" applyBorder="1" applyProtection="1"/>
    <xf numFmtId="5" fontId="4" fillId="0" borderId="0" xfId="105" applyNumberFormat="1" applyFont="1" applyBorder="1" applyProtection="1"/>
    <xf numFmtId="37" fontId="28" fillId="0" borderId="115" xfId="0" applyNumberFormat="1" applyFont="1" applyFill="1" applyBorder="1" applyProtection="1"/>
    <xf numFmtId="37" fontId="93" fillId="0" borderId="125" xfId="0" applyNumberFormat="1" applyFont="1" applyFill="1" applyBorder="1" applyProtection="1"/>
    <xf numFmtId="37" fontId="52" fillId="0" borderId="126" xfId="0" applyNumberFormat="1" applyFont="1" applyFill="1" applyBorder="1" applyProtection="1"/>
    <xf numFmtId="43" fontId="52" fillId="0" borderId="0" xfId="69" applyFont="1"/>
    <xf numFmtId="0" fontId="2" fillId="0" borderId="0" xfId="0" applyFont="1"/>
    <xf numFmtId="4" fontId="2" fillId="0" borderId="0" xfId="0" applyNumberFormat="1" applyFont="1" applyAlignment="1">
      <alignment horizontal="right"/>
    </xf>
    <xf numFmtId="0" fontId="4" fillId="0" borderId="18" xfId="109" applyFont="1" applyFill="1" applyBorder="1" applyAlignment="1">
      <alignment horizontal="left"/>
    </xf>
    <xf numFmtId="0" fontId="4" fillId="0" borderId="0" xfId="107" applyFont="1" applyBorder="1" applyAlignment="1">
      <alignment horizontal="center"/>
    </xf>
    <xf numFmtId="0" fontId="4" fillId="0" borderId="17" xfId="107" applyFont="1" applyBorder="1" applyAlignment="1">
      <alignment horizontal="left"/>
    </xf>
    <xf numFmtId="0" fontId="4" fillId="0" borderId="0" xfId="107" applyFont="1" applyBorder="1" applyAlignment="1">
      <alignment horizontal="left"/>
    </xf>
    <xf numFmtId="0" fontId="4" fillId="0" borderId="18" xfId="107" applyFont="1" applyBorder="1" applyAlignment="1">
      <alignment horizontal="left"/>
    </xf>
    <xf numFmtId="0" fontId="4" fillId="0" borderId="53" xfId="106" applyFont="1" applyBorder="1" applyAlignment="1">
      <alignment horizontal="centerContinuous" vertical="center"/>
    </xf>
    <xf numFmtId="0" fontId="4" fillId="0" borderId="0" xfId="106" applyFont="1" applyAlignment="1">
      <alignment horizontal="center"/>
    </xf>
    <xf numFmtId="38" fontId="4" fillId="0" borderId="0" xfId="106" applyNumberFormat="1" applyFont="1"/>
    <xf numFmtId="0" fontId="4" fillId="0" borderId="28" xfId="106" applyFont="1" applyBorder="1"/>
    <xf numFmtId="0" fontId="4" fillId="0" borderId="38" xfId="106" applyFont="1" applyBorder="1"/>
    <xf numFmtId="0" fontId="4" fillId="0" borderId="15" xfId="106" applyFont="1" applyBorder="1"/>
    <xf numFmtId="0" fontId="4" fillId="0" borderId="32" xfId="106" applyFont="1" applyBorder="1" applyProtection="1"/>
    <xf numFmtId="0" fontId="4" fillId="0" borderId="12" xfId="106" applyFont="1" applyBorder="1" applyAlignment="1" applyProtection="1">
      <alignment horizontal="centerContinuous"/>
    </xf>
    <xf numFmtId="0" fontId="4" fillId="0" borderId="30" xfId="106" applyFont="1" applyBorder="1" applyAlignment="1" applyProtection="1">
      <alignment horizontal="centerContinuous"/>
    </xf>
    <xf numFmtId="0" fontId="4" fillId="0" borderId="27" xfId="106" applyFont="1" applyBorder="1" applyProtection="1"/>
    <xf numFmtId="0" fontId="4" fillId="42" borderId="0" xfId="106" applyFont="1" applyFill="1" applyProtection="1"/>
    <xf numFmtId="0" fontId="4" fillId="42" borderId="28" xfId="106" applyFont="1" applyFill="1" applyBorder="1" applyProtection="1"/>
    <xf numFmtId="0" fontId="4" fillId="42" borderId="27" xfId="106" applyFont="1" applyFill="1" applyBorder="1" applyProtection="1"/>
    <xf numFmtId="0" fontId="4" fillId="42" borderId="18" xfId="106" applyFont="1" applyFill="1" applyBorder="1" applyProtection="1"/>
    <xf numFmtId="37" fontId="4" fillId="0" borderId="118" xfId="106" applyNumberFormat="1" applyFont="1" applyBorder="1" applyProtection="1"/>
    <xf numFmtId="37" fontId="4" fillId="0" borderId="45" xfId="106" applyNumberFormat="1" applyFont="1" applyBorder="1" applyProtection="1"/>
    <xf numFmtId="0" fontId="7" fillId="0" borderId="28" xfId="106" applyFont="1" applyBorder="1" applyAlignment="1" applyProtection="1">
      <alignment horizontal="left"/>
    </xf>
    <xf numFmtId="37" fontId="4" fillId="42" borderId="0" xfId="106" applyNumberFormat="1" applyFont="1" applyFill="1" applyProtection="1"/>
    <xf numFmtId="37" fontId="4" fillId="42" borderId="28" xfId="106" applyNumberFormat="1" applyFont="1" applyFill="1" applyBorder="1" applyProtection="1"/>
    <xf numFmtId="0" fontId="4" fillId="0" borderId="33" xfId="106" applyFont="1" applyBorder="1" applyProtection="1"/>
    <xf numFmtId="0" fontId="4" fillId="0" borderId="22" xfId="106" applyFont="1" applyBorder="1" applyProtection="1"/>
    <xf numFmtId="0" fontId="2" fillId="0" borderId="0" xfId="106" applyFont="1"/>
    <xf numFmtId="0" fontId="4" fillId="0" borderId="39" xfId="106" applyFont="1" applyBorder="1" applyAlignment="1" applyProtection="1">
      <alignment horizontal="centerContinuous"/>
    </xf>
    <xf numFmtId="0" fontId="4" fillId="0" borderId="32" xfId="106" applyFont="1" applyBorder="1" applyAlignment="1" applyProtection="1">
      <alignment horizontal="centerContinuous"/>
    </xf>
    <xf numFmtId="0" fontId="4" fillId="0" borderId="35" xfId="106" applyFont="1" applyBorder="1" applyAlignment="1" applyProtection="1">
      <alignment horizontal="center"/>
    </xf>
    <xf numFmtId="0" fontId="4" fillId="0" borderId="35" xfId="106" applyFont="1" applyBorder="1" applyProtection="1"/>
    <xf numFmtId="0" fontId="4" fillId="0" borderId="36" xfId="106" applyFont="1" applyBorder="1" applyAlignment="1" applyProtection="1">
      <alignment horizontal="center"/>
    </xf>
    <xf numFmtId="0" fontId="4" fillId="0" borderId="39" xfId="106" applyFont="1" applyBorder="1" applyAlignment="1" applyProtection="1">
      <alignment horizontal="center"/>
    </xf>
    <xf numFmtId="0" fontId="4" fillId="0" borderId="40" xfId="106" applyFont="1" applyBorder="1" applyAlignment="1" applyProtection="1">
      <alignment horizontal="center"/>
    </xf>
    <xf numFmtId="0" fontId="4" fillId="42" borderId="35" xfId="106" applyFont="1" applyFill="1" applyBorder="1" applyProtection="1"/>
    <xf numFmtId="0" fontId="4" fillId="42" borderId="36" xfId="106" applyFont="1" applyFill="1" applyBorder="1" applyProtection="1"/>
    <xf numFmtId="37" fontId="4" fillId="0" borderId="35" xfId="106" applyNumberFormat="1" applyFont="1" applyBorder="1" applyProtection="1"/>
    <xf numFmtId="176" fontId="4" fillId="0" borderId="35" xfId="106" applyNumberFormat="1" applyFont="1" applyBorder="1" applyProtection="1"/>
    <xf numFmtId="5" fontId="4" fillId="0" borderId="35" xfId="106" applyNumberFormat="1" applyFont="1" applyBorder="1" applyProtection="1"/>
    <xf numFmtId="176" fontId="59" fillId="0" borderId="35" xfId="106" applyNumberFormat="1" applyFont="1" applyBorder="1" applyProtection="1"/>
    <xf numFmtId="5" fontId="4" fillId="0" borderId="36" xfId="106" applyNumberFormat="1" applyFont="1" applyBorder="1" applyProtection="1"/>
    <xf numFmtId="37" fontId="4" fillId="0" borderId="36" xfId="106" applyNumberFormat="1" applyFont="1" applyBorder="1" applyProtection="1"/>
    <xf numFmtId="0" fontId="4" fillId="0" borderId="19" xfId="106" applyFont="1" applyBorder="1" applyProtection="1"/>
    <xf numFmtId="37" fontId="4" fillId="0" borderId="49" xfId="106" applyNumberFormat="1" applyFont="1" applyBorder="1" applyProtection="1"/>
    <xf numFmtId="0" fontId="4" fillId="0" borderId="49" xfId="106" applyFont="1" applyBorder="1" applyProtection="1"/>
    <xf numFmtId="0" fontId="4" fillId="0" borderId="34" xfId="106" applyFont="1" applyBorder="1" applyAlignment="1" applyProtection="1">
      <alignment horizontal="center"/>
    </xf>
    <xf numFmtId="176" fontId="4" fillId="0" borderId="61" xfId="69" applyNumberFormat="1" applyFont="1" applyBorder="1" applyProtection="1"/>
    <xf numFmtId="176" fontId="4" fillId="0" borderId="57" xfId="69" applyNumberFormat="1" applyFont="1" applyBorder="1" applyProtection="1"/>
    <xf numFmtId="176" fontId="4" fillId="0" borderId="58" xfId="69" applyNumberFormat="1" applyFont="1" applyBorder="1" applyProtection="1"/>
    <xf numFmtId="0" fontId="4" fillId="0" borderId="28" xfId="106" applyFont="1" applyBorder="1" applyAlignment="1" applyProtection="1">
      <alignment horizontal="right"/>
    </xf>
    <xf numFmtId="176" fontId="4" fillId="0" borderId="35" xfId="69" applyNumberFormat="1" applyFont="1" applyBorder="1" applyProtection="1"/>
    <xf numFmtId="176" fontId="4" fillId="0" borderId="57" xfId="106" applyNumberFormat="1" applyFont="1" applyBorder="1" applyProtection="1"/>
    <xf numFmtId="43" fontId="4" fillId="0" borderId="58" xfId="69" applyFont="1" applyBorder="1" applyProtection="1"/>
    <xf numFmtId="0" fontId="4" fillId="51" borderId="0" xfId="106" applyFont="1" applyFill="1"/>
    <xf numFmtId="37" fontId="4" fillId="0" borderId="25" xfId="0" applyNumberFormat="1" applyFont="1" applyBorder="1"/>
    <xf numFmtId="37" fontId="4" fillId="0" borderId="0" xfId="0" applyNumberFormat="1" applyFont="1"/>
    <xf numFmtId="2" fontId="4" fillId="0" borderId="25" xfId="0" applyNumberFormat="1" applyFont="1" applyBorder="1"/>
    <xf numFmtId="37" fontId="4" fillId="0" borderId="28" xfId="0" applyNumberFormat="1" applyFont="1" applyBorder="1"/>
    <xf numFmtId="2" fontId="4" fillId="0" borderId="28" xfId="0" applyNumberFormat="1" applyFont="1" applyBorder="1"/>
    <xf numFmtId="177" fontId="4" fillId="0" borderId="0" xfId="84" applyNumberFormat="1" applyFont="1" applyFill="1"/>
    <xf numFmtId="177" fontId="4" fillId="0" borderId="0" xfId="84" applyNumberFormat="1" applyFont="1"/>
    <xf numFmtId="43" fontId="4" fillId="0" borderId="0" xfId="78" applyFont="1"/>
    <xf numFmtId="4" fontId="4" fillId="0" borderId="0" xfId="107" applyNumberFormat="1" applyFont="1"/>
    <xf numFmtId="0" fontId="2" fillId="0" borderId="24" xfId="0" applyFont="1" applyBorder="1" applyProtection="1"/>
    <xf numFmtId="0" fontId="2" fillId="0" borderId="26" xfId="0" applyFont="1" applyBorder="1" applyProtection="1"/>
    <xf numFmtId="0" fontId="2" fillId="0" borderId="0" xfId="0" applyFont="1" applyProtection="1"/>
    <xf numFmtId="0" fontId="2" fillId="0" borderId="18" xfId="0" applyFont="1" applyBorder="1" applyProtection="1"/>
    <xf numFmtId="176" fontId="0" fillId="0" borderId="25" xfId="69" applyNumberFormat="1" applyFont="1" applyFill="1" applyBorder="1"/>
    <xf numFmtId="178" fontId="0" fillId="0" borderId="0" xfId="0" applyNumberFormat="1" applyFill="1"/>
    <xf numFmtId="37" fontId="4" fillId="0" borderId="25" xfId="0" applyNumberFormat="1" applyFont="1" applyFill="1" applyBorder="1" applyProtection="1"/>
    <xf numFmtId="176" fontId="0" fillId="0" borderId="28" xfId="69" applyNumberFormat="1" applyFont="1" applyFill="1" applyBorder="1"/>
    <xf numFmtId="178" fontId="4" fillId="0" borderId="28" xfId="0" applyNumberFormat="1" applyFont="1" applyFill="1" applyBorder="1" applyProtection="1"/>
    <xf numFmtId="178" fontId="4" fillId="0" borderId="51" xfId="0" applyNumberFormat="1" applyFont="1" applyFill="1" applyBorder="1" applyProtection="1"/>
    <xf numFmtId="178" fontId="4" fillId="0" borderId="27" xfId="0" applyNumberFormat="1" applyFont="1" applyFill="1" applyBorder="1" applyProtection="1"/>
    <xf numFmtId="37" fontId="4" fillId="0" borderId="57" xfId="0" applyNumberFormat="1" applyFont="1" applyFill="1" applyBorder="1" applyProtection="1"/>
    <xf numFmtId="0" fontId="4" fillId="0" borderId="37" xfId="0" applyNumberFormat="1" applyFont="1" applyBorder="1" applyAlignment="1"/>
    <xf numFmtId="0" fontId="4" fillId="0" borderId="24" xfId="0" applyNumberFormat="1" applyFont="1" applyBorder="1" applyAlignment="1"/>
    <xf numFmtId="0" fontId="4" fillId="0" borderId="35" xfId="0" applyNumberFormat="1" applyFont="1" applyBorder="1" applyAlignment="1"/>
    <xf numFmtId="0" fontId="4" fillId="0" borderId="0" xfId="0" applyNumberFormat="1" applyFont="1" applyAlignment="1"/>
    <xf numFmtId="0" fontId="4" fillId="0" borderId="14" xfId="0" applyNumberFormat="1" applyFont="1" applyBorder="1" applyAlignment="1"/>
    <xf numFmtId="0" fontId="4" fillId="0" borderId="15" xfId="0" applyNumberFormat="1" applyFont="1" applyBorder="1" applyAlignment="1"/>
    <xf numFmtId="0" fontId="4" fillId="0" borderId="16" xfId="0" applyNumberFormat="1" applyFont="1" applyBorder="1" applyAlignment="1"/>
    <xf numFmtId="0" fontId="4" fillId="0" borderId="0" xfId="0" applyNumberFormat="1" applyFont="1" applyBorder="1" applyAlignment="1"/>
    <xf numFmtId="0" fontId="4" fillId="0" borderId="17" xfId="0" applyNumberFormat="1" applyFont="1" applyBorder="1" applyAlignment="1"/>
    <xf numFmtId="0" fontId="4" fillId="0" borderId="18" xfId="0" applyNumberFormat="1" applyFont="1" applyBorder="1" applyAlignment="1"/>
    <xf numFmtId="0" fontId="4" fillId="0" borderId="23" xfId="0" applyNumberFormat="1" applyFont="1" applyBorder="1" applyAlignment="1"/>
    <xf numFmtId="0" fontId="4" fillId="0" borderId="26" xfId="0" applyNumberFormat="1" applyFont="1" applyBorder="1" applyAlignment="1"/>
    <xf numFmtId="0" fontId="4" fillId="0" borderId="37" xfId="0" applyNumberFormat="1" applyFont="1" applyBorder="1" applyAlignment="1">
      <alignment horizontal="centerContinuous"/>
    </xf>
    <xf numFmtId="0" fontId="4" fillId="0" borderId="24" xfId="0" applyNumberFormat="1" applyFont="1" applyBorder="1" applyAlignment="1">
      <alignment horizontal="centerContinuous"/>
    </xf>
    <xf numFmtId="0" fontId="4" fillId="0" borderId="38" xfId="0" applyNumberFormat="1" applyFont="1" applyBorder="1" applyAlignment="1">
      <alignment horizontal="center"/>
    </xf>
    <xf numFmtId="0" fontId="4" fillId="0" borderId="35" xfId="0" applyNumberFormat="1" applyFont="1" applyBorder="1" applyAlignment="1">
      <alignment horizontal="centerContinuous"/>
    </xf>
    <xf numFmtId="0" fontId="4" fillId="0" borderId="0" xfId="0" applyNumberFormat="1" applyFont="1" applyBorder="1" applyAlignment="1">
      <alignment horizontal="centerContinuous"/>
    </xf>
    <xf numFmtId="0" fontId="4" fillId="0" borderId="36" xfId="0" applyNumberFormat="1" applyFont="1" applyBorder="1" applyAlignment="1">
      <alignment horizontal="center"/>
    </xf>
    <xf numFmtId="0" fontId="4" fillId="0" borderId="17" xfId="0" applyNumberFormat="1" applyFont="1" applyBorder="1" applyAlignment="1">
      <alignment horizontal="center"/>
    </xf>
    <xf numFmtId="0" fontId="4" fillId="0" borderId="35" xfId="0" applyNumberFormat="1" applyFont="1" applyBorder="1" applyAlignment="1">
      <alignment horizontal="center"/>
    </xf>
    <xf numFmtId="0" fontId="4" fillId="0" borderId="37" xfId="0" applyNumberFormat="1" applyFont="1" applyBorder="1" applyAlignment="1">
      <alignment horizontal="center"/>
    </xf>
    <xf numFmtId="0" fontId="14" fillId="0" borderId="23" xfId="0" applyNumberFormat="1" applyFont="1" applyBorder="1" applyAlignment="1">
      <alignment horizontal="center"/>
    </xf>
    <xf numFmtId="0" fontId="105" fillId="0" borderId="37" xfId="0" applyNumberFormat="1" applyFont="1" applyBorder="1" applyAlignment="1">
      <alignment horizontal="center"/>
    </xf>
    <xf numFmtId="3" fontId="105" fillId="0" borderId="37" xfId="0" applyNumberFormat="1" applyFont="1" applyBorder="1" applyAlignment="1">
      <alignment horizontal="center"/>
    </xf>
    <xf numFmtId="3" fontId="105" fillId="0" borderId="37" xfId="0" applyNumberFormat="1" applyFont="1" applyBorder="1" applyAlignment="1" applyProtection="1">
      <alignment horizontal="center"/>
      <protection locked="0"/>
    </xf>
    <xf numFmtId="3" fontId="105" fillId="0" borderId="38" xfId="0" applyNumberFormat="1" applyFont="1" applyBorder="1" applyAlignment="1">
      <alignment horizontal="center"/>
    </xf>
    <xf numFmtId="0" fontId="14" fillId="0" borderId="17" xfId="0" applyNumberFormat="1" applyFont="1" applyBorder="1" applyAlignment="1">
      <alignment horizontal="center"/>
    </xf>
    <xf numFmtId="0" fontId="105" fillId="0" borderId="35" xfId="0" applyNumberFormat="1" applyFont="1" applyBorder="1" applyAlignment="1">
      <alignment horizontal="center"/>
    </xf>
    <xf numFmtId="3" fontId="105" fillId="0" borderId="35" xfId="0" applyNumberFormat="1" applyFont="1" applyBorder="1" applyAlignment="1">
      <alignment horizontal="center"/>
    </xf>
    <xf numFmtId="3" fontId="105" fillId="0" borderId="35" xfId="0" applyNumberFormat="1" applyFont="1" applyBorder="1" applyAlignment="1" applyProtection="1">
      <alignment horizontal="center"/>
      <protection locked="0"/>
    </xf>
    <xf numFmtId="3" fontId="105" fillId="0" borderId="36" xfId="0" applyNumberFormat="1" applyFont="1" applyBorder="1" applyAlignment="1">
      <alignment horizontal="center"/>
    </xf>
    <xf numFmtId="9" fontId="105" fillId="0" borderId="35" xfId="0" applyNumberFormat="1" applyFont="1" applyBorder="1" applyAlignment="1">
      <alignment horizontal="center"/>
    </xf>
    <xf numFmtId="0" fontId="105" fillId="0" borderId="23" xfId="0" applyNumberFormat="1" applyFont="1" applyBorder="1" applyAlignment="1"/>
    <xf numFmtId="0" fontId="105" fillId="0" borderId="24" xfId="0" applyNumberFormat="1" applyFont="1" applyBorder="1" applyAlignment="1"/>
    <xf numFmtId="0" fontId="105" fillId="0" borderId="26" xfId="0" applyNumberFormat="1" applyFont="1" applyBorder="1" applyAlignment="1"/>
    <xf numFmtId="0" fontId="14" fillId="0" borderId="24" xfId="0" applyNumberFormat="1" applyFont="1" applyBorder="1" applyAlignment="1"/>
    <xf numFmtId="3" fontId="105" fillId="0" borderId="24" xfId="0" applyNumberFormat="1" applyFont="1" applyBorder="1" applyAlignment="1"/>
    <xf numFmtId="0" fontId="105" fillId="0" borderId="17" xfId="0" applyNumberFormat="1" applyFont="1" applyBorder="1" applyAlignment="1"/>
    <xf numFmtId="0" fontId="105" fillId="0" borderId="0" xfId="0" applyNumberFormat="1" applyFont="1" applyBorder="1" applyAlignment="1"/>
    <xf numFmtId="0" fontId="14" fillId="0" borderId="0" xfId="0" applyNumberFormat="1" applyFont="1" applyBorder="1" applyAlignment="1"/>
    <xf numFmtId="3" fontId="105" fillId="0" borderId="0" xfId="0" applyNumberFormat="1" applyFont="1" applyBorder="1" applyAlignment="1"/>
    <xf numFmtId="0" fontId="105" fillId="0" borderId="18" xfId="0" applyNumberFormat="1" applyFont="1" applyBorder="1" applyAlignment="1"/>
    <xf numFmtId="0" fontId="105" fillId="0" borderId="21" xfId="0" applyNumberFormat="1" applyFont="1" applyBorder="1" applyAlignment="1"/>
    <xf numFmtId="0" fontId="105" fillId="0" borderId="19" xfId="0" applyNumberFormat="1" applyFont="1" applyBorder="1" applyAlignment="1"/>
    <xf numFmtId="0" fontId="105" fillId="0" borderId="22" xfId="0" applyNumberFormat="1" applyFont="1" applyBorder="1" applyAlignment="1"/>
    <xf numFmtId="0" fontId="4" fillId="0" borderId="0" xfId="0" applyNumberFormat="1" applyFont="1" applyAlignment="1">
      <alignment horizontal="centerContinuous"/>
    </xf>
    <xf numFmtId="0" fontId="4" fillId="0" borderId="17" xfId="0" applyNumberFormat="1" applyFont="1" applyBorder="1" applyAlignment="1">
      <alignment horizontal="centerContinuous"/>
    </xf>
    <xf numFmtId="0" fontId="4" fillId="0" borderId="18" xfId="0" applyNumberFormat="1" applyFont="1" applyBorder="1" applyAlignment="1">
      <alignment horizontal="centerContinuous"/>
    </xf>
    <xf numFmtId="0" fontId="4" fillId="0" borderId="23" xfId="0" applyNumberFormat="1" applyFont="1" applyBorder="1" applyAlignment="1">
      <alignment horizontal="center"/>
    </xf>
    <xf numFmtId="0" fontId="89" fillId="0" borderId="37" xfId="0" applyNumberFormat="1" applyFont="1" applyBorder="1" applyAlignment="1">
      <alignment horizontal="left"/>
    </xf>
    <xf numFmtId="0" fontId="89" fillId="0" borderId="37" xfId="0" applyNumberFormat="1" applyFont="1" applyBorder="1" applyAlignment="1">
      <alignment horizontal="center"/>
    </xf>
    <xf numFmtId="0" fontId="89" fillId="0" borderId="38" xfId="0" applyNumberFormat="1" applyFont="1" applyBorder="1" applyAlignment="1">
      <alignment horizontal="center"/>
    </xf>
    <xf numFmtId="0" fontId="89" fillId="0" borderId="35" xfId="0" applyNumberFormat="1" applyFont="1" applyBorder="1" applyAlignment="1">
      <alignment horizontal="center"/>
    </xf>
    <xf numFmtId="0" fontId="89" fillId="0" borderId="36" xfId="0" applyNumberFormat="1" applyFont="1" applyBorder="1" applyAlignment="1">
      <alignment horizontal="center"/>
    </xf>
    <xf numFmtId="49" fontId="89" fillId="0" borderId="35" xfId="0" applyNumberFormat="1" applyFont="1" applyBorder="1" applyAlignment="1">
      <alignment horizontal="center"/>
    </xf>
    <xf numFmtId="0" fontId="4" fillId="0" borderId="21" xfId="0" applyNumberFormat="1" applyFont="1" applyBorder="1" applyAlignment="1">
      <alignment horizontal="center"/>
    </xf>
    <xf numFmtId="49" fontId="4" fillId="0" borderId="49" xfId="0" applyNumberFormat="1" applyFont="1" applyBorder="1" applyAlignment="1"/>
    <xf numFmtId="0" fontId="4" fillId="0" borderId="49" xfId="0" applyNumberFormat="1" applyFont="1" applyBorder="1" applyAlignment="1"/>
    <xf numFmtId="0" fontId="4" fillId="0" borderId="44" xfId="0" applyNumberFormat="1" applyFont="1" applyBorder="1" applyAlignment="1"/>
    <xf numFmtId="0" fontId="4" fillId="0" borderId="49" xfId="0" applyNumberFormat="1" applyFont="1" applyBorder="1" applyAlignment="1">
      <alignment horizontal="center"/>
    </xf>
    <xf numFmtId="0" fontId="4" fillId="0" borderId="44" xfId="0" applyNumberFormat="1" applyFont="1" applyBorder="1" applyAlignment="1">
      <alignment horizontal="center"/>
    </xf>
    <xf numFmtId="0" fontId="4" fillId="0" borderId="36" xfId="0" applyNumberFormat="1" applyFont="1" applyBorder="1" applyAlignment="1"/>
    <xf numFmtId="0" fontId="4" fillId="0" borderId="15" xfId="0" applyNumberFormat="1" applyFont="1" applyBorder="1"/>
    <xf numFmtId="0" fontId="4" fillId="0" borderId="38" xfId="0" applyNumberFormat="1" applyFont="1" applyBorder="1" applyAlignment="1"/>
    <xf numFmtId="0" fontId="4" fillId="0" borderId="50" xfId="0" applyNumberFormat="1" applyFont="1" applyBorder="1" applyAlignment="1"/>
    <xf numFmtId="0" fontId="4" fillId="0" borderId="6" xfId="0" applyNumberFormat="1" applyFont="1" applyBorder="1" applyAlignment="1"/>
    <xf numFmtId="0" fontId="4" fillId="0" borderId="37" xfId="0" applyNumberFormat="1" applyFont="1" applyBorder="1"/>
    <xf numFmtId="0" fontId="4" fillId="0" borderId="41" xfId="0" applyNumberFormat="1" applyFont="1" applyBorder="1" applyAlignment="1"/>
    <xf numFmtId="0" fontId="4" fillId="0" borderId="27" xfId="0" applyNumberFormat="1" applyFont="1" applyBorder="1" applyAlignment="1"/>
    <xf numFmtId="0" fontId="4" fillId="0" borderId="35" xfId="0" applyNumberFormat="1" applyFont="1" applyBorder="1"/>
    <xf numFmtId="0" fontId="4" fillId="0" borderId="41" xfId="0" applyNumberFormat="1" applyFont="1" applyBorder="1" applyAlignment="1">
      <alignment horizontal="center"/>
    </xf>
    <xf numFmtId="0" fontId="4" fillId="0" borderId="27" xfId="0" applyNumberFormat="1" applyFont="1" applyBorder="1" applyAlignment="1">
      <alignment horizontal="center"/>
    </xf>
    <xf numFmtId="0" fontId="4" fillId="0" borderId="0" xfId="0" applyNumberFormat="1" applyFont="1" applyBorder="1" applyAlignment="1">
      <alignment horizontal="center"/>
    </xf>
    <xf numFmtId="0" fontId="4" fillId="0" borderId="27" xfId="0" applyNumberFormat="1" applyFont="1" applyBorder="1" applyAlignment="1">
      <alignment horizontal="centerContinuous"/>
    </xf>
    <xf numFmtId="0" fontId="2" fillId="0" borderId="35" xfId="0" applyNumberFormat="1" applyFont="1" applyBorder="1" applyAlignment="1">
      <alignment horizontal="center"/>
    </xf>
    <xf numFmtId="0" fontId="2" fillId="0" borderId="35" xfId="0" applyNumberFormat="1" applyFont="1" applyBorder="1" applyAlignment="1">
      <alignment horizontal="centerContinuous"/>
    </xf>
    <xf numFmtId="0" fontId="2" fillId="0" borderId="18" xfId="0" applyNumberFormat="1" applyFont="1" applyBorder="1" applyAlignment="1">
      <alignment horizontal="centerContinuous"/>
    </xf>
    <xf numFmtId="0" fontId="2" fillId="0" borderId="0" xfId="0" applyNumberFormat="1" applyFont="1" applyBorder="1" applyAlignment="1">
      <alignment horizontal="centerContinuous"/>
    </xf>
    <xf numFmtId="0" fontId="2" fillId="0" borderId="36" xfId="0" applyNumberFormat="1" applyFont="1" applyBorder="1" applyAlignment="1">
      <alignment horizontal="center"/>
    </xf>
    <xf numFmtId="0" fontId="2" fillId="0" borderId="27" xfId="0" applyNumberFormat="1" applyFont="1" applyBorder="1" applyAlignment="1">
      <alignment horizontal="center"/>
    </xf>
    <xf numFmtId="0" fontId="2" fillId="0" borderId="0" xfId="0" applyNumberFormat="1" applyFont="1" applyBorder="1" applyAlignment="1">
      <alignment horizontal="center"/>
    </xf>
    <xf numFmtId="0" fontId="2" fillId="0" borderId="27" xfId="0" applyNumberFormat="1" applyFont="1" applyBorder="1" applyAlignment="1">
      <alignment horizontal="centerContinuous"/>
    </xf>
    <xf numFmtId="0" fontId="4" fillId="0" borderId="37" xfId="0" applyNumberFormat="1" applyFont="1" applyBorder="1" applyAlignment="1">
      <alignment horizontal="left"/>
    </xf>
    <xf numFmtId="0" fontId="89" fillId="0" borderId="37" xfId="0" applyNumberFormat="1" applyFont="1" applyBorder="1" applyAlignment="1">
      <alignment horizontal="centerContinuous"/>
    </xf>
    <xf numFmtId="0" fontId="89" fillId="0" borderId="26" xfId="0" applyNumberFormat="1" applyFont="1" applyBorder="1" applyAlignment="1">
      <alignment horizontal="centerContinuous"/>
    </xf>
    <xf numFmtId="0" fontId="89" fillId="0" borderId="24" xfId="0" applyNumberFormat="1" applyFont="1" applyBorder="1" applyAlignment="1">
      <alignment horizontal="centerContinuous"/>
    </xf>
    <xf numFmtId="0" fontId="4" fillId="0" borderId="50" xfId="0" applyNumberFormat="1" applyFont="1" applyBorder="1" applyAlignment="1">
      <alignment horizontal="center"/>
    </xf>
    <xf numFmtId="0" fontId="89" fillId="0" borderId="6" xfId="0" applyNumberFormat="1" applyFont="1" applyBorder="1" applyAlignment="1">
      <alignment horizontal="center"/>
    </xf>
    <xf numFmtId="0" fontId="89" fillId="0" borderId="24" xfId="0" applyNumberFormat="1" applyFont="1" applyBorder="1" applyAlignment="1">
      <alignment horizontal="center"/>
    </xf>
    <xf numFmtId="3" fontId="89" fillId="0" borderId="37" xfId="0" applyNumberFormat="1" applyFont="1" applyBorder="1" applyAlignment="1">
      <alignment horizontal="center"/>
    </xf>
    <xf numFmtId="0" fontId="89" fillId="0" borderId="26" xfId="0" applyNumberFormat="1" applyFont="1" applyBorder="1" applyAlignment="1">
      <alignment horizontal="center"/>
    </xf>
    <xf numFmtId="0" fontId="4" fillId="0" borderId="35" xfId="0" applyNumberFormat="1" applyFont="1" applyBorder="1" applyAlignment="1">
      <alignment horizontal="left"/>
    </xf>
    <xf numFmtId="0" fontId="89" fillId="0" borderId="35" xfId="0" applyNumberFormat="1" applyFont="1" applyBorder="1" applyAlignment="1">
      <alignment horizontal="centerContinuous"/>
    </xf>
    <xf numFmtId="0" fontId="89" fillId="0" borderId="18" xfId="0" applyNumberFormat="1" applyFont="1" applyBorder="1" applyAlignment="1">
      <alignment horizontal="centerContinuous"/>
    </xf>
    <xf numFmtId="0" fontId="89" fillId="0" borderId="0" xfId="0" applyNumberFormat="1" applyFont="1" applyBorder="1" applyAlignment="1">
      <alignment horizontal="centerContinuous"/>
    </xf>
    <xf numFmtId="0" fontId="89" fillId="0" borderId="27" xfId="0" applyNumberFormat="1" applyFont="1" applyBorder="1" applyAlignment="1">
      <alignment horizontal="center"/>
    </xf>
    <xf numFmtId="0" fontId="89" fillId="0" borderId="0" xfId="0" applyNumberFormat="1" applyFont="1" applyBorder="1" applyAlignment="1">
      <alignment horizontal="center"/>
    </xf>
    <xf numFmtId="0" fontId="89" fillId="0" borderId="18" xfId="0" applyNumberFormat="1" applyFont="1" applyBorder="1" applyAlignment="1">
      <alignment horizontal="center"/>
    </xf>
    <xf numFmtId="3" fontId="89" fillId="0" borderId="35" xfId="0" applyNumberFormat="1" applyFont="1" applyBorder="1" applyAlignment="1">
      <alignment horizontal="center"/>
    </xf>
    <xf numFmtId="3" fontId="89" fillId="0" borderId="18" xfId="0" applyNumberFormat="1" applyFont="1" applyBorder="1" applyAlignment="1">
      <alignment horizontal="center"/>
    </xf>
    <xf numFmtId="3" fontId="89" fillId="0" borderId="0" xfId="0" applyNumberFormat="1" applyFont="1" applyBorder="1" applyAlignment="1">
      <alignment horizontal="center"/>
    </xf>
    <xf numFmtId="3" fontId="89" fillId="0" borderId="36" xfId="0" applyNumberFormat="1" applyFont="1" applyBorder="1" applyAlignment="1">
      <alignment horizontal="center"/>
    </xf>
    <xf numFmtId="3" fontId="89" fillId="0" borderId="27" xfId="0" applyNumberFormat="1" applyFont="1" applyBorder="1" applyAlignment="1">
      <alignment horizontal="center"/>
    </xf>
    <xf numFmtId="0" fontId="89" fillId="0" borderId="18" xfId="0" applyNumberFormat="1" applyFont="1" applyBorder="1" applyAlignment="1"/>
    <xf numFmtId="0" fontId="89" fillId="0" borderId="35" xfId="0" applyNumberFormat="1" applyFont="1" applyBorder="1" applyAlignment="1">
      <alignment horizontal="left"/>
    </xf>
    <xf numFmtId="0" fontId="89" fillId="0" borderId="0" xfId="0" applyNumberFormat="1" applyFont="1" applyBorder="1" applyAlignment="1">
      <alignment horizontal="left"/>
    </xf>
    <xf numFmtId="3" fontId="89" fillId="0" borderId="35" xfId="0" applyNumberFormat="1" applyFont="1" applyBorder="1" applyAlignment="1" applyProtection="1">
      <alignment horizontal="center"/>
      <protection locked="0"/>
    </xf>
    <xf numFmtId="3" fontId="89" fillId="0" borderId="35" xfId="0" applyNumberFormat="1" applyFont="1" applyBorder="1" applyAlignment="1" applyProtection="1">
      <alignment horizontal="centerContinuous"/>
      <protection locked="0"/>
    </xf>
    <xf numFmtId="3" fontId="89" fillId="0" borderId="18" xfId="0" applyNumberFormat="1" applyFont="1" applyBorder="1" applyAlignment="1">
      <alignment horizontal="centerContinuous"/>
    </xf>
    <xf numFmtId="3" fontId="89" fillId="0" borderId="0" xfId="0" applyNumberFormat="1" applyFont="1" applyBorder="1" applyAlignment="1" applyProtection="1">
      <alignment horizontal="centerContinuous"/>
      <protection locked="0"/>
    </xf>
    <xf numFmtId="3" fontId="89" fillId="0" borderId="36" xfId="0" applyNumberFormat="1" applyFont="1" applyBorder="1" applyAlignment="1" applyProtection="1">
      <alignment horizontal="center"/>
      <protection locked="0"/>
    </xf>
    <xf numFmtId="3" fontId="89" fillId="0" borderId="27" xfId="0" applyNumberFormat="1" applyFont="1" applyBorder="1" applyAlignment="1" applyProtection="1">
      <alignment horizontal="center"/>
      <protection locked="0"/>
    </xf>
    <xf numFmtId="3" fontId="89" fillId="0" borderId="0" xfId="0" applyNumberFormat="1" applyFont="1" applyBorder="1" applyAlignment="1" applyProtection="1">
      <alignment horizontal="center"/>
      <protection locked="0"/>
    </xf>
    <xf numFmtId="3" fontId="89" fillId="0" borderId="27" xfId="0" applyNumberFormat="1" applyFont="1" applyBorder="1" applyAlignment="1" applyProtection="1">
      <alignment horizontal="centerContinuous"/>
      <protection locked="0"/>
    </xf>
    <xf numFmtId="3" fontId="89" fillId="0" borderId="18" xfId="0" applyNumberFormat="1" applyFont="1" applyBorder="1" applyAlignment="1" applyProtection="1">
      <alignment horizontal="centerContinuous"/>
      <protection locked="0"/>
    </xf>
    <xf numFmtId="0" fontId="89" fillId="0" borderId="35" xfId="0" applyNumberFormat="1" applyFont="1" applyBorder="1" applyAlignment="1" applyProtection="1">
      <alignment horizontal="center"/>
      <protection locked="0"/>
    </xf>
    <xf numFmtId="0" fontId="89" fillId="0" borderId="35" xfId="0" applyNumberFormat="1" applyFont="1" applyBorder="1" applyAlignment="1" applyProtection="1">
      <alignment horizontal="centerContinuous"/>
      <protection locked="0"/>
    </xf>
    <xf numFmtId="0" fontId="89" fillId="0" borderId="0" xfId="0" applyNumberFormat="1" applyFont="1" applyBorder="1" applyAlignment="1" applyProtection="1">
      <alignment horizontal="centerContinuous"/>
      <protection locked="0"/>
    </xf>
    <xf numFmtId="0" fontId="89" fillId="0" borderId="36" xfId="0" applyNumberFormat="1" applyFont="1" applyBorder="1" applyAlignment="1" applyProtection="1">
      <alignment horizontal="center"/>
      <protection locked="0"/>
    </xf>
    <xf numFmtId="0" fontId="89" fillId="0" borderId="27" xfId="0" applyNumberFormat="1" applyFont="1" applyBorder="1" applyAlignment="1" applyProtection="1">
      <alignment horizontal="center"/>
      <protection locked="0"/>
    </xf>
    <xf numFmtId="0" fontId="89" fillId="0" borderId="0" xfId="0" applyNumberFormat="1" applyFont="1" applyBorder="1" applyAlignment="1" applyProtection="1">
      <alignment horizontal="center"/>
      <protection locked="0"/>
    </xf>
    <xf numFmtId="15" fontId="89" fillId="0" borderId="35" xfId="0" applyNumberFormat="1" applyFont="1" applyBorder="1" applyAlignment="1" applyProtection="1">
      <alignment horizontal="center"/>
      <protection locked="0"/>
    </xf>
    <xf numFmtId="0" fontId="89" fillId="0" borderId="27" xfId="0" applyNumberFormat="1" applyFont="1" applyBorder="1" applyAlignment="1" applyProtection="1">
      <alignment horizontal="centerContinuous"/>
      <protection locked="0"/>
    </xf>
    <xf numFmtId="0" fontId="89" fillId="0" borderId="18" xfId="0" applyNumberFormat="1" applyFont="1" applyBorder="1" applyAlignment="1" applyProtection="1">
      <alignment horizontal="centerContinuous"/>
      <protection locked="0"/>
    </xf>
    <xf numFmtId="3" fontId="89" fillId="53" borderId="35" xfId="0" applyNumberFormat="1" applyFont="1" applyFill="1" applyBorder="1" applyAlignment="1">
      <alignment horizontal="center"/>
    </xf>
    <xf numFmtId="0" fontId="89" fillId="53" borderId="35" xfId="0" applyNumberFormat="1" applyFont="1" applyFill="1" applyBorder="1" applyAlignment="1">
      <alignment horizontal="center"/>
    </xf>
    <xf numFmtId="0" fontId="89" fillId="53" borderId="18" xfId="0" applyNumberFormat="1" applyFont="1" applyFill="1" applyBorder="1" applyAlignment="1"/>
    <xf numFmtId="0" fontId="89" fillId="0" borderId="35" xfId="0" applyNumberFormat="1" applyFont="1" applyBorder="1" applyAlignment="1"/>
    <xf numFmtId="0" fontId="89" fillId="0" borderId="110" xfId="0" applyNumberFormat="1" applyFont="1" applyBorder="1" applyAlignment="1">
      <alignment horizontal="center"/>
    </xf>
    <xf numFmtId="0" fontId="89" fillId="0" borderId="0" xfId="0" applyNumberFormat="1" applyFont="1" applyBorder="1" applyAlignment="1"/>
    <xf numFmtId="0" fontId="89" fillId="0" borderId="36" xfId="0" applyNumberFormat="1" applyFont="1" applyBorder="1" applyAlignment="1"/>
    <xf numFmtId="0" fontId="89" fillId="0" borderId="27" xfId="0" applyNumberFormat="1" applyFont="1" applyBorder="1" applyAlignment="1"/>
    <xf numFmtId="0" fontId="4" fillId="0" borderId="18" xfId="0" applyNumberFormat="1" applyFont="1" applyBorder="1" applyAlignment="1">
      <alignment horizontal="center"/>
    </xf>
    <xf numFmtId="0" fontId="89" fillId="0" borderId="115" xfId="0" applyNumberFormat="1" applyFont="1" applyBorder="1" applyAlignment="1">
      <alignment horizontal="center"/>
    </xf>
    <xf numFmtId="0" fontId="89" fillId="0" borderId="12" xfId="0" applyNumberFormat="1" applyFont="1" applyBorder="1" applyAlignment="1"/>
    <xf numFmtId="0" fontId="89" fillId="0" borderId="30" xfId="0" applyNumberFormat="1" applyFont="1" applyBorder="1" applyAlignment="1"/>
    <xf numFmtId="0" fontId="4" fillId="0" borderId="24" xfId="0" applyNumberFormat="1" applyFont="1" applyBorder="1" applyAlignment="1">
      <alignment horizontal="center"/>
    </xf>
    <xf numFmtId="0" fontId="4" fillId="0" borderId="26" xfId="0" applyNumberFormat="1" applyFont="1" applyBorder="1" applyAlignment="1">
      <alignment horizontal="center"/>
    </xf>
    <xf numFmtId="0" fontId="89" fillId="0" borderId="24" xfId="0" applyNumberFormat="1" applyFont="1" applyBorder="1" applyAlignment="1"/>
    <xf numFmtId="0" fontId="4" fillId="0" borderId="24" xfId="0" applyNumberFormat="1" applyFont="1" applyBorder="1"/>
    <xf numFmtId="0" fontId="89" fillId="0" borderId="26" xfId="0" applyNumberFormat="1" applyFont="1" applyBorder="1" applyAlignment="1"/>
    <xf numFmtId="0" fontId="89" fillId="0" borderId="37" xfId="0" applyNumberFormat="1" applyFont="1" applyBorder="1" applyAlignment="1"/>
    <xf numFmtId="0" fontId="4" fillId="0" borderId="39" xfId="0" applyNumberFormat="1" applyFont="1" applyBorder="1"/>
    <xf numFmtId="0" fontId="4" fillId="0" borderId="21" xfId="0" applyNumberFormat="1" applyFont="1" applyBorder="1" applyAlignment="1"/>
    <xf numFmtId="0" fontId="4" fillId="0" borderId="19" xfId="0" applyNumberFormat="1" applyFont="1" applyBorder="1" applyAlignment="1"/>
    <xf numFmtId="0" fontId="4" fillId="0" borderId="22" xfId="0" applyNumberFormat="1" applyFont="1" applyBorder="1" applyAlignment="1"/>
    <xf numFmtId="0" fontId="4" fillId="0" borderId="43" xfId="0" applyNumberFormat="1" applyFont="1" applyBorder="1" applyAlignment="1"/>
    <xf numFmtId="0" fontId="4" fillId="0" borderId="49" xfId="0" applyNumberFormat="1" applyFont="1" applyBorder="1"/>
    <xf numFmtId="0" fontId="4" fillId="0" borderId="15" xfId="0" applyNumberFormat="1" applyFont="1" applyBorder="1" applyAlignment="1">
      <alignment horizontal="centerContinuous"/>
    </xf>
    <xf numFmtId="0" fontId="2" fillId="0" borderId="37" xfId="0" applyNumberFormat="1" applyFont="1" applyBorder="1" applyAlignment="1"/>
    <xf numFmtId="0" fontId="2" fillId="0" borderId="0" xfId="0" applyNumberFormat="1" applyFont="1" applyAlignment="1"/>
    <xf numFmtId="0" fontId="55" fillId="0" borderId="37" xfId="0" applyNumberFormat="1" applyFont="1" applyBorder="1" applyAlignment="1"/>
    <xf numFmtId="0" fontId="55" fillId="0" borderId="25" xfId="0" applyNumberFormat="1" applyFont="1" applyBorder="1" applyAlignment="1"/>
    <xf numFmtId="0" fontId="55" fillId="0" borderId="37" xfId="0" applyNumberFormat="1" applyFont="1" applyBorder="1" applyAlignment="1">
      <alignment horizontal="center"/>
    </xf>
    <xf numFmtId="0" fontId="55" fillId="0" borderId="38" xfId="0" applyNumberFormat="1" applyFont="1" applyBorder="1" applyAlignment="1">
      <alignment horizontal="center"/>
    </xf>
    <xf numFmtId="0" fontId="55" fillId="0" borderId="35" xfId="0" applyNumberFormat="1" applyFont="1" applyBorder="1" applyAlignment="1"/>
    <xf numFmtId="0" fontId="55" fillId="0" borderId="28" xfId="0" applyNumberFormat="1" applyFont="1" applyBorder="1" applyAlignment="1"/>
    <xf numFmtId="0" fontId="55" fillId="0" borderId="35" xfId="0" applyNumberFormat="1" applyFont="1" applyBorder="1" applyAlignment="1">
      <alignment horizontal="center"/>
    </xf>
    <xf numFmtId="0" fontId="55" fillId="0" borderId="36" xfId="0" applyNumberFormat="1" applyFont="1" applyBorder="1" applyAlignment="1">
      <alignment horizontal="center"/>
    </xf>
    <xf numFmtId="0" fontId="4" fillId="0" borderId="28" xfId="0" applyNumberFormat="1" applyFont="1" applyBorder="1" applyAlignment="1">
      <alignment horizontal="center"/>
    </xf>
    <xf numFmtId="0" fontId="4" fillId="0" borderId="31" xfId="0" applyNumberFormat="1" applyFont="1" applyBorder="1" applyAlignment="1">
      <alignment horizontal="center"/>
    </xf>
    <xf numFmtId="0" fontId="4" fillId="0" borderId="40" xfId="0" applyNumberFormat="1" applyFont="1" applyBorder="1" applyAlignment="1">
      <alignment horizontal="center"/>
    </xf>
    <xf numFmtId="0" fontId="4" fillId="0" borderId="54" xfId="0" applyNumberFormat="1" applyFont="1" applyBorder="1" applyAlignment="1">
      <alignment horizontal="center"/>
    </xf>
    <xf numFmtId="3" fontId="55" fillId="0" borderId="35" xfId="0" applyNumberFormat="1" applyFont="1" applyBorder="1" applyAlignment="1">
      <alignment horizontal="center"/>
    </xf>
    <xf numFmtId="3" fontId="4" fillId="0" borderId="35" xfId="0" applyNumberFormat="1" applyFont="1" applyBorder="1" applyAlignment="1"/>
    <xf numFmtId="3" fontId="55" fillId="0" borderId="49" xfId="0" applyNumberFormat="1" applyFont="1" applyBorder="1" applyAlignment="1">
      <alignment horizontal="center"/>
    </xf>
    <xf numFmtId="0" fontId="4" fillId="0" borderId="17" xfId="0" applyNumberFormat="1" applyFont="1" applyBorder="1"/>
    <xf numFmtId="49" fontId="55" fillId="0" borderId="37" xfId="0" applyNumberFormat="1" applyFont="1" applyBorder="1" applyAlignment="1">
      <alignment horizontal="center"/>
    </xf>
    <xf numFmtId="0" fontId="55" fillId="0" borderId="35" xfId="0" applyNumberFormat="1" applyFont="1" applyBorder="1" applyAlignment="1">
      <alignment horizontal="left"/>
    </xf>
    <xf numFmtId="0" fontId="55" fillId="0" borderId="17" xfId="0" applyNumberFormat="1" applyFont="1" applyBorder="1" applyAlignment="1">
      <alignment horizontal="center"/>
    </xf>
    <xf numFmtId="0" fontId="55" fillId="0" borderId="0" xfId="0" applyNumberFormat="1" applyFont="1" applyFill="1" applyBorder="1" applyAlignment="1">
      <alignment horizontal="center"/>
    </xf>
    <xf numFmtId="0" fontId="4" fillId="0" borderId="0" xfId="0" applyNumberFormat="1" applyFont="1"/>
    <xf numFmtId="0" fontId="4" fillId="0" borderId="0" xfId="0" applyNumberFormat="1" applyFont="1" applyAlignment="1">
      <alignment horizontal="center"/>
    </xf>
    <xf numFmtId="0" fontId="55" fillId="0" borderId="38" xfId="0" applyNumberFormat="1" applyFont="1" applyBorder="1" applyAlignment="1"/>
    <xf numFmtId="0" fontId="55" fillId="0" borderId="36" xfId="0" applyNumberFormat="1" applyFont="1" applyBorder="1" applyAlignment="1"/>
    <xf numFmtId="0" fontId="4" fillId="0" borderId="15" xfId="0" applyNumberFormat="1" applyFont="1" applyBorder="1" applyAlignment="1">
      <alignment horizontal="right"/>
    </xf>
    <xf numFmtId="3" fontId="4" fillId="0" borderId="0" xfId="0" applyNumberFormat="1" applyFont="1"/>
    <xf numFmtId="3" fontId="47" fillId="0" borderId="15" xfId="0" applyNumberFormat="1" applyFont="1" applyBorder="1" applyProtection="1"/>
    <xf numFmtId="3" fontId="47" fillId="0" borderId="0" xfId="0" applyNumberFormat="1" applyFont="1" applyAlignment="1" applyProtection="1">
      <alignment horizontal="centerContinuous"/>
    </xf>
    <xf numFmtId="3" fontId="4" fillId="0" borderId="12" xfId="0" applyNumberFormat="1" applyFont="1" applyBorder="1" applyAlignment="1" applyProtection="1">
      <alignment horizontal="center"/>
    </xf>
    <xf numFmtId="3" fontId="47" fillId="0" borderId="35" xfId="0" applyNumberFormat="1" applyFont="1" applyBorder="1" applyAlignment="1" applyProtection="1">
      <alignment horizontal="centerContinuous"/>
    </xf>
    <xf numFmtId="3" fontId="47" fillId="0" borderId="39" xfId="0" applyNumberFormat="1" applyFont="1" applyBorder="1" applyAlignment="1" applyProtection="1">
      <alignment horizontal="centerContinuous"/>
    </xf>
    <xf numFmtId="3" fontId="47" fillId="43" borderId="39" xfId="0" applyNumberFormat="1" applyFont="1" applyFill="1" applyBorder="1" applyAlignment="1" applyProtection="1">
      <alignment horizontal="centerContinuous"/>
    </xf>
    <xf numFmtId="3" fontId="47" fillId="0" borderId="54" xfId="0" applyNumberFormat="1" applyFont="1" applyFill="1" applyBorder="1" applyProtection="1"/>
    <xf numFmtId="3" fontId="47" fillId="0" borderId="40" xfId="0" applyNumberFormat="1" applyFont="1" applyFill="1" applyBorder="1" applyProtection="1"/>
    <xf numFmtId="3" fontId="47" fillId="43" borderId="35" xfId="0" applyNumberFormat="1" applyFont="1" applyFill="1" applyBorder="1" applyAlignment="1" applyProtection="1">
      <alignment horizontal="centerContinuous"/>
    </xf>
    <xf numFmtId="3" fontId="47" fillId="0" borderId="0" xfId="0" applyNumberFormat="1" applyFont="1" applyProtection="1"/>
    <xf numFmtId="3" fontId="47" fillId="0" borderId="40" xfId="0" applyNumberFormat="1" applyFont="1" applyBorder="1" applyProtection="1"/>
    <xf numFmtId="3" fontId="47" fillId="0" borderId="54" xfId="0" applyNumberFormat="1" applyFont="1" applyBorder="1" applyProtection="1"/>
    <xf numFmtId="3" fontId="47" fillId="0" borderId="36" xfId="0" applyNumberFormat="1" applyFont="1" applyBorder="1" applyProtection="1"/>
    <xf numFmtId="3" fontId="47" fillId="0" borderId="44" xfId="0" applyNumberFormat="1" applyFont="1" applyBorder="1" applyProtection="1"/>
    <xf numFmtId="3" fontId="47" fillId="0" borderId="40" xfId="69" applyNumberFormat="1" applyFont="1" applyBorder="1" applyAlignment="1" applyProtection="1">
      <alignment horizontal="right"/>
    </xf>
    <xf numFmtId="178" fontId="47" fillId="0" borderId="54" xfId="0" applyNumberFormat="1" applyFont="1" applyFill="1" applyBorder="1" applyProtection="1"/>
    <xf numFmtId="178" fontId="47" fillId="0" borderId="49" xfId="0" applyNumberFormat="1" applyFont="1" applyBorder="1" applyProtection="1"/>
    <xf numFmtId="5" fontId="47" fillId="0" borderId="58" xfId="0" applyNumberFormat="1" applyFont="1" applyBorder="1" applyProtection="1"/>
    <xf numFmtId="187" fontId="58" fillId="0" borderId="18" xfId="0" applyNumberFormat="1" applyFont="1" applyBorder="1" applyAlignment="1" applyProtection="1">
      <alignment horizontal="right"/>
    </xf>
    <xf numFmtId="0" fontId="45" fillId="54" borderId="12" xfId="0" applyFont="1" applyFill="1" applyBorder="1" applyAlignment="1">
      <alignment vertical="top"/>
    </xf>
    <xf numFmtId="0" fontId="5" fillId="54" borderId="29" xfId="0" applyFont="1" applyFill="1" applyBorder="1" applyAlignment="1">
      <alignment horizontal="right" vertical="top"/>
    </xf>
    <xf numFmtId="0" fontId="45" fillId="54" borderId="12" xfId="0" applyFont="1" applyFill="1" applyBorder="1" applyAlignment="1">
      <alignment horizontal="left" wrapText="1"/>
    </xf>
    <xf numFmtId="0" fontId="45" fillId="54" borderId="12" xfId="0" applyFont="1" applyFill="1" applyBorder="1"/>
    <xf numFmtId="0" fontId="4" fillId="54" borderId="12" xfId="0" applyFont="1" applyFill="1" applyBorder="1" applyAlignment="1">
      <alignment horizontal="left" wrapText="1"/>
    </xf>
    <xf numFmtId="0" fontId="0" fillId="54" borderId="12" xfId="0" applyFill="1" applyBorder="1"/>
    <xf numFmtId="3" fontId="47" fillId="0" borderId="39" xfId="0" applyNumberFormat="1" applyFont="1" applyBorder="1" applyAlignment="1" applyProtection="1"/>
    <xf numFmtId="37" fontId="4" fillId="0" borderId="37" xfId="0" applyNumberFormat="1" applyFont="1" applyBorder="1"/>
    <xf numFmtId="37" fontId="4" fillId="0" borderId="60" xfId="0" applyNumberFormat="1" applyFont="1" applyBorder="1"/>
    <xf numFmtId="0" fontId="86" fillId="0" borderId="0" xfId="0" applyFont="1" applyProtection="1"/>
    <xf numFmtId="43" fontId="4" fillId="0" borderId="0" xfId="69" applyFont="1" applyAlignment="1">
      <alignment horizontal="right"/>
    </xf>
    <xf numFmtId="0" fontId="5" fillId="0" borderId="0" xfId="0" applyFont="1" applyBorder="1"/>
    <xf numFmtId="37" fontId="0" fillId="0" borderId="18" xfId="69" applyNumberFormat="1" applyFont="1" applyBorder="1"/>
    <xf numFmtId="5" fontId="4" fillId="0" borderId="49" xfId="0" applyNumberFormat="1" applyFont="1" applyFill="1" applyBorder="1" applyProtection="1"/>
    <xf numFmtId="0" fontId="4" fillId="0" borderId="25" xfId="0" applyFont="1" applyFill="1" applyBorder="1" applyAlignment="1" applyProtection="1">
      <alignment horizontal="center"/>
    </xf>
    <xf numFmtId="176" fontId="4" fillId="0" borderId="25" xfId="0" applyNumberFormat="1" applyFont="1" applyFill="1" applyBorder="1" applyAlignment="1" applyProtection="1"/>
    <xf numFmtId="1" fontId="4" fillId="0" borderId="25" xfId="0" applyNumberFormat="1" applyFont="1" applyBorder="1" applyAlignment="1" applyProtection="1">
      <alignment horizontal="center"/>
    </xf>
    <xf numFmtId="10" fontId="4" fillId="0" borderId="25" xfId="0" applyNumberFormat="1" applyFont="1" applyBorder="1" applyAlignment="1" applyProtection="1">
      <alignment horizontal="center"/>
    </xf>
    <xf numFmtId="2" fontId="4" fillId="0" borderId="25" xfId="0" applyNumberFormat="1" applyFont="1" applyBorder="1" applyAlignment="1" applyProtection="1">
      <alignment horizontal="center"/>
    </xf>
    <xf numFmtId="176" fontId="4" fillId="0" borderId="28" xfId="0" applyNumberFormat="1" applyFont="1" applyFill="1" applyBorder="1" applyAlignment="1" applyProtection="1"/>
    <xf numFmtId="1" fontId="4" fillId="0" borderId="28" xfId="0" applyNumberFormat="1" applyFont="1" applyBorder="1" applyAlignment="1" applyProtection="1">
      <alignment horizontal="center"/>
    </xf>
    <xf numFmtId="10" fontId="4" fillId="0" borderId="28" xfId="0" applyNumberFormat="1" applyFont="1" applyBorder="1" applyAlignment="1" applyProtection="1">
      <alignment horizontal="center"/>
    </xf>
    <xf numFmtId="2" fontId="4" fillId="0" borderId="28" xfId="0" applyNumberFormat="1" applyFont="1" applyBorder="1" applyAlignment="1" applyProtection="1">
      <alignment horizontal="center"/>
    </xf>
    <xf numFmtId="1" fontId="4" fillId="0" borderId="28" xfId="0" applyNumberFormat="1" applyFont="1" applyFill="1" applyBorder="1" applyAlignment="1" applyProtection="1">
      <alignment horizontal="center"/>
    </xf>
    <xf numFmtId="169" fontId="4" fillId="0" borderId="36" xfId="0" applyNumberFormat="1" applyFont="1" applyBorder="1" applyProtection="1"/>
    <xf numFmtId="10" fontId="4" fillId="0" borderId="28" xfId="0" applyNumberFormat="1" applyFont="1" applyFill="1" applyBorder="1" applyAlignment="1" applyProtection="1">
      <alignment horizontal="center"/>
    </xf>
    <xf numFmtId="1" fontId="0" fillId="0" borderId="28" xfId="0" applyNumberFormat="1" applyFill="1" applyBorder="1" applyAlignment="1">
      <alignment horizontal="center"/>
    </xf>
    <xf numFmtId="10" fontId="0" fillId="0" borderId="28" xfId="0" applyNumberFormat="1" applyFill="1" applyBorder="1" applyAlignment="1">
      <alignment horizontal="center"/>
    </xf>
    <xf numFmtId="0" fontId="4" fillId="0" borderId="28" xfId="0" quotePrefix="1" applyFont="1" applyFill="1" applyBorder="1" applyAlignment="1" applyProtection="1">
      <alignment horizontal="center"/>
    </xf>
    <xf numFmtId="1" fontId="4" fillId="0" borderId="31" xfId="0" applyNumberFormat="1" applyFont="1" applyBorder="1" applyAlignment="1" applyProtection="1">
      <alignment horizontal="center"/>
    </xf>
    <xf numFmtId="10" fontId="4" fillId="0" borderId="31" xfId="0" applyNumberFormat="1" applyFont="1" applyBorder="1" applyAlignment="1" applyProtection="1">
      <alignment horizontal="center"/>
    </xf>
    <xf numFmtId="2" fontId="4" fillId="0" borderId="31" xfId="0" applyNumberFormat="1" applyFont="1" applyBorder="1" applyAlignment="1" applyProtection="1">
      <alignment horizontal="center"/>
    </xf>
    <xf numFmtId="0" fontId="0" fillId="0" borderId="40" xfId="0" applyBorder="1"/>
    <xf numFmtId="0" fontId="0" fillId="0" borderId="51" xfId="0" applyBorder="1"/>
    <xf numFmtId="0" fontId="0" fillId="0" borderId="54" xfId="0" applyBorder="1"/>
    <xf numFmtId="0" fontId="4" fillId="0" borderId="28" xfId="0" quotePrefix="1" applyFont="1" applyBorder="1" applyAlignment="1">
      <alignment horizontal="right"/>
    </xf>
    <xf numFmtId="0" fontId="4" fillId="0" borderId="58" xfId="0" applyFont="1" applyBorder="1" applyProtection="1"/>
    <xf numFmtId="37" fontId="146" fillId="0" borderId="18" xfId="0" applyNumberFormat="1" applyFont="1" applyBorder="1" applyProtection="1">
      <protection locked="0"/>
    </xf>
    <xf numFmtId="3" fontId="0" fillId="0" borderId="51" xfId="0" applyNumberFormat="1" applyFill="1" applyBorder="1"/>
    <xf numFmtId="0" fontId="4" fillId="0" borderId="19" xfId="0" applyFont="1" applyFill="1" applyBorder="1"/>
    <xf numFmtId="5" fontId="0" fillId="0" borderId="35" xfId="0" applyNumberFormat="1" applyBorder="1"/>
    <xf numFmtId="176" fontId="5" fillId="0" borderId="0" xfId="69" applyNumberFormat="1" applyFont="1"/>
    <xf numFmtId="176" fontId="4" fillId="0" borderId="57" xfId="0" applyNumberFormat="1" applyFont="1" applyBorder="1" applyProtection="1"/>
    <xf numFmtId="0" fontId="0" fillId="0" borderId="28" xfId="0" applyFont="1" applyBorder="1"/>
    <xf numFmtId="38" fontId="47" fillId="29" borderId="0" xfId="0" applyNumberFormat="1" applyFont="1" applyFill="1" applyBorder="1" applyProtection="1"/>
    <xf numFmtId="38" fontId="47" fillId="29" borderId="0" xfId="0" applyNumberFormat="1" applyFont="1" applyFill="1" applyBorder="1"/>
    <xf numFmtId="38" fontId="5" fillId="29" borderId="0" xfId="0" applyNumberFormat="1" applyFont="1" applyFill="1" applyBorder="1"/>
    <xf numFmtId="38" fontId="4" fillId="29" borderId="0" xfId="0" applyNumberFormat="1" applyFont="1" applyFill="1" applyBorder="1"/>
    <xf numFmtId="38" fontId="5" fillId="0" borderId="0" xfId="0" applyNumberFormat="1" applyFont="1" applyBorder="1" applyProtection="1">
      <protection locked="0"/>
    </xf>
    <xf numFmtId="38" fontId="4" fillId="29" borderId="0" xfId="0" applyNumberFormat="1" applyFont="1" applyFill="1" applyBorder="1" applyProtection="1"/>
    <xf numFmtId="38" fontId="4" fillId="0" borderId="38" xfId="0" applyNumberFormat="1" applyFont="1" applyFill="1" applyBorder="1" applyAlignment="1">
      <alignment horizontal="center"/>
    </xf>
    <xf numFmtId="38" fontId="4" fillId="0" borderId="36" xfId="0" applyNumberFormat="1" applyFont="1" applyFill="1" applyBorder="1" applyAlignment="1">
      <alignment horizontal="center"/>
    </xf>
    <xf numFmtId="38" fontId="4" fillId="0" borderId="40" xfId="0" applyNumberFormat="1" applyFont="1" applyFill="1" applyBorder="1" applyAlignment="1">
      <alignment horizontal="center"/>
    </xf>
    <xf numFmtId="38" fontId="47" fillId="0" borderId="36" xfId="0" applyNumberFormat="1" applyFont="1" applyFill="1" applyBorder="1" applyProtection="1"/>
    <xf numFmtId="38" fontId="4" fillId="51" borderId="54" xfId="0" applyNumberFormat="1" applyFont="1" applyFill="1" applyBorder="1"/>
    <xf numFmtId="38" fontId="4" fillId="0" borderId="36" xfId="0" applyNumberFormat="1" applyFont="1" applyFill="1" applyBorder="1"/>
    <xf numFmtId="38" fontId="4" fillId="51" borderId="54" xfId="0" applyNumberFormat="1" applyFont="1" applyFill="1" applyBorder="1" applyProtection="1">
      <protection locked="0"/>
    </xf>
    <xf numFmtId="38" fontId="4" fillId="51" borderId="54" xfId="0" applyNumberFormat="1" applyFont="1" applyFill="1" applyBorder="1" applyProtection="1"/>
    <xf numFmtId="38" fontId="47" fillId="0" borderId="44" xfId="0" applyNumberFormat="1" applyFont="1" applyFill="1" applyBorder="1" applyProtection="1">
      <protection locked="0"/>
    </xf>
    <xf numFmtId="0" fontId="47" fillId="29" borderId="41" xfId="0" applyFont="1" applyFill="1" applyBorder="1" applyAlignment="1" applyProtection="1">
      <alignment horizontal="right"/>
    </xf>
    <xf numFmtId="0" fontId="0" fillId="0" borderId="76" xfId="0" applyBorder="1" applyProtection="1"/>
    <xf numFmtId="0" fontId="0" fillId="0" borderId="77" xfId="0" applyBorder="1" applyProtection="1"/>
    <xf numFmtId="0" fontId="0" fillId="0" borderId="78" xfId="0" applyBorder="1" applyProtection="1"/>
    <xf numFmtId="0" fontId="35" fillId="0" borderId="79" xfId="0" applyFont="1" applyBorder="1" applyAlignment="1" applyProtection="1">
      <alignment horizontal="centerContinuous"/>
    </xf>
    <xf numFmtId="0" fontId="35" fillId="0" borderId="0" xfId="0" applyFont="1" applyBorder="1" applyAlignment="1" applyProtection="1">
      <alignment horizontal="centerContinuous"/>
    </xf>
    <xf numFmtId="0" fontId="0" fillId="0" borderId="80" xfId="0" applyBorder="1" applyAlignment="1" applyProtection="1">
      <alignment horizontal="centerContinuous"/>
    </xf>
    <xf numFmtId="0" fontId="0" fillId="0" borderId="79" xfId="0" applyBorder="1" applyProtection="1"/>
    <xf numFmtId="0" fontId="0" fillId="0" borderId="80" xfId="0" applyBorder="1" applyProtection="1"/>
    <xf numFmtId="0" fontId="0" fillId="0" borderId="79" xfId="0" applyBorder="1" applyAlignment="1" applyProtection="1">
      <alignment horizontal="center"/>
    </xf>
    <xf numFmtId="0" fontId="0" fillId="0" borderId="127" xfId="0" applyBorder="1" applyProtection="1"/>
    <xf numFmtId="0" fontId="0" fillId="0" borderId="128" xfId="0" applyBorder="1" applyProtection="1"/>
    <xf numFmtId="0" fontId="19" fillId="0" borderId="79" xfId="0" applyFont="1" applyBorder="1" applyProtection="1">
      <protection locked="0"/>
    </xf>
    <xf numFmtId="0" fontId="19" fillId="0" borderId="80" xfId="0" applyFont="1" applyBorder="1" applyProtection="1">
      <protection locked="0"/>
    </xf>
    <xf numFmtId="0" fontId="19" fillId="0" borderId="81" xfId="0" applyFont="1" applyBorder="1" applyProtection="1">
      <protection locked="0"/>
    </xf>
    <xf numFmtId="0" fontId="19" fillId="0" borderId="10" xfId="0" applyFont="1" applyBorder="1" applyProtection="1">
      <protection locked="0"/>
    </xf>
    <xf numFmtId="0" fontId="19" fillId="0" borderId="82" xfId="0" applyFont="1" applyBorder="1" applyProtection="1">
      <protection locked="0"/>
    </xf>
    <xf numFmtId="0" fontId="0" fillId="0" borderId="0" xfId="0" applyFill="1" applyAlignment="1">
      <alignment horizontal="left"/>
    </xf>
    <xf numFmtId="0" fontId="91" fillId="0" borderId="108" xfId="0" applyFont="1" applyBorder="1" applyAlignment="1">
      <alignment horizontal="left"/>
    </xf>
    <xf numFmtId="0" fontId="4" fillId="0" borderId="28" xfId="105" applyFont="1" applyBorder="1"/>
    <xf numFmtId="0" fontId="62" fillId="0" borderId="0" xfId="105" applyBorder="1"/>
    <xf numFmtId="0" fontId="4" fillId="0" borderId="27" xfId="105" applyFont="1" applyBorder="1" applyProtection="1"/>
    <xf numFmtId="0" fontId="62" fillId="0" borderId="27" xfId="105" applyNumberFormat="1" applyFont="1" applyBorder="1"/>
    <xf numFmtId="7" fontId="0" fillId="0" borderId="0" xfId="0" applyNumberFormat="1"/>
    <xf numFmtId="0" fontId="4" fillId="0" borderId="6" xfId="0" applyFont="1" applyFill="1" applyBorder="1" applyProtection="1"/>
    <xf numFmtId="0" fontId="4" fillId="0" borderId="27" xfId="0" applyFont="1" applyFill="1" applyBorder="1" applyAlignment="1" applyProtection="1">
      <alignment horizontal="center"/>
    </xf>
    <xf numFmtId="0" fontId="4" fillId="0" borderId="25" xfId="0" applyFont="1" applyFill="1" applyBorder="1" applyProtection="1"/>
    <xf numFmtId="0" fontId="4" fillId="0" borderId="15" xfId="0" applyFont="1" applyFill="1" applyBorder="1" applyAlignment="1" applyProtection="1">
      <alignment horizontal="centerContinuous"/>
    </xf>
    <xf numFmtId="5" fontId="47" fillId="0" borderId="0" xfId="0" applyNumberFormat="1" applyFont="1" applyFill="1" applyBorder="1" applyProtection="1"/>
    <xf numFmtId="0" fontId="47" fillId="0" borderId="0" xfId="0" applyFont="1" applyFill="1" applyBorder="1" applyAlignment="1" applyProtection="1">
      <alignment horizontal="centerContinuous"/>
    </xf>
    <xf numFmtId="0" fontId="0" fillId="0" borderId="0" xfId="0" applyFill="1" applyBorder="1" applyProtection="1"/>
    <xf numFmtId="37" fontId="47" fillId="0" borderId="0" xfId="0" applyNumberFormat="1" applyFont="1" applyFill="1" applyBorder="1" applyAlignment="1" applyProtection="1">
      <alignment horizontal="centerContinuous"/>
    </xf>
    <xf numFmtId="37" fontId="47" fillId="0" borderId="0" xfId="0" applyNumberFormat="1" applyFont="1" applyFill="1" applyBorder="1" applyAlignment="1" applyProtection="1">
      <alignment horizontal="center"/>
    </xf>
    <xf numFmtId="0" fontId="0" fillId="0" borderId="0" xfId="0" applyFill="1" applyBorder="1" applyAlignment="1" applyProtection="1">
      <alignment horizontal="centerContinuous"/>
    </xf>
    <xf numFmtId="0" fontId="47" fillId="0" borderId="0" xfId="0" applyFont="1" applyFill="1" applyBorder="1" applyAlignment="1" applyProtection="1">
      <alignment horizontal="center"/>
    </xf>
    <xf numFmtId="5" fontId="47" fillId="0" borderId="0" xfId="0" applyNumberFormat="1" applyFont="1" applyFill="1" applyBorder="1" applyAlignment="1" applyProtection="1">
      <alignment horizontal="centerContinuous"/>
    </xf>
    <xf numFmtId="0" fontId="5" fillId="0" borderId="0" xfId="0" applyFont="1" applyFill="1" applyBorder="1" applyProtection="1"/>
    <xf numFmtId="0" fontId="47" fillId="0" borderId="129" xfId="0" applyFont="1" applyBorder="1" applyProtection="1"/>
    <xf numFmtId="0" fontId="47" fillId="0" borderId="85" xfId="0" applyFont="1" applyBorder="1" applyProtection="1"/>
    <xf numFmtId="37" fontId="47" fillId="0" borderId="85" xfId="0" applyNumberFormat="1" applyFont="1" applyBorder="1" applyProtection="1"/>
    <xf numFmtId="0" fontId="47" fillId="0" borderId="98" xfId="0" applyFont="1" applyBorder="1" applyProtection="1"/>
    <xf numFmtId="0" fontId="0" fillId="0" borderId="86" xfId="0" applyBorder="1"/>
    <xf numFmtId="0" fontId="47" fillId="0" borderId="0" xfId="0" applyFont="1" applyBorder="1" applyAlignment="1" applyProtection="1"/>
    <xf numFmtId="0" fontId="47" fillId="0" borderId="132" xfId="0" applyFont="1" applyBorder="1" applyProtection="1"/>
    <xf numFmtId="0" fontId="47" fillId="0" borderId="133" xfId="0" applyFont="1" applyBorder="1" applyProtection="1"/>
    <xf numFmtId="0" fontId="47" fillId="0" borderId="134" xfId="0" applyFont="1" applyBorder="1" applyProtection="1"/>
    <xf numFmtId="0" fontId="47" fillId="0" borderId="135" xfId="0" applyFont="1" applyBorder="1" applyAlignment="1" applyProtection="1">
      <alignment horizontal="centerContinuous"/>
    </xf>
    <xf numFmtId="0" fontId="47" fillId="0" borderId="136" xfId="0" applyFont="1" applyBorder="1" applyProtection="1"/>
    <xf numFmtId="0" fontId="0" fillId="0" borderId="137" xfId="0" applyBorder="1" applyProtection="1"/>
    <xf numFmtId="0" fontId="47" fillId="0" borderId="138" xfId="0" applyFont="1" applyBorder="1" applyProtection="1"/>
    <xf numFmtId="37" fontId="47" fillId="0" borderId="135" xfId="0" applyNumberFormat="1" applyFont="1" applyBorder="1" applyAlignment="1" applyProtection="1">
      <alignment horizontal="centerContinuous"/>
    </xf>
    <xf numFmtId="0" fontId="47" fillId="0" borderId="137" xfId="0" applyFont="1" applyBorder="1" applyAlignment="1" applyProtection="1">
      <alignment horizontal="centerContinuous"/>
    </xf>
    <xf numFmtId="0" fontId="47" fillId="0" borderId="139" xfId="0" applyFont="1" applyBorder="1" applyProtection="1"/>
    <xf numFmtId="0" fontId="47" fillId="0" borderId="139" xfId="0" applyFont="1" applyBorder="1" applyAlignment="1" applyProtection="1">
      <alignment horizontal="center"/>
    </xf>
    <xf numFmtId="0" fontId="47" fillId="0" borderId="140" xfId="0" applyFont="1" applyBorder="1" applyProtection="1"/>
    <xf numFmtId="37" fontId="47" fillId="0" borderId="140" xfId="0" applyNumberFormat="1" applyFont="1" applyBorder="1" applyProtection="1"/>
    <xf numFmtId="0" fontId="47" fillId="0" borderId="141" xfId="0" applyFont="1" applyBorder="1" applyProtection="1"/>
    <xf numFmtId="37" fontId="47" fillId="0" borderId="142" xfId="0" applyNumberFormat="1" applyFont="1" applyBorder="1" applyAlignment="1" applyProtection="1">
      <alignment horizontal="center"/>
    </xf>
    <xf numFmtId="0" fontId="47" fillId="0" borderId="141" xfId="0" applyFont="1" applyBorder="1" applyAlignment="1" applyProtection="1">
      <alignment horizontal="center"/>
    </xf>
    <xf numFmtId="37" fontId="47" fillId="35" borderId="142" xfId="0" applyNumberFormat="1" applyFont="1" applyFill="1" applyBorder="1" applyProtection="1"/>
    <xf numFmtId="37" fontId="47" fillId="0" borderId="142" xfId="0" applyNumberFormat="1" applyFont="1" applyFill="1" applyBorder="1" applyProtection="1"/>
    <xf numFmtId="37" fontId="47" fillId="0" borderId="142" xfId="0" applyNumberFormat="1" applyFont="1" applyBorder="1" applyProtection="1"/>
    <xf numFmtId="37" fontId="47" fillId="36" borderId="142" xfId="0" applyNumberFormat="1" applyFont="1" applyFill="1" applyBorder="1" applyProtection="1"/>
    <xf numFmtId="0" fontId="47" fillId="0" borderId="141" xfId="0" applyFont="1" applyFill="1" applyBorder="1" applyAlignment="1" applyProtection="1">
      <alignment horizontal="center"/>
    </xf>
    <xf numFmtId="37" fontId="47" fillId="0" borderId="140" xfId="0" applyNumberFormat="1" applyFont="1" applyFill="1" applyBorder="1" applyProtection="1"/>
    <xf numFmtId="5" fontId="47" fillId="0" borderId="142" xfId="0" applyNumberFormat="1" applyFont="1" applyFill="1" applyBorder="1" applyProtection="1"/>
    <xf numFmtId="37" fontId="47" fillId="0" borderId="135" xfId="0" applyNumberFormat="1" applyFont="1" applyBorder="1" applyProtection="1"/>
    <xf numFmtId="0" fontId="47" fillId="0" borderId="143" xfId="0" applyFont="1" applyBorder="1" applyProtection="1"/>
    <xf numFmtId="0" fontId="47" fillId="0" borderId="144" xfId="0" applyFont="1" applyBorder="1" applyProtection="1"/>
    <xf numFmtId="0" fontId="47" fillId="0" borderId="144" xfId="0" applyFont="1" applyBorder="1" applyAlignment="1" applyProtection="1">
      <alignment horizontal="centerContinuous"/>
    </xf>
    <xf numFmtId="37" fontId="47" fillId="0" borderId="144" xfId="0" applyNumberFormat="1" applyFont="1" applyBorder="1" applyProtection="1"/>
    <xf numFmtId="37" fontId="47" fillId="0" borderId="145" xfId="0" applyNumberFormat="1" applyFont="1" applyBorder="1" applyProtection="1"/>
    <xf numFmtId="0" fontId="0" fillId="0" borderId="85" xfId="0" applyBorder="1" applyProtection="1"/>
    <xf numFmtId="0" fontId="47" fillId="0" borderId="89" xfId="0" applyFont="1" applyBorder="1" applyProtection="1"/>
    <xf numFmtId="0" fontId="47" fillId="0" borderId="86" xfId="0" applyFont="1" applyBorder="1" applyAlignment="1" applyProtection="1">
      <alignment horizontal="left"/>
    </xf>
    <xf numFmtId="39" fontId="47" fillId="0" borderId="0" xfId="0" applyNumberFormat="1" applyFont="1" applyBorder="1" applyAlignment="1" applyProtection="1">
      <alignment horizontal="centerContinuous"/>
    </xf>
    <xf numFmtId="0" fontId="47" fillId="0" borderId="88" xfId="0" applyFont="1" applyBorder="1" applyAlignment="1" applyProtection="1">
      <alignment horizontal="left"/>
    </xf>
    <xf numFmtId="0" fontId="47" fillId="0" borderId="88" xfId="0" applyFont="1" applyBorder="1" applyAlignment="1" applyProtection="1">
      <alignment horizontal="centerContinuous"/>
    </xf>
    <xf numFmtId="0" fontId="47" fillId="0" borderId="130" xfId="0" applyFont="1" applyBorder="1" applyProtection="1"/>
    <xf numFmtId="0" fontId="47" fillId="0" borderId="93" xfId="0" applyFont="1" applyBorder="1" applyAlignment="1" applyProtection="1">
      <alignment horizontal="center"/>
    </xf>
    <xf numFmtId="0" fontId="47" fillId="0" borderId="93" xfId="0" applyFont="1" applyFill="1" applyBorder="1" applyAlignment="1" applyProtection="1">
      <alignment horizontal="center"/>
    </xf>
    <xf numFmtId="37" fontId="47" fillId="0" borderId="88" xfId="0" applyNumberFormat="1" applyFont="1" applyFill="1" applyBorder="1" applyProtection="1"/>
    <xf numFmtId="0" fontId="47" fillId="0" borderId="93" xfId="0" applyFont="1" applyBorder="1" applyProtection="1"/>
    <xf numFmtId="0" fontId="47" fillId="0" borderId="96" xfId="0" applyFont="1" applyBorder="1" applyProtection="1"/>
    <xf numFmtId="0" fontId="47" fillId="0" borderId="136" xfId="0" applyFont="1" applyBorder="1" applyAlignment="1" applyProtection="1">
      <alignment horizontal="centerContinuous"/>
    </xf>
    <xf numFmtId="0" fontId="47" fillId="0" borderId="140" xfId="0" applyFont="1" applyBorder="1" applyAlignment="1" applyProtection="1">
      <alignment horizontal="center"/>
    </xf>
    <xf numFmtId="0" fontId="47" fillId="0" borderId="142" xfId="0" applyFont="1" applyBorder="1" applyAlignment="1" applyProtection="1">
      <alignment horizontal="center"/>
    </xf>
    <xf numFmtId="39" fontId="47" fillId="40" borderId="135" xfId="0" applyNumberFormat="1" applyFont="1" applyFill="1" applyBorder="1" applyAlignment="1" applyProtection="1">
      <alignment horizontal="centerContinuous"/>
    </xf>
    <xf numFmtId="0" fontId="47" fillId="40" borderId="137" xfId="0" applyFont="1" applyFill="1" applyBorder="1" applyAlignment="1" applyProtection="1">
      <alignment horizontal="centerContinuous"/>
    </xf>
    <xf numFmtId="3" fontId="47" fillId="0" borderId="142" xfId="0" applyNumberFormat="1" applyFont="1" applyBorder="1" applyAlignment="1" applyProtection="1">
      <protection locked="0"/>
    </xf>
    <xf numFmtId="37" fontId="47" fillId="0" borderId="146" xfId="0" applyNumberFormat="1" applyFont="1" applyBorder="1" applyAlignment="1" applyProtection="1">
      <protection locked="0"/>
    </xf>
    <xf numFmtId="37" fontId="47" fillId="0" borderId="142" xfId="0" applyNumberFormat="1" applyFont="1" applyBorder="1" applyAlignment="1" applyProtection="1">
      <protection locked="0"/>
    </xf>
    <xf numFmtId="37" fontId="47" fillId="29" borderId="137" xfId="0" applyNumberFormat="1" applyFont="1" applyFill="1" applyBorder="1" applyAlignment="1" applyProtection="1"/>
    <xf numFmtId="37" fontId="47" fillId="0" borderId="137" xfId="0" applyNumberFormat="1" applyFont="1" applyBorder="1" applyAlignment="1" applyProtection="1">
      <protection locked="0"/>
    </xf>
    <xf numFmtId="5" fontId="47" fillId="29" borderId="137" xfId="0" applyNumberFormat="1" applyFont="1" applyFill="1" applyBorder="1" applyAlignment="1" applyProtection="1"/>
    <xf numFmtId="37" fontId="47" fillId="40" borderId="135" xfId="0" applyNumberFormat="1" applyFont="1" applyFill="1" applyBorder="1" applyAlignment="1" applyProtection="1">
      <alignment horizontal="centerContinuous"/>
    </xf>
    <xf numFmtId="37" fontId="47" fillId="40" borderId="137" xfId="0" applyNumberFormat="1" applyFont="1" applyFill="1" applyBorder="1" applyAlignment="1" applyProtection="1">
      <alignment horizontal="centerContinuous"/>
    </xf>
    <xf numFmtId="37" fontId="47" fillId="0" borderId="137" xfId="0" applyNumberFormat="1" applyFont="1" applyBorder="1" applyAlignment="1" applyProtection="1"/>
    <xf numFmtId="37" fontId="47" fillId="0" borderId="142" xfId="0" applyNumberFormat="1" applyFont="1" applyBorder="1" applyAlignment="1" applyProtection="1"/>
    <xf numFmtId="37" fontId="47" fillId="40" borderId="137" xfId="0" applyNumberFormat="1" applyFont="1" applyFill="1" applyBorder="1" applyAlignment="1" applyProtection="1"/>
    <xf numFmtId="5" fontId="47" fillId="0" borderId="142" xfId="0" applyNumberFormat="1" applyFont="1" applyBorder="1" applyAlignment="1" applyProtection="1"/>
    <xf numFmtId="0" fontId="47" fillId="0" borderId="138" xfId="0" applyFont="1" applyBorder="1" applyAlignment="1" applyProtection="1">
      <alignment horizontal="center"/>
    </xf>
    <xf numFmtId="0" fontId="47" fillId="0" borderId="143" xfId="0" applyFont="1" applyBorder="1" applyAlignment="1" applyProtection="1">
      <alignment horizontal="center"/>
    </xf>
    <xf numFmtId="37" fontId="47" fillId="0" borderId="144" xfId="0" applyNumberFormat="1" applyFont="1" applyBorder="1" applyAlignment="1" applyProtection="1">
      <alignment horizontal="centerContinuous"/>
    </xf>
    <xf numFmtId="37" fontId="47" fillId="0" borderId="145" xfId="0" applyNumberFormat="1" applyFont="1" applyBorder="1" applyAlignment="1" applyProtection="1">
      <alignment horizontal="centerContinuous"/>
    </xf>
    <xf numFmtId="0" fontId="47" fillId="29" borderId="138" xfId="0" applyFont="1" applyFill="1" applyBorder="1" applyAlignment="1" applyProtection="1"/>
    <xf numFmtId="0" fontId="48" fillId="0" borderId="0" xfId="0" applyFont="1" applyBorder="1" applyAlignment="1" applyProtection="1"/>
    <xf numFmtId="0" fontId="47" fillId="29" borderId="147" xfId="0" applyFont="1" applyFill="1" applyBorder="1" applyAlignment="1" applyProtection="1"/>
    <xf numFmtId="0" fontId="47" fillId="40" borderId="12" xfId="0" applyFont="1" applyFill="1" applyBorder="1" applyAlignment="1" applyProtection="1"/>
    <xf numFmtId="0" fontId="47" fillId="40" borderId="89" xfId="0" applyFont="1" applyFill="1" applyBorder="1" applyAlignment="1" applyProtection="1"/>
    <xf numFmtId="0" fontId="47" fillId="40" borderId="29" xfId="0" applyFont="1" applyFill="1" applyBorder="1" applyAlignment="1" applyProtection="1"/>
    <xf numFmtId="0" fontId="5" fillId="0" borderId="0" xfId="0" applyFont="1" applyBorder="1" applyAlignment="1" applyProtection="1"/>
    <xf numFmtId="0" fontId="5" fillId="0" borderId="18" xfId="0" applyFont="1" applyBorder="1" applyAlignment="1" applyProtection="1"/>
    <xf numFmtId="37" fontId="4" fillId="0" borderId="23" xfId="0" applyNumberFormat="1" applyFont="1" applyBorder="1"/>
    <xf numFmtId="0" fontId="39" fillId="29" borderId="0" xfId="0" applyFont="1" applyFill="1" applyBorder="1" applyAlignment="1" applyProtection="1"/>
    <xf numFmtId="0" fontId="47" fillId="29" borderId="0" xfId="0" applyFont="1" applyFill="1" applyBorder="1" applyProtection="1"/>
    <xf numFmtId="37" fontId="4" fillId="0" borderId="0" xfId="0" applyNumberFormat="1" applyFont="1" applyBorder="1" applyAlignment="1" applyProtection="1">
      <alignment horizontal="centerContinuous"/>
    </xf>
    <xf numFmtId="0" fontId="4" fillId="0" borderId="46" xfId="0" applyFont="1" applyBorder="1" applyAlignment="1" applyProtection="1"/>
    <xf numFmtId="0" fontId="0" fillId="0" borderId="148" xfId="0" applyBorder="1"/>
    <xf numFmtId="0" fontId="0" fillId="0" borderId="123" xfId="0" applyBorder="1" applyAlignment="1">
      <alignment horizontal="center"/>
    </xf>
    <xf numFmtId="0" fontId="0" fillId="0" borderId="131" xfId="0" applyBorder="1"/>
    <xf numFmtId="0" fontId="0" fillId="0" borderId="131" xfId="0" applyFill="1" applyBorder="1" applyAlignment="1">
      <alignment horizontal="center"/>
    </xf>
    <xf numFmtId="38" fontId="4" fillId="51" borderId="46" xfId="0" applyNumberFormat="1" applyFont="1" applyFill="1" applyBorder="1" applyProtection="1"/>
    <xf numFmtId="38" fontId="4" fillId="0" borderId="32" xfId="0" applyNumberFormat="1" applyFont="1" applyFill="1" applyBorder="1" applyProtection="1"/>
    <xf numFmtId="38" fontId="4" fillId="51" borderId="46" xfId="0" applyNumberFormat="1" applyFont="1" applyFill="1" applyBorder="1" applyProtection="1">
      <protection locked="0"/>
    </xf>
    <xf numFmtId="38" fontId="28" fillId="0" borderId="46" xfId="0" applyNumberFormat="1" applyFont="1" applyFill="1" applyBorder="1" applyProtection="1">
      <protection locked="0"/>
    </xf>
    <xf numFmtId="38" fontId="4" fillId="51" borderId="48" xfId="0" applyNumberFormat="1" applyFont="1" applyFill="1" applyBorder="1" applyProtection="1"/>
    <xf numFmtId="0" fontId="0" fillId="0" borderId="40" xfId="0" applyFill="1" applyBorder="1" applyAlignment="1">
      <alignment horizontal="center"/>
    </xf>
    <xf numFmtId="0" fontId="0" fillId="0" borderId="18" xfId="0" applyFill="1" applyBorder="1"/>
    <xf numFmtId="0" fontId="0" fillId="0" borderId="22" xfId="0" applyFill="1" applyBorder="1"/>
    <xf numFmtId="0" fontId="5" fillId="0" borderId="0" xfId="0" applyFont="1" applyBorder="1" applyAlignment="1"/>
    <xf numFmtId="38" fontId="4" fillId="0" borderId="16" xfId="0" applyNumberFormat="1" applyFont="1" applyFill="1" applyBorder="1"/>
    <xf numFmtId="38" fontId="4" fillId="0" borderId="18" xfId="0" applyNumberFormat="1" applyFont="1" applyFill="1" applyBorder="1"/>
    <xf numFmtId="38" fontId="4" fillId="0" borderId="32" xfId="0" applyNumberFormat="1" applyFont="1" applyFill="1" applyBorder="1"/>
    <xf numFmtId="5" fontId="47" fillId="0" borderId="0" xfId="0" applyNumberFormat="1" applyFont="1" applyFill="1" applyBorder="1"/>
    <xf numFmtId="0" fontId="23" fillId="0" borderId="0" xfId="0" applyFont="1" applyBorder="1" applyAlignment="1" applyProtection="1">
      <alignment horizontal="left" wrapText="1"/>
      <protection locked="0"/>
    </xf>
    <xf numFmtId="0" fontId="23" fillId="0" borderId="0" xfId="0" applyFont="1" applyBorder="1" applyAlignment="1" applyProtection="1">
      <alignment horizontal="centerContinuous" wrapText="1"/>
      <protection locked="0"/>
    </xf>
    <xf numFmtId="38" fontId="4" fillId="0" borderId="25" xfId="0" applyNumberFormat="1" applyFont="1" applyFill="1" applyBorder="1" applyProtection="1"/>
    <xf numFmtId="38" fontId="4" fillId="0" borderId="28" xfId="0" applyNumberFormat="1" applyFont="1" applyFill="1" applyBorder="1" applyProtection="1"/>
    <xf numFmtId="38" fontId="4" fillId="51" borderId="51" xfId="0" applyNumberFormat="1" applyFont="1" applyFill="1" applyBorder="1" applyProtection="1"/>
    <xf numFmtId="38" fontId="4" fillId="51" borderId="28" xfId="0" applyNumberFormat="1" applyFont="1" applyFill="1" applyBorder="1" applyProtection="1"/>
    <xf numFmtId="0" fontId="66" fillId="0" borderId="0" xfId="0" applyFont="1" applyBorder="1" applyAlignment="1" applyProtection="1">
      <protection locked="0"/>
    </xf>
    <xf numFmtId="38" fontId="28" fillId="0" borderId="38" xfId="0" applyNumberFormat="1" applyFont="1" applyFill="1" applyBorder="1" applyProtection="1">
      <protection locked="0"/>
    </xf>
    <xf numFmtId="0" fontId="4" fillId="0" borderId="149" xfId="0" applyFont="1" applyBorder="1" applyAlignment="1" applyProtection="1">
      <alignment horizontal="center"/>
    </xf>
    <xf numFmtId="0" fontId="4" fillId="0" borderId="150" xfId="0" applyFont="1" applyBorder="1" applyAlignment="1" applyProtection="1">
      <alignment horizontal="center"/>
    </xf>
    <xf numFmtId="37" fontId="4" fillId="0" borderId="151" xfId="69" applyNumberFormat="1" applyFont="1" applyFill="1" applyBorder="1"/>
    <xf numFmtId="37" fontId="4" fillId="0" borderId="149" xfId="69" applyNumberFormat="1" applyFont="1" applyFill="1" applyBorder="1"/>
    <xf numFmtId="37" fontId="4" fillId="0" borderId="150" xfId="0" applyNumberFormat="1" applyFont="1" applyFill="1" applyBorder="1" applyProtection="1"/>
    <xf numFmtId="37" fontId="4" fillId="0" borderId="149" xfId="0" applyNumberFormat="1" applyFont="1" applyFill="1" applyBorder="1" applyProtection="1"/>
    <xf numFmtId="37" fontId="47" fillId="0" borderId="149" xfId="0" applyNumberFormat="1" applyFont="1" applyFill="1" applyBorder="1" applyProtection="1"/>
    <xf numFmtId="0" fontId="0" fillId="0" borderId="0" xfId="0" quotePrefix="1" applyFill="1" applyBorder="1"/>
    <xf numFmtId="0" fontId="48" fillId="0" borderId="87" xfId="0" applyFont="1" applyBorder="1" applyAlignment="1" applyProtection="1"/>
    <xf numFmtId="5" fontId="47" fillId="0" borderId="89" xfId="0" applyNumberFormat="1" applyFont="1" applyBorder="1" applyAlignment="1" applyProtection="1">
      <alignment horizontal="center"/>
    </xf>
    <xf numFmtId="0" fontId="47" fillId="35" borderId="89" xfId="0" applyFont="1" applyFill="1" applyBorder="1" applyProtection="1"/>
    <xf numFmtId="37" fontId="47" fillId="0" borderId="89" xfId="0" applyNumberFormat="1" applyFont="1" applyFill="1" applyBorder="1" applyAlignment="1" applyProtection="1"/>
    <xf numFmtId="37" fontId="47" fillId="0" borderId="89" xfId="0" applyNumberFormat="1" applyFont="1" applyFill="1" applyBorder="1" applyProtection="1"/>
    <xf numFmtId="37" fontId="47" fillId="35" borderId="89" xfId="0" applyNumberFormat="1" applyFont="1" applyFill="1" applyBorder="1" applyProtection="1"/>
    <xf numFmtId="37" fontId="47" fillId="0" borderId="89" xfId="0" applyNumberFormat="1" applyFont="1" applyBorder="1" applyProtection="1"/>
    <xf numFmtId="5" fontId="47" fillId="0" borderId="89" xfId="0" applyNumberFormat="1" applyFont="1" applyBorder="1" applyProtection="1"/>
    <xf numFmtId="5" fontId="47" fillId="0" borderId="152" xfId="0" applyNumberFormat="1" applyFont="1" applyFill="1" applyBorder="1" applyAlignment="1" applyProtection="1">
      <alignment horizontal="centerContinuous"/>
    </xf>
    <xf numFmtId="0" fontId="47" fillId="35" borderId="153" xfId="0" applyFont="1" applyFill="1" applyBorder="1" applyProtection="1"/>
    <xf numFmtId="37" fontId="47" fillId="35" borderId="153" xfId="0" applyNumberFormat="1" applyFont="1" applyFill="1" applyBorder="1" applyProtection="1"/>
    <xf numFmtId="37" fontId="47" fillId="0" borderId="153" xfId="0" applyNumberFormat="1" applyFont="1" applyFill="1" applyBorder="1" applyProtection="1"/>
    <xf numFmtId="37" fontId="47" fillId="0" borderId="153" xfId="0" applyNumberFormat="1" applyFont="1" applyFill="1" applyBorder="1" applyAlignment="1" applyProtection="1"/>
    <xf numFmtId="37" fontId="47" fillId="0" borderId="153" xfId="0" applyNumberFormat="1" applyFont="1" applyBorder="1" applyProtection="1"/>
    <xf numFmtId="5" fontId="47" fillId="0" borderId="154" xfId="0" applyNumberFormat="1" applyFont="1" applyBorder="1" applyProtection="1"/>
    <xf numFmtId="0" fontId="47" fillId="0" borderId="87" xfId="0" applyFont="1" applyBorder="1" applyAlignment="1" applyProtection="1"/>
    <xf numFmtId="37" fontId="47" fillId="0" borderId="87" xfId="0" applyNumberFormat="1" applyFont="1" applyBorder="1" applyAlignment="1" applyProtection="1"/>
    <xf numFmtId="0" fontId="7" fillId="0" borderId="0" xfId="0" applyFont="1" applyBorder="1" applyProtection="1"/>
    <xf numFmtId="0" fontId="0" fillId="0" borderId="155" xfId="0" applyBorder="1"/>
    <xf numFmtId="0" fontId="0" fillId="0" borderId="156" xfId="0" applyBorder="1"/>
    <xf numFmtId="38" fontId="4" fillId="0" borderId="156" xfId="0" applyNumberFormat="1" applyFont="1" applyFill="1" applyBorder="1"/>
    <xf numFmtId="38" fontId="4" fillId="0" borderId="157" xfId="0" applyNumberFormat="1" applyFont="1" applyFill="1" applyBorder="1"/>
    <xf numFmtId="0" fontId="0" fillId="0" borderId="158" xfId="0" applyBorder="1"/>
    <xf numFmtId="38" fontId="4" fillId="0" borderId="148" xfId="0" applyNumberFormat="1" applyFont="1" applyFill="1" applyBorder="1"/>
    <xf numFmtId="0" fontId="0" fillId="0" borderId="159" xfId="0" applyBorder="1"/>
    <xf numFmtId="38" fontId="4" fillId="0" borderId="160" xfId="0" applyNumberFormat="1" applyFont="1" applyFill="1" applyBorder="1"/>
    <xf numFmtId="0" fontId="0" fillId="0" borderId="161" xfId="0" applyBorder="1" applyAlignment="1">
      <alignment horizontal="center"/>
    </xf>
    <xf numFmtId="38" fontId="4" fillId="0" borderId="162" xfId="0" applyNumberFormat="1" applyFont="1" applyFill="1" applyBorder="1" applyAlignment="1">
      <alignment horizontal="center"/>
    </xf>
    <xf numFmtId="38" fontId="4" fillId="0" borderId="148" xfId="0" applyNumberFormat="1" applyFont="1" applyFill="1" applyBorder="1" applyAlignment="1">
      <alignment horizontal="center"/>
    </xf>
    <xf numFmtId="0" fontId="0" fillId="0" borderId="163" xfId="0" applyBorder="1" applyAlignment="1">
      <alignment horizontal="center"/>
    </xf>
    <xf numFmtId="38" fontId="4" fillId="0" borderId="160" xfId="0" applyNumberFormat="1" applyFont="1" applyFill="1" applyBorder="1" applyAlignment="1">
      <alignment horizontal="center"/>
    </xf>
    <xf numFmtId="38" fontId="4" fillId="0" borderId="148" xfId="0" applyNumberFormat="1" applyFont="1" applyFill="1" applyBorder="1" applyProtection="1"/>
    <xf numFmtId="38" fontId="4" fillId="0" borderId="150" xfId="0" applyNumberFormat="1" applyFont="1" applyFill="1" applyBorder="1" applyProtection="1">
      <protection locked="0"/>
    </xf>
    <xf numFmtId="38" fontId="28" fillId="0" borderId="148" xfId="0" applyNumberFormat="1" applyFont="1" applyFill="1" applyBorder="1" applyProtection="1">
      <protection locked="0"/>
    </xf>
    <xf numFmtId="0" fontId="0" fillId="0" borderId="158" xfId="0" applyBorder="1" applyAlignment="1">
      <alignment horizontal="center"/>
    </xf>
    <xf numFmtId="38" fontId="4" fillId="51" borderId="164" xfId="0" applyNumberFormat="1" applyFont="1" applyFill="1" applyBorder="1" applyProtection="1"/>
    <xf numFmtId="38" fontId="28" fillId="0" borderId="165" xfId="0" applyNumberFormat="1" applyFont="1" applyFill="1" applyBorder="1" applyProtection="1">
      <protection locked="0"/>
    </xf>
    <xf numFmtId="38" fontId="4" fillId="51" borderId="148" xfId="0" applyNumberFormat="1" applyFont="1" applyFill="1" applyBorder="1" applyProtection="1"/>
    <xf numFmtId="37" fontId="4" fillId="0" borderId="149" xfId="0" applyNumberFormat="1" applyFont="1" applyFill="1" applyBorder="1" applyProtection="1">
      <protection locked="0"/>
    </xf>
    <xf numFmtId="0" fontId="0" fillId="0" borderId="166" xfId="0" applyBorder="1" applyAlignment="1">
      <alignment horizontal="center"/>
    </xf>
    <xf numFmtId="5" fontId="4" fillId="0" borderId="167" xfId="0" applyNumberFormat="1" applyFont="1" applyFill="1" applyBorder="1" applyProtection="1"/>
    <xf numFmtId="0" fontId="0" fillId="0" borderId="168" xfId="0" applyBorder="1"/>
    <xf numFmtId="0" fontId="0" fillId="0" borderId="148" xfId="0" applyFill="1" applyBorder="1" applyAlignment="1">
      <alignment horizontal="centerContinuous"/>
    </xf>
    <xf numFmtId="0" fontId="0" fillId="0" borderId="148" xfId="0" applyFill="1" applyBorder="1"/>
    <xf numFmtId="14" fontId="0" fillId="0" borderId="148" xfId="0" applyNumberFormat="1" applyFill="1" applyBorder="1"/>
    <xf numFmtId="0" fontId="16" fillId="0" borderId="148" xfId="0" applyFont="1" applyFill="1" applyBorder="1" applyAlignment="1">
      <alignment horizontal="centerContinuous" wrapText="1"/>
    </xf>
    <xf numFmtId="0" fontId="0" fillId="0" borderId="158" xfId="0" applyBorder="1" applyAlignment="1">
      <alignment horizontal="right"/>
    </xf>
    <xf numFmtId="0" fontId="0" fillId="0" borderId="169" xfId="0" applyBorder="1"/>
    <xf numFmtId="0" fontId="23" fillId="0" borderId="170" xfId="0" applyFont="1" applyBorder="1" applyAlignment="1" applyProtection="1">
      <alignment horizontal="left" wrapText="1"/>
      <protection locked="0"/>
    </xf>
    <xf numFmtId="0" fontId="0" fillId="0" borderId="170" xfId="0" applyFill="1" applyBorder="1"/>
    <xf numFmtId="0" fontId="0" fillId="0" borderId="171" xfId="0" applyFill="1" applyBorder="1"/>
    <xf numFmtId="0" fontId="0" fillId="0" borderId="157" xfId="0" applyBorder="1"/>
    <xf numFmtId="0" fontId="0" fillId="0" borderId="170" xfId="0" applyBorder="1"/>
    <xf numFmtId="0" fontId="0" fillId="0" borderId="171" xfId="0" applyBorder="1"/>
    <xf numFmtId="0" fontId="47" fillId="0" borderId="17" xfId="0" applyFont="1" applyBorder="1" applyAlignment="1" applyProtection="1">
      <alignment vertical="top"/>
    </xf>
    <xf numFmtId="0" fontId="47" fillId="35" borderId="172" xfId="0" applyFont="1" applyFill="1" applyBorder="1" applyProtection="1"/>
    <xf numFmtId="37" fontId="47" fillId="35" borderId="173" xfId="0" applyNumberFormat="1" applyFont="1" applyFill="1" applyBorder="1" applyProtection="1"/>
    <xf numFmtId="0" fontId="47" fillId="35" borderId="88" xfId="0" applyFont="1" applyFill="1" applyBorder="1" applyAlignment="1" applyProtection="1">
      <alignment horizontal="centerContinuous"/>
    </xf>
    <xf numFmtId="37" fontId="47" fillId="0" borderId="88" xfId="0" applyNumberFormat="1" applyFont="1" applyFill="1" applyBorder="1" applyAlignment="1" applyProtection="1"/>
    <xf numFmtId="37" fontId="47" fillId="0" borderId="86" xfId="0" applyNumberFormat="1" applyFont="1" applyFill="1" applyBorder="1" applyAlignment="1" applyProtection="1">
      <alignment horizontal="centerContinuous"/>
    </xf>
    <xf numFmtId="0" fontId="47" fillId="35" borderId="51" xfId="0" applyFont="1" applyFill="1" applyBorder="1" applyAlignment="1" applyProtection="1">
      <alignment horizontal="centerContinuous"/>
    </xf>
    <xf numFmtId="0" fontId="47" fillId="35" borderId="31" xfId="0" applyFont="1" applyFill="1" applyBorder="1" applyAlignment="1" applyProtection="1">
      <alignment horizontal="centerContinuous"/>
    </xf>
    <xf numFmtId="37" fontId="47" fillId="0" borderId="28" xfId="0" applyNumberFormat="1" applyFont="1" applyFill="1" applyBorder="1" applyAlignment="1" applyProtection="1">
      <alignment horizontal="centerContinuous"/>
    </xf>
    <xf numFmtId="0" fontId="47" fillId="0" borderId="28" xfId="0" applyFont="1" applyFill="1" applyBorder="1" applyAlignment="1" applyProtection="1">
      <alignment horizontal="centerContinuous"/>
    </xf>
    <xf numFmtId="5" fontId="47" fillId="0" borderId="12" xfId="0" applyNumberFormat="1" applyFont="1" applyBorder="1" applyProtection="1"/>
    <xf numFmtId="5" fontId="47" fillId="0" borderId="31" xfId="0" applyNumberFormat="1" applyFont="1" applyFill="1" applyBorder="1" applyProtection="1"/>
    <xf numFmtId="0" fontId="4" fillId="0" borderId="174" xfId="0" applyFont="1" applyBorder="1" applyAlignment="1" applyProtection="1">
      <alignment horizontal="center"/>
    </xf>
    <xf numFmtId="0" fontId="0" fillId="0" borderId="175" xfId="0" applyBorder="1"/>
    <xf numFmtId="0" fontId="0" fillId="0" borderId="176" xfId="0" applyBorder="1"/>
    <xf numFmtId="0" fontId="0" fillId="0" borderId="177" xfId="0" applyBorder="1"/>
    <xf numFmtId="37" fontId="0" fillId="0" borderId="178" xfId="69" applyNumberFormat="1" applyFont="1" applyBorder="1"/>
    <xf numFmtId="0" fontId="4" fillId="0" borderId="179" xfId="0" applyFont="1" applyBorder="1" applyAlignment="1" applyProtection="1">
      <alignment horizontal="center"/>
    </xf>
    <xf numFmtId="0" fontId="0" fillId="0" borderId="180" xfId="0" applyBorder="1"/>
    <xf numFmtId="0" fontId="0" fillId="0" borderId="181" xfId="0" applyBorder="1"/>
    <xf numFmtId="0" fontId="4" fillId="0" borderId="182" xfId="0" applyFont="1" applyBorder="1" applyAlignment="1" applyProtection="1">
      <alignment horizontal="center"/>
    </xf>
    <xf numFmtId="0" fontId="47" fillId="29" borderId="183" xfId="0" applyFont="1" applyFill="1" applyBorder="1" applyProtection="1"/>
    <xf numFmtId="0" fontId="47" fillId="29" borderId="184" xfId="0" applyFont="1" applyFill="1" applyBorder="1" applyProtection="1"/>
    <xf numFmtId="0" fontId="0" fillId="0" borderId="185" xfId="0" applyBorder="1"/>
    <xf numFmtId="37" fontId="4" fillId="0" borderId="186" xfId="69" applyNumberFormat="1" applyFont="1" applyBorder="1" applyAlignment="1" applyProtection="1">
      <alignment horizontal="right"/>
    </xf>
    <xf numFmtId="0" fontId="0" fillId="0" borderId="0" xfId="0" applyFont="1" applyFill="1" applyBorder="1" applyProtection="1"/>
    <xf numFmtId="42" fontId="0" fillId="0" borderId="38" xfId="69" applyNumberFormat="1" applyFont="1" applyBorder="1"/>
    <xf numFmtId="0" fontId="0" fillId="0" borderId="59" xfId="0" applyFont="1" applyBorder="1" applyAlignment="1" applyProtection="1">
      <alignment wrapText="1"/>
    </xf>
    <xf numFmtId="10" fontId="4" fillId="0" borderId="25" xfId="0" applyNumberFormat="1" applyFont="1" applyFill="1" applyBorder="1" applyAlignment="1" applyProtection="1">
      <alignment horizontal="center"/>
    </xf>
    <xf numFmtId="10" fontId="4" fillId="0" borderId="31" xfId="0" applyNumberFormat="1" applyFont="1" applyFill="1" applyBorder="1" applyAlignment="1" applyProtection="1">
      <alignment horizontal="center"/>
    </xf>
    <xf numFmtId="14" fontId="4" fillId="0" borderId="41" xfId="0" applyNumberFormat="1" applyFont="1" applyBorder="1" applyAlignment="1" applyProtection="1"/>
    <xf numFmtId="14" fontId="4" fillId="0" borderId="27" xfId="0" applyNumberFormat="1" applyFont="1" applyBorder="1" applyAlignment="1" applyProtection="1"/>
    <xf numFmtId="14" fontId="4" fillId="0" borderId="41" xfId="0" applyNumberFormat="1" applyFont="1" applyFill="1" applyBorder="1" applyAlignment="1" applyProtection="1"/>
    <xf numFmtId="14" fontId="4" fillId="0" borderId="27" xfId="0" applyNumberFormat="1" applyFont="1" applyFill="1" applyBorder="1" applyAlignment="1" applyProtection="1"/>
    <xf numFmtId="0" fontId="4" fillId="0" borderId="27" xfId="0" applyFont="1" applyBorder="1" applyAlignment="1" applyProtection="1"/>
    <xf numFmtId="0" fontId="4" fillId="0" borderId="41" xfId="0" applyFont="1" applyBorder="1" applyAlignment="1" applyProtection="1"/>
    <xf numFmtId="37" fontId="4" fillId="0" borderId="189" xfId="0" applyNumberFormat="1" applyFont="1" applyFill="1" applyBorder="1" applyProtection="1"/>
    <xf numFmtId="5" fontId="4" fillId="0" borderId="190" xfId="0" applyNumberFormat="1" applyFont="1" applyFill="1" applyBorder="1" applyProtection="1"/>
    <xf numFmtId="0" fontId="4" fillId="0" borderId="191" xfId="0" applyFont="1" applyBorder="1" applyAlignment="1" applyProtection="1"/>
    <xf numFmtId="0" fontId="4" fillId="0" borderId="190" xfId="0" applyFont="1" applyBorder="1" applyAlignment="1" applyProtection="1"/>
    <xf numFmtId="5" fontId="4" fillId="0" borderId="62" xfId="0" applyNumberFormat="1" applyFont="1" applyFill="1" applyBorder="1" applyProtection="1"/>
    <xf numFmtId="177" fontId="28" fillId="0" borderId="28" xfId="109" applyNumberFormat="1" applyFont="1" applyFill="1" applyBorder="1" applyProtection="1">
      <protection locked="0"/>
    </xf>
    <xf numFmtId="1" fontId="4" fillId="0" borderId="28" xfId="0" applyNumberFormat="1" applyFont="1" applyBorder="1"/>
    <xf numFmtId="5" fontId="28" fillId="0" borderId="28" xfId="109" applyNumberFormat="1" applyFont="1" applyFill="1" applyBorder="1" applyProtection="1">
      <protection locked="0"/>
    </xf>
    <xf numFmtId="38" fontId="1" fillId="0" borderId="16" xfId="105" applyNumberFormat="1" applyFont="1" applyFill="1" applyBorder="1" applyAlignment="1" applyProtection="1"/>
    <xf numFmtId="38" fontId="1" fillId="0" borderId="18" xfId="105" applyNumberFormat="1" applyFont="1" applyFill="1" applyBorder="1" applyAlignment="1" applyProtection="1"/>
    <xf numFmtId="38" fontId="1" fillId="0" borderId="36" xfId="105" applyNumberFormat="1" applyFont="1" applyFill="1" applyBorder="1" applyAlignment="1" applyProtection="1"/>
    <xf numFmtId="0" fontId="1" fillId="0" borderId="28" xfId="105" applyFont="1" applyBorder="1" applyAlignment="1" applyProtection="1"/>
    <xf numFmtId="0" fontId="1" fillId="0" borderId="72" xfId="105" applyFont="1" applyBorder="1" applyAlignment="1" applyProtection="1"/>
    <xf numFmtId="0" fontId="1" fillId="0" borderId="28" xfId="0" applyFont="1" applyBorder="1" applyAlignment="1" applyProtection="1"/>
    <xf numFmtId="3" fontId="105" fillId="0" borderId="24" xfId="0" applyNumberFormat="1" applyFont="1" applyBorder="1" applyAlignment="1" applyProtection="1">
      <alignment horizontal="center"/>
      <protection locked="0"/>
    </xf>
    <xf numFmtId="3" fontId="105" fillId="0" borderId="0" xfId="0" applyNumberFormat="1" applyFont="1" applyBorder="1" applyAlignment="1" applyProtection="1">
      <alignment horizontal="center"/>
      <protection locked="0"/>
    </xf>
    <xf numFmtId="3" fontId="152" fillId="0" borderId="192" xfId="0" applyNumberFormat="1" applyFont="1" applyBorder="1" applyAlignment="1" applyProtection="1">
      <alignment horizontal="center"/>
      <protection locked="0"/>
    </xf>
    <xf numFmtId="3" fontId="152" fillId="0" borderId="193" xfId="0" applyNumberFormat="1" applyFont="1" applyBorder="1" applyAlignment="1" applyProtection="1">
      <alignment horizontal="center"/>
      <protection locked="0"/>
    </xf>
    <xf numFmtId="3" fontId="152" fillId="0" borderId="194" xfId="0" applyNumberFormat="1" applyFont="1" applyBorder="1" applyAlignment="1" applyProtection="1">
      <alignment horizontal="center"/>
      <protection locked="0"/>
    </xf>
    <xf numFmtId="49" fontId="89" fillId="0" borderId="49" xfId="0" applyNumberFormat="1" applyFont="1" applyBorder="1" applyAlignment="1">
      <alignment horizontal="center"/>
    </xf>
    <xf numFmtId="0" fontId="89" fillId="0" borderId="49" xfId="0" applyNumberFormat="1" applyFont="1" applyBorder="1" applyAlignment="1">
      <alignment horizontal="center"/>
    </xf>
    <xf numFmtId="0" fontId="89" fillId="0" borderId="44" xfId="0" applyNumberFormat="1" applyFont="1" applyBorder="1" applyAlignment="1">
      <alignment horizontal="center"/>
    </xf>
    <xf numFmtId="17" fontId="4" fillId="0" borderId="15" xfId="0" applyNumberFormat="1" applyFont="1" applyBorder="1" applyAlignment="1"/>
    <xf numFmtId="14" fontId="89" fillId="0" borderId="35" xfId="0" applyNumberFormat="1" applyFont="1" applyBorder="1" applyAlignment="1" applyProtection="1">
      <alignment horizontal="center"/>
      <protection locked="0"/>
    </xf>
    <xf numFmtId="49" fontId="89" fillId="0" borderId="35" xfId="0" applyNumberFormat="1" applyFont="1" applyBorder="1" applyAlignment="1" applyProtection="1">
      <alignment horizontal="center"/>
      <protection locked="0"/>
    </xf>
    <xf numFmtId="0" fontId="2" fillId="0" borderId="32" xfId="0" applyNumberFormat="1" applyFont="1" applyBorder="1" applyAlignment="1">
      <alignment horizontal="centerContinuous"/>
    </xf>
    <xf numFmtId="0" fontId="89" fillId="0" borderId="32" xfId="0" applyNumberFormat="1" applyFont="1" applyBorder="1" applyAlignment="1"/>
    <xf numFmtId="0" fontId="89" fillId="0" borderId="25" xfId="0" applyNumberFormat="1" applyFont="1" applyBorder="1" applyAlignment="1">
      <alignment horizontal="center"/>
    </xf>
    <xf numFmtId="0" fontId="89" fillId="0" borderId="28" xfId="0" applyNumberFormat="1" applyFont="1" applyBorder="1" applyAlignment="1">
      <alignment horizontal="center"/>
    </xf>
    <xf numFmtId="3" fontId="89" fillId="0" borderId="28" xfId="0" applyNumberFormat="1" applyFont="1" applyBorder="1" applyAlignment="1">
      <alignment horizontal="center"/>
    </xf>
    <xf numFmtId="0" fontId="89" fillId="0" borderId="28" xfId="0" applyNumberFormat="1" applyFont="1" applyBorder="1" applyAlignment="1">
      <alignment horizontal="left"/>
    </xf>
    <xf numFmtId="3" fontId="89" fillId="0" borderId="28" xfId="0" applyNumberFormat="1" applyFont="1" applyBorder="1" applyAlignment="1" applyProtection="1">
      <alignment horizontal="center"/>
      <protection locked="0"/>
    </xf>
    <xf numFmtId="49" fontId="89" fillId="0" borderId="28" xfId="0" applyNumberFormat="1" applyFont="1" applyBorder="1" applyAlignment="1" applyProtection="1">
      <alignment horizontal="center"/>
      <protection locked="0"/>
    </xf>
    <xf numFmtId="0" fontId="4" fillId="0" borderId="28" xfId="0" applyNumberFormat="1" applyFont="1" applyBorder="1" applyAlignment="1"/>
    <xf numFmtId="0" fontId="89" fillId="0" borderId="28" xfId="0" applyNumberFormat="1" applyFont="1" applyBorder="1" applyAlignment="1"/>
    <xf numFmtId="0" fontId="89" fillId="0" borderId="31" xfId="0" applyNumberFormat="1" applyFont="1" applyBorder="1" applyAlignment="1"/>
    <xf numFmtId="0" fontId="96" fillId="0" borderId="6" xfId="0" applyNumberFormat="1" applyFont="1" applyBorder="1" applyAlignment="1">
      <alignment horizontal="center"/>
    </xf>
    <xf numFmtId="0" fontId="96" fillId="0" borderId="27" xfId="0" applyNumberFormat="1" applyFont="1" applyBorder="1" applyAlignment="1">
      <alignment horizontal="center"/>
    </xf>
    <xf numFmtId="0" fontId="4" fillId="0" borderId="39" xfId="0" applyNumberFormat="1" applyFont="1" applyBorder="1" applyAlignment="1"/>
    <xf numFmtId="0" fontId="4" fillId="0" borderId="12" xfId="0" applyNumberFormat="1" applyFont="1" applyBorder="1" applyAlignment="1"/>
    <xf numFmtId="0" fontId="4" fillId="0" borderId="0" xfId="0" applyNumberFormat="1" applyFont="1" applyBorder="1"/>
    <xf numFmtId="0" fontId="4" fillId="0" borderId="12" xfId="0" applyNumberFormat="1" applyFont="1" applyBorder="1"/>
    <xf numFmtId="49" fontId="55" fillId="0" borderId="25" xfId="0" applyNumberFormat="1" applyFont="1" applyBorder="1" applyAlignment="1">
      <alignment horizontal="center"/>
    </xf>
    <xf numFmtId="49" fontId="55" fillId="0" borderId="28" xfId="0" applyNumberFormat="1" applyFont="1" applyBorder="1" applyAlignment="1">
      <alignment horizontal="center"/>
    </xf>
    <xf numFmtId="0" fontId="55" fillId="0" borderId="28" xfId="0" applyNumberFormat="1" applyFont="1" applyBorder="1" applyAlignment="1">
      <alignment horizontal="center"/>
    </xf>
    <xf numFmtId="5" fontId="155" fillId="0" borderId="53" xfId="0" applyNumberFormat="1" applyFont="1" applyBorder="1" applyProtection="1">
      <protection locked="0"/>
    </xf>
    <xf numFmtId="37" fontId="155" fillId="44" borderId="24" xfId="0" applyNumberFormat="1" applyFont="1" applyFill="1" applyBorder="1" applyProtection="1"/>
    <xf numFmtId="37" fontId="155" fillId="44" borderId="37" xfId="0" applyNumberFormat="1" applyFont="1" applyFill="1" applyBorder="1" applyProtection="1"/>
    <xf numFmtId="0" fontId="155" fillId="44" borderId="12" xfId="0" applyFont="1" applyFill="1" applyBorder="1" applyProtection="1"/>
    <xf numFmtId="37" fontId="155" fillId="44" borderId="35" xfId="0" applyNumberFormat="1" applyFont="1" applyFill="1" applyBorder="1" applyProtection="1"/>
    <xf numFmtId="37" fontId="155" fillId="0" borderId="53" xfId="0" applyNumberFormat="1" applyFont="1" applyBorder="1" applyProtection="1">
      <protection locked="0"/>
    </xf>
    <xf numFmtId="37" fontId="155" fillId="44" borderId="35" xfId="0" applyNumberFormat="1" applyFont="1" applyFill="1" applyBorder="1" applyProtection="1">
      <protection locked="0"/>
    </xf>
    <xf numFmtId="37" fontId="155" fillId="44" borderId="53" xfId="0" applyNumberFormat="1" applyFont="1" applyFill="1" applyBorder="1" applyProtection="1"/>
    <xf numFmtId="37" fontId="155" fillId="0" borderId="53" xfId="0" applyNumberFormat="1" applyFont="1" applyBorder="1" applyProtection="1"/>
    <xf numFmtId="37" fontId="155" fillId="44" borderId="39" xfId="0" applyNumberFormat="1" applyFont="1" applyFill="1" applyBorder="1" applyProtection="1"/>
    <xf numFmtId="37" fontId="155" fillId="0" borderId="37" xfId="0" applyNumberFormat="1" applyFont="1" applyBorder="1" applyProtection="1"/>
    <xf numFmtId="37" fontId="155" fillId="0" borderId="39" xfId="0" applyNumberFormat="1" applyFont="1" applyBorder="1" applyProtection="1"/>
    <xf numFmtId="37" fontId="155" fillId="44" borderId="59" xfId="0" applyNumberFormat="1" applyFont="1" applyFill="1" applyBorder="1" applyProtection="1"/>
    <xf numFmtId="0" fontId="4" fillId="0" borderId="0" xfId="0" applyFont="1" applyAlignment="1">
      <alignment horizontal="left"/>
    </xf>
    <xf numFmtId="0" fontId="1" fillId="0" borderId="59" xfId="0" applyFont="1" applyBorder="1" applyProtection="1"/>
    <xf numFmtId="176" fontId="47" fillId="0" borderId="25" xfId="108" applyNumberFormat="1" applyFont="1" applyBorder="1"/>
    <xf numFmtId="176" fontId="47" fillId="0" borderId="28" xfId="108" applyNumberFormat="1" applyFont="1" applyBorder="1"/>
    <xf numFmtId="176" fontId="4" fillId="0" borderId="0" xfId="107" applyNumberFormat="1" applyFont="1"/>
    <xf numFmtId="3" fontId="4" fillId="0" borderId="0" xfId="0" applyNumberFormat="1" applyFont="1" applyBorder="1" applyAlignment="1"/>
    <xf numFmtId="6" fontId="5" fillId="0" borderId="0" xfId="69" applyNumberFormat="1" applyFont="1" applyFill="1" applyProtection="1"/>
    <xf numFmtId="0" fontId="5" fillId="0" borderId="18" xfId="0" applyFont="1" applyFill="1" applyBorder="1" applyProtection="1"/>
    <xf numFmtId="7" fontId="5" fillId="0" borderId="0" xfId="0" applyNumberFormat="1" applyFont="1" applyFill="1" applyProtection="1"/>
    <xf numFmtId="5" fontId="5" fillId="0" borderId="18" xfId="0" applyNumberFormat="1" applyFont="1" applyFill="1" applyBorder="1" applyProtection="1"/>
    <xf numFmtId="0" fontId="5" fillId="0" borderId="0" xfId="0" applyFont="1" applyFill="1" applyProtection="1"/>
    <xf numFmtId="43" fontId="5" fillId="0" borderId="0" xfId="0" applyNumberFormat="1" applyFont="1" applyFill="1" applyProtection="1"/>
    <xf numFmtId="5" fontId="5" fillId="0" borderId="0" xfId="0" applyNumberFormat="1" applyFont="1" applyFill="1" applyProtection="1"/>
    <xf numFmtId="5" fontId="0" fillId="0" borderId="196" xfId="0" applyNumberFormat="1" applyFill="1" applyBorder="1" applyProtection="1"/>
    <xf numFmtId="5" fontId="4" fillId="0" borderId="51" xfId="109" applyNumberFormat="1" applyFont="1" applyFill="1" applyBorder="1" applyProtection="1"/>
    <xf numFmtId="37" fontId="28" fillId="0" borderId="36" xfId="109" applyNumberFormat="1" applyFont="1" applyFill="1" applyBorder="1" applyProtection="1">
      <protection locked="0"/>
    </xf>
    <xf numFmtId="37" fontId="4" fillId="0" borderId="54" xfId="109" applyNumberFormat="1" applyFont="1" applyFill="1" applyBorder="1" applyProtection="1"/>
    <xf numFmtId="176" fontId="28" fillId="0" borderId="36" xfId="69" applyNumberFormat="1" applyFont="1" applyFill="1" applyBorder="1"/>
    <xf numFmtId="39" fontId="1" fillId="0" borderId="0" xfId="0" applyNumberFormat="1" applyFont="1" applyFill="1"/>
    <xf numFmtId="4" fontId="0" fillId="0" borderId="0" xfId="0" applyNumberFormat="1" applyFill="1"/>
    <xf numFmtId="0" fontId="4" fillId="58" borderId="20" xfId="0" applyFont="1" applyFill="1" applyBorder="1" applyAlignment="1" applyProtection="1">
      <alignment horizontal="center"/>
    </xf>
    <xf numFmtId="0" fontId="4" fillId="58" borderId="195" xfId="0" applyFont="1" applyFill="1" applyBorder="1" applyAlignment="1" applyProtection="1">
      <alignment horizontal="center"/>
    </xf>
    <xf numFmtId="0" fontId="0" fillId="58" borderId="195" xfId="0" applyFill="1" applyBorder="1" applyAlignment="1" applyProtection="1">
      <alignment horizontal="center"/>
    </xf>
    <xf numFmtId="0" fontId="6" fillId="0" borderId="17" xfId="0" applyFont="1" applyBorder="1" applyAlignment="1" applyProtection="1">
      <alignment horizontal="center"/>
    </xf>
    <xf numFmtId="0" fontId="6" fillId="0" borderId="0" xfId="0" applyFont="1" applyBorder="1" applyAlignment="1" applyProtection="1">
      <alignment horizontal="center"/>
    </xf>
    <xf numFmtId="0" fontId="6" fillId="0" borderId="18" xfId="0" applyFont="1" applyBorder="1" applyAlignment="1" applyProtection="1">
      <alignment horizontal="center"/>
    </xf>
    <xf numFmtId="0" fontId="47" fillId="0" borderId="0" xfId="0" applyFont="1" applyAlignment="1" applyProtection="1">
      <alignment horizontal="center"/>
    </xf>
    <xf numFmtId="0" fontId="47" fillId="0" borderId="0" xfId="0" applyFont="1" applyAlignment="1" applyProtection="1">
      <alignment horizontal="left" wrapText="1"/>
    </xf>
    <xf numFmtId="0" fontId="47" fillId="0" borderId="18" xfId="0" applyFont="1" applyBorder="1" applyAlignment="1" applyProtection="1">
      <alignment horizontal="left" wrapText="1"/>
    </xf>
    <xf numFmtId="0" fontId="155" fillId="0" borderId="0" xfId="0" applyFont="1" applyFill="1" applyAlignment="1" applyProtection="1">
      <alignment horizontal="left" wrapText="1"/>
    </xf>
    <xf numFmtId="0" fontId="0" fillId="0" borderId="0" xfId="0" applyAlignment="1">
      <alignment wrapText="1"/>
    </xf>
    <xf numFmtId="0" fontId="0" fillId="0" borderId="18" xfId="0" applyBorder="1" applyAlignment="1">
      <alignment wrapText="1"/>
    </xf>
    <xf numFmtId="0" fontId="5" fillId="0" borderId="79" xfId="0" applyFont="1" applyBorder="1" applyAlignment="1">
      <alignment horizontal="center"/>
    </xf>
    <xf numFmtId="0" fontId="5" fillId="0" borderId="0" xfId="0" applyFont="1" applyBorder="1" applyAlignment="1">
      <alignment horizontal="center"/>
    </xf>
    <xf numFmtId="0" fontId="5" fillId="0" borderId="80" xfId="0" applyFont="1" applyBorder="1" applyAlignment="1">
      <alignment horizontal="center"/>
    </xf>
    <xf numFmtId="0" fontId="48" fillId="0" borderId="138" xfId="0" applyFont="1" applyBorder="1" applyAlignment="1" applyProtection="1">
      <alignment horizontal="center"/>
    </xf>
    <xf numFmtId="0" fontId="48" fillId="0" borderId="0" xfId="0" applyFont="1" applyBorder="1" applyAlignment="1" applyProtection="1">
      <alignment horizontal="center"/>
    </xf>
    <xf numFmtId="0" fontId="48" fillId="0" borderId="135" xfId="0" applyFont="1" applyBorder="1" applyAlignment="1" applyProtection="1">
      <alignment horizontal="center"/>
    </xf>
    <xf numFmtId="0" fontId="47" fillId="0" borderId="37" xfId="0" applyFont="1" applyBorder="1" applyAlignment="1" applyProtection="1">
      <alignment horizontal="center"/>
    </xf>
    <xf numFmtId="0" fontId="47" fillId="0" borderId="130" xfId="0" applyFont="1" applyBorder="1" applyAlignment="1" applyProtection="1">
      <alignment horizontal="center"/>
    </xf>
    <xf numFmtId="37" fontId="47" fillId="0" borderId="37" xfId="0" applyNumberFormat="1" applyFont="1" applyBorder="1" applyAlignment="1" applyProtection="1">
      <alignment horizontal="center"/>
    </xf>
    <xf numFmtId="37" fontId="47" fillId="0" borderId="130" xfId="0" applyNumberFormat="1" applyFont="1" applyBorder="1" applyAlignment="1" applyProtection="1">
      <alignment horizontal="center"/>
    </xf>
    <xf numFmtId="0" fontId="5" fillId="0" borderId="17" xfId="0" applyFont="1" applyBorder="1" applyAlignment="1" applyProtection="1">
      <alignment horizontal="center"/>
    </xf>
    <xf numFmtId="0" fontId="5" fillId="0" borderId="0" xfId="0" applyFont="1" applyBorder="1" applyAlignment="1" applyProtection="1">
      <alignment horizontal="center"/>
    </xf>
    <xf numFmtId="0" fontId="5" fillId="0" borderId="18" xfId="0" applyFont="1" applyBorder="1" applyAlignment="1" applyProtection="1">
      <alignment horizontal="center"/>
    </xf>
    <xf numFmtId="0" fontId="39" fillId="29" borderId="17" xfId="0" applyFont="1" applyFill="1" applyBorder="1" applyAlignment="1" applyProtection="1">
      <alignment horizontal="center"/>
    </xf>
    <xf numFmtId="0" fontId="39" fillId="29" borderId="0" xfId="0" applyFont="1" applyFill="1" applyBorder="1" applyAlignment="1" applyProtection="1">
      <alignment horizontal="center"/>
    </xf>
    <xf numFmtId="0" fontId="39" fillId="29" borderId="18" xfId="0" applyFont="1" applyFill="1" applyBorder="1" applyAlignment="1" applyProtection="1">
      <alignment horizontal="center"/>
    </xf>
    <xf numFmtId="0" fontId="4" fillId="0" borderId="23" xfId="0" applyFont="1" applyBorder="1" applyAlignment="1" applyProtection="1">
      <alignment horizontal="center"/>
    </xf>
    <xf numFmtId="0" fontId="4" fillId="0" borderId="24" xfId="0" applyFont="1" applyBorder="1" applyAlignment="1" applyProtection="1">
      <alignment horizontal="center"/>
    </xf>
    <xf numFmtId="0" fontId="4" fillId="0" borderId="6" xfId="0" applyFont="1" applyBorder="1" applyAlignment="1" applyProtection="1">
      <alignment horizontal="center"/>
    </xf>
    <xf numFmtId="0" fontId="4" fillId="0" borderId="17" xfId="0" applyFont="1" applyBorder="1" applyAlignment="1" applyProtection="1">
      <alignment horizontal="center"/>
    </xf>
    <xf numFmtId="0" fontId="4" fillId="0" borderId="0" xfId="0" applyFont="1" applyAlignment="1" applyProtection="1">
      <alignment horizontal="center"/>
    </xf>
    <xf numFmtId="0" fontId="4" fillId="0" borderId="27" xfId="0" applyFont="1" applyBorder="1" applyAlignment="1" applyProtection="1">
      <alignment horizontal="center"/>
    </xf>
    <xf numFmtId="5" fontId="4" fillId="0" borderId="0" xfId="0" applyNumberFormat="1" applyFont="1" applyAlignment="1" applyProtection="1">
      <alignment horizontal="center"/>
    </xf>
    <xf numFmtId="0" fontId="4" fillId="0" borderId="53" xfId="0" applyFont="1" applyBorder="1" applyAlignment="1" applyProtection="1">
      <alignment horizontal="center"/>
    </xf>
    <xf numFmtId="0" fontId="4" fillId="0" borderId="46" xfId="0" applyFont="1" applyBorder="1" applyAlignment="1" applyProtection="1">
      <alignment horizontal="center"/>
    </xf>
    <xf numFmtId="0" fontId="4" fillId="0" borderId="0" xfId="0" applyFont="1" applyAlignment="1">
      <alignment horizontal="left"/>
    </xf>
    <xf numFmtId="0" fontId="4" fillId="0" borderId="18" xfId="0" applyFont="1" applyBorder="1" applyAlignment="1">
      <alignment horizontal="left"/>
    </xf>
    <xf numFmtId="0" fontId="0" fillId="0" borderId="158" xfId="0" applyBorder="1" applyAlignment="1">
      <alignment horizontal="center"/>
    </xf>
    <xf numFmtId="0" fontId="0" fillId="0" borderId="0" xfId="0" applyBorder="1" applyAlignment="1">
      <alignment horizontal="center"/>
    </xf>
    <xf numFmtId="0" fontId="0" fillId="0" borderId="148" xfId="0" applyBorder="1" applyAlignment="1">
      <alignment horizontal="center"/>
    </xf>
    <xf numFmtId="0" fontId="5" fillId="0" borderId="17" xfId="0" applyFont="1" applyBorder="1" applyAlignment="1">
      <alignment horizontal="center"/>
    </xf>
    <xf numFmtId="0" fontId="5" fillId="0" borderId="18" xfId="0" applyFont="1" applyBorder="1" applyAlignment="1">
      <alignment horizontal="center"/>
    </xf>
    <xf numFmtId="0" fontId="66" fillId="0" borderId="158" xfId="0" applyFont="1" applyBorder="1" applyAlignment="1" applyProtection="1">
      <alignment horizontal="center"/>
      <protection locked="0"/>
    </xf>
    <xf numFmtId="0" fontId="66" fillId="0" borderId="0" xfId="0" applyFont="1" applyBorder="1" applyAlignment="1" applyProtection="1">
      <alignment horizontal="center"/>
      <protection locked="0"/>
    </xf>
    <xf numFmtId="0" fontId="66" fillId="0" borderId="148" xfId="0" applyFont="1" applyBorder="1" applyAlignment="1" applyProtection="1">
      <alignment horizontal="center"/>
      <protection locked="0"/>
    </xf>
    <xf numFmtId="0" fontId="5" fillId="0" borderId="158" xfId="0" applyFont="1" applyBorder="1" applyAlignment="1">
      <alignment horizontal="center"/>
    </xf>
    <xf numFmtId="0" fontId="5" fillId="0" borderId="148" xfId="0" applyFont="1" applyBorder="1" applyAlignment="1">
      <alignment horizontal="center"/>
    </xf>
    <xf numFmtId="0" fontId="91" fillId="0" borderId="0" xfId="0" applyFont="1" applyFill="1" applyAlignment="1" applyProtection="1">
      <alignment horizontal="center"/>
    </xf>
    <xf numFmtId="0" fontId="5" fillId="0" borderId="17" xfId="105" applyFont="1" applyBorder="1" applyAlignment="1" applyProtection="1">
      <alignment horizontal="center"/>
    </xf>
    <xf numFmtId="0" fontId="5" fillId="0" borderId="0" xfId="105" applyFont="1" applyBorder="1" applyAlignment="1" applyProtection="1">
      <alignment horizontal="center"/>
    </xf>
    <xf numFmtId="0" fontId="5" fillId="0" borderId="18" xfId="105" applyFont="1" applyBorder="1" applyAlignment="1" applyProtection="1">
      <alignment horizontal="center"/>
    </xf>
    <xf numFmtId="0" fontId="0" fillId="0" borderId="0" xfId="0" applyAlignment="1">
      <alignment horizontal="left"/>
    </xf>
    <xf numFmtId="0" fontId="0" fillId="0" borderId="18" xfId="0" applyBorder="1" applyAlignment="1"/>
    <xf numFmtId="0" fontId="0" fillId="0" borderId="0" xfId="0" applyAlignment="1">
      <alignment horizontal="center"/>
    </xf>
    <xf numFmtId="0" fontId="0" fillId="0" borderId="18" xfId="0" applyBorder="1" applyAlignment="1">
      <alignment horizontal="left"/>
    </xf>
    <xf numFmtId="0" fontId="0" fillId="0" borderId="0" xfId="0" applyAlignment="1"/>
    <xf numFmtId="0" fontId="0" fillId="0" borderId="24" xfId="0" applyBorder="1" applyAlignment="1">
      <alignment horizontal="left"/>
    </xf>
    <xf numFmtId="0" fontId="0" fillId="0" borderId="26" xfId="0" applyBorder="1" applyAlignment="1">
      <alignment horizontal="left"/>
    </xf>
    <xf numFmtId="0" fontId="89" fillId="0" borderId="35" xfId="0" applyNumberFormat="1" applyFont="1" applyBorder="1" applyAlignment="1">
      <alignment horizontal="center"/>
    </xf>
    <xf numFmtId="0" fontId="89" fillId="0" borderId="27" xfId="0" applyNumberFormat="1" applyFont="1" applyBorder="1" applyAlignment="1">
      <alignment horizontal="center"/>
    </xf>
    <xf numFmtId="0" fontId="89" fillId="0" borderId="37" xfId="0" applyNumberFormat="1" applyFont="1" applyBorder="1" applyAlignment="1">
      <alignment horizontal="center"/>
    </xf>
    <xf numFmtId="0" fontId="89" fillId="0" borderId="6" xfId="0" applyNumberFormat="1" applyFont="1" applyBorder="1" applyAlignment="1">
      <alignment horizontal="center"/>
    </xf>
  </cellXfs>
  <cellStyles count="185">
    <cellStyle name="_Column1" xfId="1"/>
    <cellStyle name="_Column2" xfId="2"/>
    <cellStyle name="_Column3" xfId="3"/>
    <cellStyle name="_Column4" xfId="4"/>
    <cellStyle name="_Column5" xfId="5"/>
    <cellStyle name="_Column6" xfId="6"/>
    <cellStyle name="_Column7" xfId="7"/>
    <cellStyle name="_Data" xfId="8"/>
    <cellStyle name="_Data_Cerberus" xfId="9"/>
    <cellStyle name="_Header" xfId="10"/>
    <cellStyle name="_Row1" xfId="11"/>
    <cellStyle name="_Row2" xfId="12"/>
    <cellStyle name="_Row3" xfId="13"/>
    <cellStyle name="_Row4" xfId="14"/>
    <cellStyle name="_Row5" xfId="15"/>
    <cellStyle name="_Row6" xfId="16"/>
    <cellStyle name="_Row7" xfId="17"/>
    <cellStyle name="_TableSuperHead" xfId="18"/>
    <cellStyle name="£ BP" xfId="20"/>
    <cellStyle name="¥ JY" xfId="21"/>
    <cellStyle name="=C:\WINNT35\SYSTEM32\COMMAND.COM" xfId="19"/>
    <cellStyle name="1" xfId="22"/>
    <cellStyle name="20% - Accent1" xfId="23" builtinId="30" customBuiltin="1"/>
    <cellStyle name="20% - Accent2" xfId="24" builtinId="34" customBuiltin="1"/>
    <cellStyle name="20% - Accent3" xfId="25" builtinId="38" customBuiltin="1"/>
    <cellStyle name="20% - Accent4" xfId="26" builtinId="42" customBuiltin="1"/>
    <cellStyle name="20% - Accent5" xfId="27" builtinId="46" customBuiltin="1"/>
    <cellStyle name="20% - Accent6" xfId="28" builtinId="50" customBuiltin="1"/>
    <cellStyle name="40% - Accent1" xfId="29" builtinId="31" customBuiltin="1"/>
    <cellStyle name="40% - Accent2" xfId="30" builtinId="35" customBuiltin="1"/>
    <cellStyle name="40% - Accent3" xfId="31" builtinId="39" customBuiltin="1"/>
    <cellStyle name="40% - Accent4" xfId="32" builtinId="43" customBuiltin="1"/>
    <cellStyle name="40% - Accent5" xfId="33" builtinId="47" customBuiltin="1"/>
    <cellStyle name="40% - Accent6" xfId="34" builtinId="51" customBuiltin="1"/>
    <cellStyle name="60% - Accent1" xfId="35" builtinId="32" customBuiltin="1"/>
    <cellStyle name="60% - Accent2" xfId="36" builtinId="36" customBuiltin="1"/>
    <cellStyle name="60% - Accent3" xfId="37" builtinId="40" customBuiltin="1"/>
    <cellStyle name="60% - Accent4" xfId="38" builtinId="44" customBuiltin="1"/>
    <cellStyle name="60% - Accent5" xfId="39" builtinId="48" customBuiltin="1"/>
    <cellStyle name="60% - Accent6" xfId="40" builtinId="52" customBuiltin="1"/>
    <cellStyle name="Accent1" xfId="41" builtinId="29" customBuiltin="1"/>
    <cellStyle name="Accent2" xfId="42" builtinId="33" customBuiltin="1"/>
    <cellStyle name="Accent3" xfId="43" builtinId="37" customBuiltin="1"/>
    <cellStyle name="Accent4" xfId="44" builtinId="41" customBuiltin="1"/>
    <cellStyle name="Accent5" xfId="45" builtinId="45" customBuiltin="1"/>
    <cellStyle name="Accent6" xfId="46" builtinId="49" customBuiltin="1"/>
    <cellStyle name="Bad" xfId="47" builtinId="27" customBuiltin="1"/>
    <cellStyle name="Blue" xfId="48"/>
    <cellStyle name="Bold/Border" xfId="49"/>
    <cellStyle name="Bullet" xfId="50"/>
    <cellStyle name="c" xfId="51"/>
    <cellStyle name="c_Bal Sheets" xfId="52"/>
    <cellStyle name="c_Credit (2)" xfId="53"/>
    <cellStyle name="c_Earnings" xfId="54"/>
    <cellStyle name="c_Earnings (2)" xfId="55"/>
    <cellStyle name="c_finsumm" xfId="56"/>
    <cellStyle name="c_GoroWipTax-to2050_fromCo_Oct21_99" xfId="57"/>
    <cellStyle name="c_Hist Inputs (2)" xfId="58"/>
    <cellStyle name="c_IEL_finsumm" xfId="59"/>
    <cellStyle name="c_IEL_finsumm1" xfId="60"/>
    <cellStyle name="c_LBO Summary" xfId="61"/>
    <cellStyle name="c_Schedules" xfId="62"/>
    <cellStyle name="c_Trans Assump (2)" xfId="63"/>
    <cellStyle name="c_Unit Price Sen. (2)" xfId="64"/>
    <cellStyle name="Calculation" xfId="65" builtinId="22" customBuiltin="1"/>
    <cellStyle name="CategoryStyle" xfId="66"/>
    <cellStyle name="Check Cell" xfId="67" builtinId="23" customBuiltin="1"/>
    <cellStyle name="ColumnHeaderStyle" xfId="68"/>
    <cellStyle name="Comma" xfId="69" builtinId="3"/>
    <cellStyle name="Comma  - Style1" xfId="70"/>
    <cellStyle name="Comma  - Style2" xfId="71"/>
    <cellStyle name="Comma  - Style3" xfId="72"/>
    <cellStyle name="Comma  - Style4" xfId="73"/>
    <cellStyle name="Comma  - Style5" xfId="74"/>
    <cellStyle name="Comma  - Style6" xfId="75"/>
    <cellStyle name="Comma  - Style7" xfId="76"/>
    <cellStyle name="Comma  - Style8" xfId="77"/>
    <cellStyle name="Comma 2" xfId="78"/>
    <cellStyle name="Comma0" xfId="79"/>
    <cellStyle name="Comma0 - Style4" xfId="80"/>
    <cellStyle name="Comǚ䈀ԀÀ0]" xfId="81"/>
    <cellStyle name="Currency" xfId="82" builtinId="4"/>
    <cellStyle name="Currency [2]" xfId="83"/>
    <cellStyle name="Currency 2" xfId="84"/>
    <cellStyle name="Currency0" xfId="85"/>
    <cellStyle name="Cǚ䈀؀_xdac0__x0001_&gt;쀆 [0]" xfId="86"/>
    <cellStyle name="Dash" xfId="87"/>
    <cellStyle name="Date" xfId="88"/>
    <cellStyle name="Euro" xfId="89"/>
    <cellStyle name="Explanatory Text" xfId="90" builtinId="53" customBuiltin="1"/>
    <cellStyle name="Fixed" xfId="91"/>
    <cellStyle name="Good" xfId="92" builtinId="26" customBuiltin="1"/>
    <cellStyle name="Heading 1" xfId="93" builtinId="16" customBuiltin="1"/>
    <cellStyle name="Heading 2" xfId="94" builtinId="17" customBuiltin="1"/>
    <cellStyle name="Heading 3" xfId="95" builtinId="18" customBuiltin="1"/>
    <cellStyle name="Heading 4" xfId="96" builtinId="19" customBuiltin="1"/>
    <cellStyle name="inc/dec" xfId="97"/>
    <cellStyle name="Input" xfId="98" builtinId="20" customBuiltin="1"/>
    <cellStyle name="InputBlueFont" xfId="99"/>
    <cellStyle name="Linked Cell" xfId="100" builtinId="24" customBuiltin="1"/>
    <cellStyle name="Neutral" xfId="101" builtinId="28" customBuiltin="1"/>
    <cellStyle name="Normal" xfId="0" builtinId="0"/>
    <cellStyle name="Normal - Style1" xfId="102"/>
    <cellStyle name="Normal 2" xfId="103"/>
    <cellStyle name="Normal_2006 LIW PUC Report " xfId="104"/>
    <cellStyle name="Normal_2010 LIW PUC" xfId="105"/>
    <cellStyle name="Normal_liwater00_part2" xfId="106"/>
    <cellStyle name="Normal_Pages 301 thru 302304_LI" xfId="107"/>
    <cellStyle name="Normal_Pages 302 thru 304" xfId="108"/>
    <cellStyle name="Normal_PG 300 e-mailed to BP_2006" xfId="109"/>
    <cellStyle name="Note" xfId="110" builtinId="10" customBuiltin="1"/>
    <cellStyle name="Numbers" xfId="111"/>
    <cellStyle name="Output" xfId="112" builtinId="21" customBuiltin="1"/>
    <cellStyle name="Percent" xfId="113" builtinId="5"/>
    <cellStyle name="Price" xfId="114"/>
    <cellStyle name="PSChar" xfId="115"/>
    <cellStyle name="PSDate" xfId="116"/>
    <cellStyle name="PSDec" xfId="117"/>
    <cellStyle name="PSHeading" xfId="118"/>
    <cellStyle name="PSInt" xfId="119"/>
    <cellStyle name="PSSpacer" xfId="120"/>
    <cellStyle name="QuestionTextStyle" xfId="121"/>
    <cellStyle name="RowHeaderStyle" xfId="122"/>
    <cellStyle name="s" xfId="123"/>
    <cellStyle name="s_B" xfId="124"/>
    <cellStyle name="s_Bal Sheets" xfId="125"/>
    <cellStyle name="s_Bal Sheets_1" xfId="126"/>
    <cellStyle name="s_Bal Sheets_2" xfId="127"/>
    <cellStyle name="s_Credit (2)" xfId="128"/>
    <cellStyle name="s_Credit (2)_1" xfId="129"/>
    <cellStyle name="s_Credit (2)_2" xfId="130"/>
    <cellStyle name="s_Earnings" xfId="131"/>
    <cellStyle name="s_Earnings (2)" xfId="132"/>
    <cellStyle name="s_Earnings (2)_1" xfId="133"/>
    <cellStyle name="s_Earnings_1" xfId="134"/>
    <cellStyle name="s_finsumm" xfId="135"/>
    <cellStyle name="s_finsumm_1" xfId="136"/>
    <cellStyle name="s_finsumm_2" xfId="137"/>
    <cellStyle name="s_GoroWipTax-to2050_fromCo_Oct21_99" xfId="138"/>
    <cellStyle name="s_Hist Inputs (2)" xfId="139"/>
    <cellStyle name="s_Hist Inputs (2)_1" xfId="140"/>
    <cellStyle name="s_IEL_finsumm" xfId="141"/>
    <cellStyle name="s_IEL_finsumm_1" xfId="142"/>
    <cellStyle name="s_IEL_finsumm_2" xfId="143"/>
    <cellStyle name="s_IEL_finsumm1" xfId="144"/>
    <cellStyle name="s_IEL_finsumm1_1" xfId="145"/>
    <cellStyle name="s_IEL_finsumm1_2" xfId="146"/>
    <cellStyle name="s_Lbo" xfId="147"/>
    <cellStyle name="s_LBO Summary" xfId="148"/>
    <cellStyle name="s_LBO Summary_1" xfId="149"/>
    <cellStyle name="s_LBO Summary_2" xfId="150"/>
    <cellStyle name="s_Lbo_1" xfId="151"/>
    <cellStyle name="s_rvr_analysis_andrew" xfId="152"/>
    <cellStyle name="s_Schedules" xfId="153"/>
    <cellStyle name="s_Schedules_1" xfId="154"/>
    <cellStyle name="s_Trans Assump" xfId="155"/>
    <cellStyle name="s_Trans Assump (2)" xfId="156"/>
    <cellStyle name="s_Trans Assump (2)_1" xfId="157"/>
    <cellStyle name="s_Trans Assump_1" xfId="158"/>
    <cellStyle name="s_Trans Sum" xfId="159"/>
    <cellStyle name="s_Trans Sum_1" xfId="160"/>
    <cellStyle name="s_Unit Price Sen. (2)" xfId="161"/>
    <cellStyle name="s_Unit Price Sen. (2)_1" xfId="162"/>
    <cellStyle name="s_Unit Price Sen. (2)_2" xfId="163"/>
    <cellStyle name="SAPHierarchyCell3" xfId="184"/>
    <cellStyle name="SAPHierarchyCell4" xfId="183"/>
    <cellStyle name="SAPMemberCell" xfId="182"/>
    <cellStyle name="Standard_UB Power - Steuern" xfId="164"/>
    <cellStyle name="STYLE1" xfId="165"/>
    <cellStyle name="STYLE2" xfId="166"/>
    <cellStyle name="StyleName1" xfId="167"/>
    <cellStyle name="StyleName2" xfId="168"/>
    <cellStyle name="StyleName3" xfId="169"/>
    <cellStyle name="StyleName4" xfId="170"/>
    <cellStyle name="StyleName5" xfId="171"/>
    <cellStyle name="StyleName6" xfId="172"/>
    <cellStyle name="StyleName7" xfId="173"/>
    <cellStyle name="StyleName8" xfId="174"/>
    <cellStyle name="t" xfId="175"/>
    <cellStyle name="Title" xfId="176" builtinId="15" customBuiltin="1"/>
    <cellStyle name="TitleStyle" xfId="177"/>
    <cellStyle name="Total" xfId="178" builtinId="25" customBuiltin="1"/>
    <cellStyle name="Undefined" xfId="179"/>
    <cellStyle name="Warning Text" xfId="180" builtinId="11" customBuiltin="1"/>
    <cellStyle name="標準_キャンベル用CHUKOS" xfId="181"/>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externalLink" Target="externalLinks/externalLink32.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externalLink" Target="externalLinks/externalLink4.xml"/><Relationship Id="rId112" Type="http://schemas.openxmlformats.org/officeDocument/2006/relationships/externalLink" Target="externalLinks/externalLink27.xml"/><Relationship Id="rId16" Type="http://schemas.openxmlformats.org/officeDocument/2006/relationships/worksheet" Target="worksheets/sheet16.xml"/><Relationship Id="rId107" Type="http://schemas.openxmlformats.org/officeDocument/2006/relationships/externalLink" Target="externalLinks/externalLink22.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externalLink" Target="externalLinks/externalLink17.xml"/><Relationship Id="rId123" Type="http://schemas.openxmlformats.org/officeDocument/2006/relationships/externalLink" Target="externalLinks/externalLink38.xml"/><Relationship Id="rId5" Type="http://schemas.openxmlformats.org/officeDocument/2006/relationships/worksheet" Target="worksheets/sheet5.xml"/><Relationship Id="rId90" Type="http://schemas.openxmlformats.org/officeDocument/2006/relationships/externalLink" Target="externalLinks/externalLink5.xml"/><Relationship Id="rId95" Type="http://schemas.openxmlformats.org/officeDocument/2006/relationships/externalLink" Target="externalLinks/externalLink10.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externalLink" Target="externalLinks/externalLink15.xml"/><Relationship Id="rId105" Type="http://schemas.openxmlformats.org/officeDocument/2006/relationships/externalLink" Target="externalLinks/externalLink20.xml"/><Relationship Id="rId113" Type="http://schemas.openxmlformats.org/officeDocument/2006/relationships/externalLink" Target="externalLinks/externalLink28.xml"/><Relationship Id="rId118" Type="http://schemas.openxmlformats.org/officeDocument/2006/relationships/externalLink" Target="externalLinks/externalLink33.xml"/><Relationship Id="rId12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externalLink" Target="externalLinks/externalLink8.xml"/><Relationship Id="rId98" Type="http://schemas.openxmlformats.org/officeDocument/2006/relationships/externalLink" Target="externalLinks/externalLink13.xml"/><Relationship Id="rId121" Type="http://schemas.openxmlformats.org/officeDocument/2006/relationships/externalLink" Target="externalLinks/externalLink3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externalLink" Target="externalLinks/externalLink18.xml"/><Relationship Id="rId108" Type="http://schemas.openxmlformats.org/officeDocument/2006/relationships/externalLink" Target="externalLinks/externalLink23.xml"/><Relationship Id="rId116" Type="http://schemas.openxmlformats.org/officeDocument/2006/relationships/externalLink" Target="externalLinks/externalLink31.xml"/><Relationship Id="rId124"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3.xml"/><Relationship Id="rId91" Type="http://schemas.openxmlformats.org/officeDocument/2006/relationships/externalLink" Target="externalLinks/externalLink6.xml"/><Relationship Id="rId96" Type="http://schemas.openxmlformats.org/officeDocument/2006/relationships/externalLink" Target="externalLinks/externalLink11.xml"/><Relationship Id="rId111"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externalLink" Target="externalLinks/externalLink21.xml"/><Relationship Id="rId114" Type="http://schemas.openxmlformats.org/officeDocument/2006/relationships/externalLink" Target="externalLinks/externalLink29.xml"/><Relationship Id="rId119" Type="http://schemas.openxmlformats.org/officeDocument/2006/relationships/externalLink" Target="externalLinks/externalLink34.xml"/><Relationship Id="rId12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94" Type="http://schemas.openxmlformats.org/officeDocument/2006/relationships/externalLink" Target="externalLinks/externalLink9.xml"/><Relationship Id="rId99" Type="http://schemas.openxmlformats.org/officeDocument/2006/relationships/externalLink" Target="externalLinks/externalLink14.xml"/><Relationship Id="rId101" Type="http://schemas.openxmlformats.org/officeDocument/2006/relationships/externalLink" Target="externalLinks/externalLink16.xml"/><Relationship Id="rId122" Type="http://schemas.openxmlformats.org/officeDocument/2006/relationships/externalLink" Target="externalLinks/externalLink37.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24.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12.xml"/><Relationship Id="rId104" Type="http://schemas.openxmlformats.org/officeDocument/2006/relationships/externalLink" Target="externalLinks/externalLink19.xml"/><Relationship Id="rId120" Type="http://schemas.openxmlformats.org/officeDocument/2006/relationships/externalLink" Target="externalLinks/externalLink35.xml"/><Relationship Id="rId125"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7.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2.xml"/><Relationship Id="rId110" Type="http://schemas.openxmlformats.org/officeDocument/2006/relationships/externalLink" Target="externalLinks/externalLink25.xml"/><Relationship Id="rId115" Type="http://schemas.openxmlformats.org/officeDocument/2006/relationships/externalLink" Target="externalLinks/externalLink30.xml"/><Relationship Id="rId61" Type="http://schemas.openxmlformats.org/officeDocument/2006/relationships/worksheet" Target="worksheets/sheet61.xml"/><Relationship Id="rId82" Type="http://schemas.openxmlformats.org/officeDocument/2006/relationships/worksheet" Target="worksheets/sheet82.xml"/></Relationships>
</file>

<file path=xl/ctrlProps/ctrlProp1.xml><?xml version="1.0" encoding="utf-8"?>
<formControlPr xmlns="http://schemas.microsoft.com/office/spreadsheetml/2009/9/main" objectType="Button"/>
</file>

<file path=xl/externalLinks/_rels/externalLink1.xml.rels><?xml version="1.0" encoding="UTF-8" standalone="yes"?>
<Relationships xmlns="http://schemas.openxmlformats.org/package/2006/relationships"><Relationship Id="rId1" Type="http://schemas.openxmlformats.org/officeDocument/2006/relationships/externalLinkPath" Target="file:///A:\PAWATER\WATERA.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nts%20and%20Settings/kdaga/My%20Documents/Excel/Dec%20'03/Flash%20Report%20v3%20final%201216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GA%20SSC/SD%20Schedules/2006/2006%204Q%20SD4%20&amp;%20SD5/SD5%20as%20of%2012-31-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V:\DOCUME~1\morganwd\LOCALS~1\Temp\notes6030C8\DOCUME~1\morganwd.AWW\LOCALS~1\Temp\c.lotus.notes.data\busdev_report_writer_BSCinprogress13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AMERICAS\TWAMERICASITE\2004%20Reforecasts\Q2RF\Financial%20Section%20MD's%20report%20Others%20-%20Chil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DOCUME~1\morganwd\LOCALS~1\Temp\notes6030C8\~469795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AMERICAS\TWAMERICASITE\2004%20Reforecasts\Q2RF\Financial%20Section%20MD's%20report%20Regionalisation%20GBP.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1/keiffeej.AWW/LOCALS~1/Temp/C.Lotus.Notes.Data/DOCUME~1/hartnejf/LOCALS~1/Temp/cash7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ata/American%20Water%20Works/Back%20up/2004/Year%20End/Financial%20Statements/SUD/Consolidated%20SUD.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nancial%20Reporting/Internal%20Qtrly%20Rpt/Misc%20Information/UPA%20Rollforwards_Schedules/2008/Q12008/2008%20Rollforwards%20-%20Consolildated%20NUP.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ocuments%20and%20Settings/213000924/Favorites/!%20SCS%20Links/Lyle/Customer%20Reviews/Keller%20-%20Jordan/Central%20Blood%20Bank/LCCA_2007_1825%20M%20Noe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__M&amp;A/GENERAL/MODEL_A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Commission%20Report/2008%20Commission%20Reports/Process%20improvement/TN/TNAM%2020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1/schollm/LOCALS~1/Temp/notes6030C8/Valuation/NQVal2005_Inactive%20GAM9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00270/04ret/othsys/team/Designs/NEI%20Summary%20for%20redesign%20v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00270/03ret/othsys/team/NQVal/NQVal2003PC.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DOCUME~1/schollm/LOCALS~1/Temp/notes6030C8/Valuation/NEI%20Actives_GAM94%20g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V:\DOCUME~1\morganwd\LOCALS~1\Temp\notes6030C8\~370835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yperion/Hyperion%20Documents/Flash%20Report/Prior%20Versions/Flash%20Budget%20JAN%2003%20Y.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Documents%20and%20Settings/schollm/My%20Documents/AWW/SERP-SRP-NEI%20active%20PBO%20and%20NC%2083gam%20mv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Rates/2006%20Commission%20Reports/Pennsylvania/WaterAB_PAWC_AR200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Corporate%20Finance/United%20States/Apollo/Financial%20Model%20ML%2021.08.2001%20(from%20CQ)"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casilljn/LOCALS~1/Temp/notes857128/2007%20LIW%20PUC%20Report.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Gen%20Acct/AWK/2006/JE's/11.06/JE%20110_Record%20Cash%20Transactions_11.0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PA/SD's/Rollforwards/2008/2008%20Rollforwards%20-%20Company%200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GA%20SSC/Annual%20Report%20&amp;%20PwC/2005/2005%20Annual%20Reports/2005%20Annual%20Report%20Financials-LI.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V:\DOCUME~1\morganwd\LOCALS~1\Temp\notes6030C8\DOCUME~1\weberdl\LOCALS~1\Temp\C.Notes.Data\Americas%20Region_revised%2001_19_04.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00270/04ret/othsys/team/Designs/SERP-redesign-NEW.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00270/04ret/othsys/team/Designs/SERP-redesign-OLD.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V:\DOCUME~1\morganwd\LOCALS~1\Temp\notes6030C8\DOCUME~1\morganwd.AWW\LOCALS~1\Temp\c.lotus.notes.data\busdev_report_wm_comments%2003030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Gen%20Acct/PUC%20Reports%20-%20All%20Companies/2002/Pennsylvania/2002_done/2001_copied/PAWC%20WATER%202002.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Commission%20Report/2012%20Commission%20Reports/2012%20Commission%20Reports/New%20York/BP%20Pages/LI%202012%20-%20Pages%20400_406%20from%20John%20Casill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ates/2007%20Commission%20Reports/Long%20Island/LI%202007%20Support/Page_108109_200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1/laskapg/LOCALS~1/Temp/notesB1C04B/Blank%20Report%20from%20PSC%20websi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M&amp;A%20Models\Keys\LBOKEY.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DOCUME~1\actonra\LOCALS~1\Temp\C.Lotus.Notes.Data\MD%20Report%204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Force/Heads-Up%20Spreadsheets/2005/2005%20Intercompany%20billing%20-%20Tax%20Allocatio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WINNT\Temp\Corporate%20Electronic%20CAP%20V3%20DMG%20final.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itle Page"/>
      <sheetName val="204"/>
      <sheetName val="222"/>
      <sheetName val="876"/>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Instructions"/>
      <sheetName val="ColControl"/>
      <sheetName val="Changes"/>
      <sheetName val="MDSummary"/>
      <sheetName val="SUMMARY"/>
      <sheetName val="O&amp;M"/>
      <sheetName val="RESIDUALS"/>
      <sheetName val="ENGINEERING"/>
      <sheetName val="UID"/>
      <sheetName val="CAR"/>
      <sheetName val="MIL"/>
      <sheetName val="OH"/>
      <sheetName val="REGIONAL OH"/>
      <sheetName val="WLPP"/>
      <sheetName val="Validation"/>
      <sheetName val="Engines"/>
      <sheetName val="OUD"/>
      <sheetName val="Americas2"/>
      <sheetName val="FunnelData"/>
      <sheetName val="TableofDeals"/>
      <sheetName val="Database"/>
      <sheetName val="HotDealData"/>
      <sheetName val="LeadSources"/>
      <sheetName val="OutlierData"/>
      <sheetName val="Pivot"/>
      <sheetName val="BSC2"/>
      <sheetName val="ScorecardBackup"/>
      <sheetName val="FunnelReport"/>
      <sheetName val="SuspectData"/>
      <sheetName val="ScorecardReport"/>
      <sheetName val="WinAll"/>
      <sheetName val="SCBackupData"/>
      <sheetName val="REGIONAL_OH"/>
      <sheetName val="IL - PL"/>
      <sheetName val="Regn by Line"/>
      <sheetName val="REGIONAL_OH1"/>
      <sheetName val="IL_-_PL"/>
      <sheetName val="Regn_by_Line"/>
      <sheetName val="S塅䕃⹌塅EtData"/>
    </sheetNames>
    <sheetDataSet>
      <sheetData sheetId="0" refreshError="1"/>
      <sheetData sheetId="1"/>
      <sheetData sheetId="2" refreshError="1"/>
      <sheetData sheetId="3" refreshError="1">
        <row r="3">
          <cell r="D3" t="str">
            <v>AZURIXNA</v>
          </cell>
        </row>
        <row r="10">
          <cell r="D10">
            <v>37956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Descriptions"/>
      <sheetName val="Instructions"/>
      <sheetName val="02 - AWK"/>
      <sheetName val="03 - AWWSC"/>
      <sheetName val="04 - BV"/>
      <sheetName val="05 - CA"/>
      <sheetName val="09 - IL"/>
      <sheetName val="10 - IN"/>
      <sheetName val="11 - IA"/>
      <sheetName val="12 - KY"/>
      <sheetName val="13 - MD"/>
      <sheetName val="16 - MI"/>
      <sheetName val="17 - MO"/>
      <sheetName val="18 - NJ"/>
      <sheetName val="19 - NM"/>
      <sheetName val="21 - AWR (JDE)"/>
      <sheetName val="21 - AWR (Great Plains)"/>
      <sheetName val="22 - OH"/>
      <sheetName val="23 - AZ"/>
      <sheetName val="24 - PA"/>
      <sheetName val="26 - TN"/>
      <sheetName val="27 - VA"/>
      <sheetName val="28 - WV"/>
      <sheetName val="30 - HI"/>
      <sheetName val="31 - AWE"/>
      <sheetName val="38 - LI"/>
      <sheetName val="42 - VE"/>
      <sheetName val="44 - LW"/>
      <sheetName val="46 - AWCC"/>
      <sheetName val="50 - TX"/>
      <sheetName val="80 - LOP"/>
      <sheetName val="AWW Combined"/>
      <sheetName val="AWW Eliminations"/>
      <sheetName val="AWW Purchase Accounting"/>
      <sheetName val="AWW Topsides"/>
      <sheetName val="AWW Consolidated"/>
      <sheetName val="Elizabethtown Water Company"/>
      <sheetName val="Mt. Holly Water Company"/>
      <sheetName val="E-town Corp"/>
      <sheetName val="Edison Water Company"/>
      <sheetName val="Liberty Water Company"/>
      <sheetName val="Etown Water Services"/>
      <sheetName val="Etown Properties, Inc."/>
      <sheetName val="Etown Services, LLC"/>
      <sheetName val="Applied Water Management"/>
      <sheetName val="Applied Wastewater Management"/>
      <sheetName val="Etown Eliminations"/>
      <sheetName val="Etown Topsides"/>
      <sheetName val="Etown Corp. Consolidated"/>
      <sheetName val="75 - American Water Finance"/>
      <sheetName val="85 - ACUS Corporation"/>
      <sheetName val="87 - Hydro-Aerobics"/>
      <sheetName val="90 - TWHINC"/>
      <sheetName val="91 - TWNA"/>
      <sheetName val="92 - TWAUSHI"/>
      <sheetName val="PWT Waste Solutions"/>
      <sheetName val="USEG Holdings"/>
      <sheetName val="TWAUSHI Combined"/>
      <sheetName val="TWAUSHI Eliminations"/>
      <sheetName val="TWAUSHI Topsides"/>
      <sheetName val="TWAUSHI Consolida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LeadSources"/>
      <sheetName val="Pivot"/>
      <sheetName val="AMScorecardReport"/>
      <sheetName val="ScorecardReport"/>
      <sheetName val="FunnelReport"/>
      <sheetName val="TableofDeals"/>
      <sheetName val="HotDealData"/>
      <sheetName val="ScorecardData"/>
      <sheetName val="FunnelData"/>
      <sheetName val="Engines"/>
      <sheetName val="Database"/>
      <sheetName val="Input"/>
      <sheetName val="Data Sheet"/>
      <sheetName val="BU"/>
      <sheetName val="Ad Hoc Assump Extract"/>
      <sheetName val="Assumptions"/>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FT1">
            <v>1</v>
          </cell>
          <cell r="FU1">
            <v>0</v>
          </cell>
          <cell r="FV1">
            <v>0</v>
          </cell>
          <cell r="FW1">
            <v>375000</v>
          </cell>
          <cell r="FX1">
            <v>375000</v>
          </cell>
        </row>
        <row r="2">
          <cell r="FT2">
            <v>2</v>
          </cell>
          <cell r="FU2">
            <v>0</v>
          </cell>
          <cell r="FV2">
            <v>0</v>
          </cell>
          <cell r="FW2">
            <v>0</v>
          </cell>
          <cell r="FX2">
            <v>0</v>
          </cell>
        </row>
        <row r="3">
          <cell r="E3">
            <v>1500000</v>
          </cell>
          <cell r="FT3">
            <v>3</v>
          </cell>
          <cell r="FU3">
            <v>150000</v>
          </cell>
          <cell r="FV3">
            <v>206250</v>
          </cell>
          <cell r="FW3">
            <v>581250</v>
          </cell>
          <cell r="FX3">
            <v>581250</v>
          </cell>
        </row>
        <row r="4">
          <cell r="E4">
            <v>92000</v>
          </cell>
          <cell r="FT4">
            <v>4</v>
          </cell>
          <cell r="FU4">
            <v>0</v>
          </cell>
          <cell r="FV4">
            <v>148200</v>
          </cell>
          <cell r="FW4">
            <v>171200</v>
          </cell>
          <cell r="FX4">
            <v>171200</v>
          </cell>
        </row>
        <row r="5">
          <cell r="FT5">
            <v>5</v>
          </cell>
          <cell r="FU5">
            <v>0</v>
          </cell>
          <cell r="FV5">
            <v>0</v>
          </cell>
          <cell r="FW5">
            <v>0</v>
          </cell>
          <cell r="FX5">
            <v>0</v>
          </cell>
        </row>
        <row r="6">
          <cell r="FT6">
            <v>6</v>
          </cell>
          <cell r="FU6">
            <v>0</v>
          </cell>
          <cell r="FV6">
            <v>148200</v>
          </cell>
          <cell r="FW6">
            <v>171200</v>
          </cell>
          <cell r="FX6">
            <v>171200</v>
          </cell>
        </row>
        <row r="7">
          <cell r="FT7">
            <v>7</v>
          </cell>
          <cell r="FU7">
            <v>0</v>
          </cell>
          <cell r="FV7">
            <v>0</v>
          </cell>
          <cell r="FW7">
            <v>0</v>
          </cell>
          <cell r="FX7">
            <v>0</v>
          </cell>
        </row>
        <row r="8">
          <cell r="FT8">
            <v>8</v>
          </cell>
          <cell r="FU8">
            <v>0</v>
          </cell>
          <cell r="FV8">
            <v>0</v>
          </cell>
          <cell r="FW8">
            <v>0</v>
          </cell>
          <cell r="FX8">
            <v>0</v>
          </cell>
        </row>
        <row r="9">
          <cell r="FT9">
            <v>9</v>
          </cell>
          <cell r="FU9">
            <v>150000</v>
          </cell>
          <cell r="FV9">
            <v>206250</v>
          </cell>
          <cell r="FW9">
            <v>206250</v>
          </cell>
          <cell r="FX9">
            <v>206250</v>
          </cell>
        </row>
        <row r="10">
          <cell r="FT10">
            <v>10</v>
          </cell>
          <cell r="FU10">
            <v>0</v>
          </cell>
          <cell r="FV10">
            <v>0</v>
          </cell>
          <cell r="FW10">
            <v>0</v>
          </cell>
          <cell r="FX10">
            <v>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Input"/>
      <sheetName val="Budget v Q2RF"/>
      <sheetName val="Q1RF v Q2RF"/>
    </sheetNames>
    <sheetDataSet>
      <sheetData sheetId="0" refreshError="1">
        <row r="5">
          <cell r="B5" t="str">
            <v>Waterweb</v>
          </cell>
        </row>
        <row r="12">
          <cell r="B12" t="str">
            <v>TYB</v>
          </cell>
        </row>
        <row r="14">
          <cell r="B14" t="str">
            <v>M.CTD</v>
          </cell>
        </row>
        <row r="17">
          <cell r="B17">
            <v>12</v>
          </cell>
        </row>
        <row r="19">
          <cell r="B19" t="str">
            <v>Q1RF</v>
          </cell>
        </row>
        <row r="20">
          <cell r="B20" t="str">
            <v>TYB</v>
          </cell>
        </row>
        <row r="21">
          <cell r="B21" t="str">
            <v>M.CTD</v>
          </cell>
        </row>
        <row r="45">
          <cell r="B45">
            <v>12</v>
          </cell>
        </row>
        <row r="53">
          <cell r="B53" t="str">
            <v>LYA</v>
          </cell>
        </row>
        <row r="54">
          <cell r="B54" t="str">
            <v>OTYB</v>
          </cell>
        </row>
        <row r="55">
          <cell r="B55">
            <v>13</v>
          </cell>
        </row>
      </sheetData>
      <sheetData sheetId="1"/>
      <sheetData sheetId="2"/>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CONTROL"/>
      <sheetName val="EXECUTIVE"/>
      <sheetName val="BSC"/>
      <sheetName val="Commentary"/>
      <sheetName val="Demand"/>
      <sheetName val="KPI TYP"/>
      <sheetName val="Growth Track"/>
      <sheetName val="KPI TYP vs LYP"/>
      <sheetName val="Variance Analysis"/>
      <sheetName val="New Business Initiatives"/>
      <sheetName val="Revenues"/>
      <sheetName val="Capex Summary"/>
      <sheetName val="Os and Vs"/>
      <sheetName val="PL Year on Year"/>
      <sheetName val="BS Year on Year"/>
      <sheetName val="FCF Year on Year"/>
      <sheetName val="Year on Year KPIs"/>
      <sheetName val="Last Years Plan"/>
      <sheetName val="P&amp;L Variances LYP"/>
      <sheetName val="FCF Variances LYP"/>
      <sheetName val="KPI Variances LYP"/>
      <sheetName val="Cust Per employee"/>
      <sheetName val="Supplemental Information"/>
      <sheetName val="TABLES"/>
      <sheetName val="Table 6-2 to 6-4 Adv and Cont"/>
      <sheetName val="Input"/>
      <sheetName val="ScorecardData"/>
      <sheetName val="Drop Down Lists"/>
      <sheetName val="PCode-Def"/>
    </sheetNames>
    <sheetDataSet>
      <sheetData sheetId="0" refreshError="1">
        <row r="2">
          <cell r="B2" t="str">
            <v>Western</v>
          </cell>
        </row>
        <row r="4">
          <cell r="B4" t="str">
            <v>Q3RF</v>
          </cell>
          <cell r="C4" t="str">
            <v>M.CTD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Input"/>
      <sheetName val="Budget v Q2RF"/>
      <sheetName val="Q1RF v Q2RF"/>
      <sheetName val="subcatlist"/>
    </sheetNames>
    <sheetDataSet>
      <sheetData sheetId="0" refreshError="1">
        <row r="7">
          <cell r="B7" t="str">
            <v>AMERICASBPADJ</v>
          </cell>
        </row>
        <row r="11">
          <cell r="B11" t="str">
            <v>TYA</v>
          </cell>
        </row>
      </sheetData>
      <sheetData sheetId="1"/>
      <sheetData sheetId="2"/>
      <sheetData sheetId="3"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CashOut Def Summ"/>
      <sheetName val="CashOut Def - Details"/>
      <sheetName val="CashOut"/>
      <sheetName val="Summ"/>
      <sheetName val="Retention Bonus"/>
      <sheetName val="PSUs 02-04"/>
      <sheetName val="LTIP In Progress 01-03 Max"/>
      <sheetName val="Outstanding Options 2001-2000"/>
      <sheetName val="Restricted Stock 00 Max"/>
      <sheetName val="DO NOT PRINT - RS 97 Table"/>
      <sheetName val="DO NOT PRINT - Deferrals"/>
      <sheetName val="DO NOT PRINT - Div Eq"/>
      <sheetName val="DO NOT PRINT - Prices"/>
      <sheetName val="DO NOT PRINT - Notes"/>
      <sheetName val="DO NOT PRINT - Names"/>
      <sheetName val="LTIP In Progress 01-03"/>
      <sheetName val="Restricted Stock 00"/>
      <sheetName val="Restricted St塅䕃⹌塅E0"/>
      <sheetName val="1994 LTIP"/>
      <sheetName val="ValSummary"/>
      <sheetName val="BS - older"/>
      <sheetName val="Input"/>
      <sheetName val="CashOut_Def_Summ"/>
      <sheetName val="CashOut_Def_-_Details"/>
      <sheetName val="Retention_Bonus"/>
      <sheetName val="PSUs_02-04"/>
      <sheetName val="LTIP_In_Progress_01-03_Max"/>
      <sheetName val="Outstanding_Options_2001-2000"/>
      <sheetName val="Restricted_Stock_00_Max"/>
      <sheetName val="DO_NOT_PRINT_-_RS_97_Table"/>
      <sheetName val="DO_NOT_PRINT_-_Deferrals"/>
      <sheetName val="DO_NOT_PRINT_-_Div_Eq"/>
      <sheetName val="DO_NOT_PRINT_-_Prices"/>
      <sheetName val="DO_NOT_PRINT_-_Notes"/>
      <sheetName val="DO_NOT_PRINT_-_Names"/>
      <sheetName val="LTIP_In_Progress_01-03"/>
      <sheetName val="Restricted_Stock_00"/>
      <sheetName val="Restricted_St塅䕃⹌塅E0"/>
      <sheetName val="1994_LTIP"/>
    </sheetNames>
    <sheetDataSet>
      <sheetData sheetId="0" refreshError="1"/>
      <sheetData sheetId="1" refreshError="1"/>
      <sheetData sheetId="2" refreshError="1"/>
      <sheetData sheetId="3" refreshError="1">
        <row r="1">
          <cell r="A1">
            <v>37631</v>
          </cell>
          <cell r="D1">
            <v>2</v>
          </cell>
        </row>
        <row r="2">
          <cell r="A2">
            <v>46</v>
          </cell>
        </row>
      </sheetData>
      <sheetData sheetId="4" refreshError="1"/>
      <sheetData sheetId="5" refreshError="1"/>
      <sheetData sheetId="6" refreshError="1"/>
      <sheetData sheetId="7" refreshError="1"/>
      <sheetData sheetId="8" refreshError="1"/>
      <sheetData sheetId="9" refreshError="1"/>
      <sheetData sheetId="10" refreshError="1">
        <row r="13">
          <cell r="C13">
            <v>1</v>
          </cell>
          <cell r="E13" t="str">
            <v>Barr, J. James</v>
          </cell>
          <cell r="G13">
            <v>100</v>
          </cell>
          <cell r="H13">
            <v>100</v>
          </cell>
          <cell r="I13">
            <v>100</v>
          </cell>
          <cell r="J13">
            <v>100</v>
          </cell>
          <cell r="K13">
            <v>100</v>
          </cell>
          <cell r="L13">
            <v>0</v>
          </cell>
          <cell r="M13">
            <v>0</v>
          </cell>
          <cell r="N13">
            <v>0</v>
          </cell>
          <cell r="O13">
            <v>0</v>
          </cell>
          <cell r="P13">
            <v>0</v>
          </cell>
        </row>
        <row r="14">
          <cell r="C14">
            <v>2</v>
          </cell>
          <cell r="E14" t="str">
            <v>Wolf, Ellen C.</v>
          </cell>
          <cell r="G14">
            <v>0</v>
          </cell>
          <cell r="H14">
            <v>0</v>
          </cell>
          <cell r="I14">
            <v>0</v>
          </cell>
          <cell r="J14">
            <v>0</v>
          </cell>
          <cell r="K14">
            <v>0</v>
          </cell>
          <cell r="L14">
            <v>0</v>
          </cell>
          <cell r="M14">
            <v>0</v>
          </cell>
          <cell r="N14">
            <v>0</v>
          </cell>
          <cell r="O14">
            <v>0</v>
          </cell>
          <cell r="P14">
            <v>0</v>
          </cell>
        </row>
        <row r="15">
          <cell r="C15">
            <v>3</v>
          </cell>
          <cell r="E15" t="str">
            <v>Kelleher, Daniel L.</v>
          </cell>
          <cell r="G15">
            <v>10</v>
          </cell>
          <cell r="H15">
            <v>10</v>
          </cell>
          <cell r="I15">
            <v>90</v>
          </cell>
          <cell r="J15">
            <v>90</v>
          </cell>
          <cell r="K15">
            <v>90</v>
          </cell>
          <cell r="L15">
            <v>100</v>
          </cell>
          <cell r="M15">
            <v>100</v>
          </cell>
          <cell r="N15">
            <v>100</v>
          </cell>
          <cell r="O15">
            <v>100</v>
          </cell>
          <cell r="P15">
            <v>100</v>
          </cell>
        </row>
        <row r="16">
          <cell r="C16">
            <v>4</v>
          </cell>
          <cell r="E16" t="str">
            <v>Pohl, W. Timothy</v>
          </cell>
          <cell r="G16">
            <v>100</v>
          </cell>
          <cell r="H16">
            <v>100</v>
          </cell>
          <cell r="I16">
            <v>100</v>
          </cell>
          <cell r="J16">
            <v>0</v>
          </cell>
          <cell r="K16">
            <v>0</v>
          </cell>
          <cell r="L16">
            <v>100</v>
          </cell>
          <cell r="M16">
            <v>100</v>
          </cell>
          <cell r="N16">
            <v>100</v>
          </cell>
          <cell r="O16">
            <v>100</v>
          </cell>
          <cell r="P16">
            <v>100</v>
          </cell>
        </row>
        <row r="17">
          <cell r="C17">
            <v>5</v>
          </cell>
          <cell r="E17" t="str">
            <v>Carrasco, Jorge</v>
          </cell>
          <cell r="G17">
            <v>100</v>
          </cell>
          <cell r="H17">
            <v>100</v>
          </cell>
          <cell r="I17">
            <v>100</v>
          </cell>
          <cell r="J17">
            <v>100</v>
          </cell>
          <cell r="K17">
            <v>100</v>
          </cell>
          <cell r="L17">
            <v>100</v>
          </cell>
          <cell r="M17">
            <v>75</v>
          </cell>
          <cell r="N17">
            <v>75</v>
          </cell>
          <cell r="O17">
            <v>75</v>
          </cell>
          <cell r="P17">
            <v>100</v>
          </cell>
        </row>
        <row r="18">
          <cell r="C18">
            <v>6</v>
          </cell>
          <cell r="E18" t="str">
            <v>Gorden, Stephen, F.</v>
          </cell>
          <cell r="G18">
            <v>100</v>
          </cell>
          <cell r="H18">
            <v>100</v>
          </cell>
          <cell r="I18">
            <v>0</v>
          </cell>
          <cell r="J18">
            <v>100</v>
          </cell>
          <cell r="K18">
            <v>100</v>
          </cell>
          <cell r="L18">
            <v>100</v>
          </cell>
          <cell r="M18">
            <v>100</v>
          </cell>
          <cell r="N18">
            <v>100</v>
          </cell>
          <cell r="O18">
            <v>100</v>
          </cell>
          <cell r="P18">
            <v>100</v>
          </cell>
        </row>
        <row r="19">
          <cell r="C19">
            <v>7</v>
          </cell>
          <cell r="E19" t="str">
            <v>Patrick, George W.</v>
          </cell>
          <cell r="G19">
            <v>0</v>
          </cell>
          <cell r="H19">
            <v>0</v>
          </cell>
          <cell r="I19">
            <v>0</v>
          </cell>
          <cell r="J19">
            <v>0</v>
          </cell>
          <cell r="K19">
            <v>0</v>
          </cell>
          <cell r="L19">
            <v>0</v>
          </cell>
          <cell r="M19">
            <v>0</v>
          </cell>
          <cell r="N19">
            <v>0</v>
          </cell>
          <cell r="O19">
            <v>0</v>
          </cell>
          <cell r="P19">
            <v>0</v>
          </cell>
        </row>
        <row r="20">
          <cell r="C20">
            <v>8</v>
          </cell>
          <cell r="E20" t="str">
            <v>Pierce, II, C. Glenn</v>
          </cell>
          <cell r="G20">
            <v>0</v>
          </cell>
          <cell r="H20">
            <v>0</v>
          </cell>
          <cell r="I20">
            <v>100</v>
          </cell>
          <cell r="J20">
            <v>100</v>
          </cell>
          <cell r="K20">
            <v>100</v>
          </cell>
          <cell r="L20">
            <v>100</v>
          </cell>
          <cell r="M20">
            <v>100</v>
          </cell>
          <cell r="N20">
            <v>100</v>
          </cell>
          <cell r="O20">
            <v>100</v>
          </cell>
          <cell r="P20">
            <v>100</v>
          </cell>
        </row>
        <row r="21">
          <cell r="C21">
            <v>9</v>
          </cell>
          <cell r="E21" t="str">
            <v>Ross, Robert M.</v>
          </cell>
          <cell r="G21">
            <v>0</v>
          </cell>
          <cell r="H21">
            <v>0</v>
          </cell>
          <cell r="I21">
            <v>100</v>
          </cell>
          <cell r="J21">
            <v>100</v>
          </cell>
          <cell r="K21">
            <v>100</v>
          </cell>
          <cell r="L21">
            <v>100</v>
          </cell>
          <cell r="M21">
            <v>100</v>
          </cell>
          <cell r="N21">
            <v>100</v>
          </cell>
          <cell r="O21">
            <v>100</v>
          </cell>
          <cell r="P21">
            <v>100</v>
          </cell>
        </row>
        <row r="22">
          <cell r="C22">
            <v>10</v>
          </cell>
          <cell r="E22" t="str">
            <v>Gallo, Robert J.</v>
          </cell>
          <cell r="G22">
            <v>100</v>
          </cell>
          <cell r="H22">
            <v>100</v>
          </cell>
          <cell r="I22">
            <v>50</v>
          </cell>
          <cell r="J22">
            <v>100</v>
          </cell>
          <cell r="K22">
            <v>100</v>
          </cell>
          <cell r="L22">
            <v>100</v>
          </cell>
          <cell r="M22">
            <v>100</v>
          </cell>
          <cell r="N22">
            <v>100</v>
          </cell>
          <cell r="O22">
            <v>100</v>
          </cell>
          <cell r="P22">
            <v>50</v>
          </cell>
        </row>
        <row r="23">
          <cell r="C23">
            <v>11</v>
          </cell>
          <cell r="E23" t="str">
            <v>Gloriod, Terry L.</v>
          </cell>
          <cell r="G23">
            <v>100</v>
          </cell>
          <cell r="H23">
            <v>100</v>
          </cell>
          <cell r="I23">
            <v>100</v>
          </cell>
          <cell r="J23">
            <v>100</v>
          </cell>
          <cell r="K23">
            <v>100</v>
          </cell>
          <cell r="L23">
            <v>100</v>
          </cell>
          <cell r="M23">
            <v>100</v>
          </cell>
          <cell r="N23">
            <v>100</v>
          </cell>
          <cell r="O23">
            <v>100</v>
          </cell>
          <cell r="P23">
            <v>100</v>
          </cell>
        </row>
        <row r="24">
          <cell r="C24">
            <v>12</v>
          </cell>
          <cell r="E24" t="str">
            <v>Eckart, John E.</v>
          </cell>
          <cell r="G24">
            <v>50</v>
          </cell>
          <cell r="H24">
            <v>100</v>
          </cell>
          <cell r="I24">
            <v>100</v>
          </cell>
          <cell r="J24">
            <v>100</v>
          </cell>
          <cell r="K24">
            <v>100</v>
          </cell>
          <cell r="L24">
            <v>100</v>
          </cell>
          <cell r="M24">
            <v>100</v>
          </cell>
          <cell r="N24">
            <v>100</v>
          </cell>
          <cell r="O24">
            <v>100</v>
          </cell>
          <cell r="P24">
            <v>50</v>
          </cell>
        </row>
        <row r="25">
          <cell r="C25">
            <v>13</v>
          </cell>
          <cell r="E25" t="str">
            <v>Jarrett, Chris E.</v>
          </cell>
          <cell r="G25">
            <v>50</v>
          </cell>
          <cell r="H25">
            <v>50</v>
          </cell>
          <cell r="I25">
            <v>100</v>
          </cell>
          <cell r="J25">
            <v>100</v>
          </cell>
          <cell r="K25">
            <v>100</v>
          </cell>
          <cell r="L25">
            <v>50</v>
          </cell>
          <cell r="M25">
            <v>100</v>
          </cell>
          <cell r="N25">
            <v>100</v>
          </cell>
          <cell r="O25">
            <v>100</v>
          </cell>
          <cell r="P25">
            <v>100</v>
          </cell>
        </row>
        <row r="26">
          <cell r="C26">
            <v>14</v>
          </cell>
          <cell r="E26" t="str">
            <v>Hartnett, Jr., Joseph F.</v>
          </cell>
          <cell r="G26">
            <v>100</v>
          </cell>
          <cell r="H26">
            <v>100</v>
          </cell>
          <cell r="I26">
            <v>100</v>
          </cell>
          <cell r="J26">
            <v>100</v>
          </cell>
          <cell r="K26">
            <v>100</v>
          </cell>
          <cell r="L26">
            <v>100</v>
          </cell>
          <cell r="M26">
            <v>100</v>
          </cell>
          <cell r="N26">
            <v>100</v>
          </cell>
          <cell r="O26">
            <v>100</v>
          </cell>
          <cell r="P26">
            <v>0</v>
          </cell>
        </row>
        <row r="27">
          <cell r="C27">
            <v>15</v>
          </cell>
          <cell r="E27" t="str">
            <v>Thornburg, Eric W.</v>
          </cell>
          <cell r="G27">
            <v>65</v>
          </cell>
          <cell r="H27">
            <v>65</v>
          </cell>
          <cell r="I27">
            <v>100</v>
          </cell>
          <cell r="J27">
            <v>100</v>
          </cell>
          <cell r="K27">
            <v>100</v>
          </cell>
          <cell r="L27">
            <v>100</v>
          </cell>
          <cell r="M27">
            <v>90</v>
          </cell>
          <cell r="N27">
            <v>90</v>
          </cell>
          <cell r="O27">
            <v>90</v>
          </cell>
          <cell r="P27">
            <v>100</v>
          </cell>
        </row>
        <row r="28">
          <cell r="C28">
            <v>16</v>
          </cell>
          <cell r="E28" t="str">
            <v>Sievers, Robert D.</v>
          </cell>
          <cell r="G28">
            <v>100</v>
          </cell>
          <cell r="H28">
            <v>100</v>
          </cell>
          <cell r="I28">
            <v>0</v>
          </cell>
          <cell r="J28">
            <v>100</v>
          </cell>
          <cell r="K28">
            <v>100</v>
          </cell>
          <cell r="L28">
            <v>100</v>
          </cell>
          <cell r="M28">
            <v>100</v>
          </cell>
          <cell r="N28">
            <v>100</v>
          </cell>
          <cell r="O28">
            <v>100</v>
          </cell>
          <cell r="P28">
            <v>0</v>
          </cell>
        </row>
        <row r="29">
          <cell r="C29">
            <v>18</v>
          </cell>
          <cell r="E29" t="str">
            <v>Strand, Mark N.</v>
          </cell>
          <cell r="G29">
            <v>0</v>
          </cell>
          <cell r="H29">
            <v>0</v>
          </cell>
          <cell r="I29">
            <v>100</v>
          </cell>
          <cell r="J29">
            <v>100</v>
          </cell>
          <cell r="K29">
            <v>100</v>
          </cell>
          <cell r="L29">
            <v>0</v>
          </cell>
          <cell r="M29">
            <v>0</v>
          </cell>
          <cell r="N29">
            <v>0</v>
          </cell>
          <cell r="O29">
            <v>0</v>
          </cell>
          <cell r="P29">
            <v>0</v>
          </cell>
        </row>
        <row r="30">
          <cell r="C30">
            <v>19</v>
          </cell>
          <cell r="E30" t="str">
            <v>Townsley, Paul G.</v>
          </cell>
          <cell r="G30">
            <v>0</v>
          </cell>
          <cell r="H30">
            <v>0</v>
          </cell>
          <cell r="I30">
            <v>0</v>
          </cell>
          <cell r="J30">
            <v>0</v>
          </cell>
          <cell r="K30">
            <v>0</v>
          </cell>
          <cell r="L30">
            <v>0</v>
          </cell>
          <cell r="M30">
            <v>0</v>
          </cell>
          <cell r="N30">
            <v>0</v>
          </cell>
          <cell r="O30">
            <v>0</v>
          </cell>
          <cell r="P30">
            <v>0</v>
          </cell>
        </row>
        <row r="31">
          <cell r="C31">
            <v>20</v>
          </cell>
          <cell r="E31" t="str">
            <v>Vallejo, Edward D.</v>
          </cell>
          <cell r="G31">
            <v>0</v>
          </cell>
          <cell r="H31">
            <v>0</v>
          </cell>
          <cell r="I31">
            <v>0</v>
          </cell>
          <cell r="J31">
            <v>0</v>
          </cell>
          <cell r="K31">
            <v>0</v>
          </cell>
          <cell r="L31">
            <v>0</v>
          </cell>
          <cell r="M31">
            <v>0</v>
          </cell>
          <cell r="N31">
            <v>0</v>
          </cell>
          <cell r="O31">
            <v>0</v>
          </cell>
          <cell r="P31">
            <v>0</v>
          </cell>
        </row>
        <row r="32">
          <cell r="C32">
            <v>21</v>
          </cell>
          <cell r="E32" t="str">
            <v>Young, Jr., John S.</v>
          </cell>
          <cell r="G32">
            <v>100</v>
          </cell>
          <cell r="H32">
            <v>0</v>
          </cell>
          <cell r="I32">
            <v>100</v>
          </cell>
          <cell r="J32">
            <v>100</v>
          </cell>
          <cell r="K32">
            <v>100</v>
          </cell>
          <cell r="L32">
            <v>100</v>
          </cell>
          <cell r="M32">
            <v>100</v>
          </cell>
          <cell r="N32">
            <v>100</v>
          </cell>
          <cell r="O32">
            <v>100</v>
          </cell>
          <cell r="P32">
            <v>0</v>
          </cell>
        </row>
        <row r="33">
          <cell r="C33">
            <v>22</v>
          </cell>
          <cell r="E33" t="str">
            <v>Tousignant, Timothy</v>
          </cell>
          <cell r="G33">
            <v>0</v>
          </cell>
          <cell r="H33">
            <v>0</v>
          </cell>
          <cell r="I33">
            <v>0</v>
          </cell>
          <cell r="J33">
            <v>0</v>
          </cell>
          <cell r="K33">
            <v>0</v>
          </cell>
          <cell r="L33">
            <v>0</v>
          </cell>
          <cell r="M33">
            <v>0</v>
          </cell>
          <cell r="N33">
            <v>0</v>
          </cell>
          <cell r="O33">
            <v>0</v>
          </cell>
          <cell r="P33">
            <v>0</v>
          </cell>
        </row>
        <row r="34">
          <cell r="C34">
            <v>23</v>
          </cell>
          <cell r="E34" t="str">
            <v>Bigelow, John R.</v>
          </cell>
          <cell r="G34">
            <v>55</v>
          </cell>
          <cell r="H34">
            <v>0</v>
          </cell>
          <cell r="I34">
            <v>95</v>
          </cell>
          <cell r="J34">
            <v>0</v>
          </cell>
          <cell r="K34">
            <v>0</v>
          </cell>
          <cell r="L34">
            <v>0</v>
          </cell>
          <cell r="M34">
            <v>0</v>
          </cell>
          <cell r="N34">
            <v>0</v>
          </cell>
          <cell r="O34">
            <v>0</v>
          </cell>
          <cell r="P34">
            <v>0</v>
          </cell>
        </row>
        <row r="35">
          <cell r="C35">
            <v>24</v>
          </cell>
          <cell r="E35" t="str">
            <v>Foran, Paul G.</v>
          </cell>
          <cell r="G35">
            <v>0</v>
          </cell>
          <cell r="H35">
            <v>0</v>
          </cell>
          <cell r="I35">
            <v>0</v>
          </cell>
          <cell r="J35">
            <v>0</v>
          </cell>
          <cell r="K35">
            <v>0</v>
          </cell>
          <cell r="L35">
            <v>0</v>
          </cell>
          <cell r="M35">
            <v>100</v>
          </cell>
          <cell r="N35">
            <v>100</v>
          </cell>
          <cell r="O35">
            <v>100</v>
          </cell>
          <cell r="P35">
            <v>0</v>
          </cell>
        </row>
        <row r="36">
          <cell r="C36">
            <v>25</v>
          </cell>
          <cell r="E36" t="str">
            <v>Turner, B. Kent</v>
          </cell>
          <cell r="G36">
            <v>0</v>
          </cell>
          <cell r="H36">
            <v>0</v>
          </cell>
          <cell r="I36">
            <v>0</v>
          </cell>
          <cell r="J36">
            <v>0</v>
          </cell>
          <cell r="K36">
            <v>0</v>
          </cell>
          <cell r="L36">
            <v>0</v>
          </cell>
          <cell r="M36">
            <v>0</v>
          </cell>
          <cell r="N36">
            <v>0</v>
          </cell>
          <cell r="O36">
            <v>0</v>
          </cell>
          <cell r="P36">
            <v>0</v>
          </cell>
        </row>
        <row r="37">
          <cell r="C37">
            <v>26</v>
          </cell>
          <cell r="E37" t="str">
            <v>Almond, Judith L.</v>
          </cell>
          <cell r="G37">
            <v>0</v>
          </cell>
          <cell r="H37">
            <v>0</v>
          </cell>
          <cell r="I37">
            <v>0</v>
          </cell>
          <cell r="J37">
            <v>0</v>
          </cell>
          <cell r="K37">
            <v>0</v>
          </cell>
          <cell r="L37">
            <v>0</v>
          </cell>
          <cell r="M37">
            <v>0</v>
          </cell>
          <cell r="N37">
            <v>0</v>
          </cell>
          <cell r="O37">
            <v>0</v>
          </cell>
          <cell r="P37">
            <v>0</v>
          </cell>
        </row>
        <row r="38">
          <cell r="C38">
            <v>27</v>
          </cell>
          <cell r="E38" t="str">
            <v>Hobbs, Doneen S.</v>
          </cell>
          <cell r="G38">
            <v>100</v>
          </cell>
          <cell r="H38">
            <v>100</v>
          </cell>
          <cell r="I38">
            <v>100</v>
          </cell>
          <cell r="J38">
            <v>100</v>
          </cell>
          <cell r="K38">
            <v>100</v>
          </cell>
          <cell r="L38">
            <v>0</v>
          </cell>
          <cell r="M38">
            <v>0</v>
          </cell>
          <cell r="N38">
            <v>0</v>
          </cell>
          <cell r="O38">
            <v>0</v>
          </cell>
          <cell r="P38">
            <v>0</v>
          </cell>
        </row>
        <row r="39">
          <cell r="C39">
            <v>28</v>
          </cell>
          <cell r="E39" t="str">
            <v>Piszker, William M.</v>
          </cell>
          <cell r="G39">
            <v>100</v>
          </cell>
          <cell r="H39">
            <v>100</v>
          </cell>
          <cell r="I39">
            <v>85</v>
          </cell>
          <cell r="J39">
            <v>85</v>
          </cell>
          <cell r="K39">
            <v>85</v>
          </cell>
          <cell r="L39">
            <v>90</v>
          </cell>
          <cell r="M39">
            <v>90</v>
          </cell>
          <cell r="N39">
            <v>90</v>
          </cell>
          <cell r="O39">
            <v>90</v>
          </cell>
          <cell r="P39">
            <v>0</v>
          </cell>
        </row>
        <row r="40">
          <cell r="C40">
            <v>29</v>
          </cell>
          <cell r="E40" t="str">
            <v>Harrison, James E.</v>
          </cell>
          <cell r="G40">
            <v>0</v>
          </cell>
          <cell r="H40">
            <v>0</v>
          </cell>
          <cell r="I40">
            <v>100</v>
          </cell>
          <cell r="J40">
            <v>100</v>
          </cell>
          <cell r="K40">
            <v>100</v>
          </cell>
          <cell r="L40">
            <v>100</v>
          </cell>
          <cell r="M40">
            <v>100</v>
          </cell>
          <cell r="N40">
            <v>100</v>
          </cell>
          <cell r="O40">
            <v>100</v>
          </cell>
          <cell r="P40">
            <v>0</v>
          </cell>
        </row>
        <row r="41">
          <cell r="C41">
            <v>30</v>
          </cell>
          <cell r="E41" t="str">
            <v>Jones, Ray L.</v>
          </cell>
          <cell r="G41">
            <v>0</v>
          </cell>
          <cell r="H41">
            <v>0</v>
          </cell>
          <cell r="I41">
            <v>0</v>
          </cell>
          <cell r="J41">
            <v>0</v>
          </cell>
          <cell r="K41">
            <v>0</v>
          </cell>
          <cell r="L41">
            <v>0</v>
          </cell>
          <cell r="M41">
            <v>0</v>
          </cell>
          <cell r="N41">
            <v>0</v>
          </cell>
          <cell r="O41">
            <v>0</v>
          </cell>
          <cell r="P41">
            <v>0</v>
          </cell>
        </row>
        <row r="42">
          <cell r="C42">
            <v>32</v>
          </cell>
          <cell r="E42" t="str">
            <v>Morgan, Wayne D.</v>
          </cell>
          <cell r="G42">
            <v>0</v>
          </cell>
          <cell r="H42">
            <v>0</v>
          </cell>
          <cell r="I42">
            <v>0</v>
          </cell>
          <cell r="J42">
            <v>0</v>
          </cell>
          <cell r="K42">
            <v>0</v>
          </cell>
          <cell r="L42">
            <v>0</v>
          </cell>
          <cell r="M42">
            <v>0</v>
          </cell>
          <cell r="N42">
            <v>0</v>
          </cell>
          <cell r="O42">
            <v>0</v>
          </cell>
          <cell r="P42">
            <v>0</v>
          </cell>
        </row>
        <row r="43">
          <cell r="C43">
            <v>33</v>
          </cell>
          <cell r="E43" t="str">
            <v>Moser, Richard H.</v>
          </cell>
          <cell r="G43">
            <v>0</v>
          </cell>
          <cell r="H43">
            <v>0</v>
          </cell>
          <cell r="I43">
            <v>100</v>
          </cell>
          <cell r="J43">
            <v>100</v>
          </cell>
          <cell r="K43">
            <v>100</v>
          </cell>
          <cell r="L43">
            <v>80</v>
          </cell>
          <cell r="M43">
            <v>0</v>
          </cell>
          <cell r="N43">
            <v>0</v>
          </cell>
          <cell r="O43">
            <v>0</v>
          </cell>
          <cell r="P43">
            <v>0</v>
          </cell>
        </row>
        <row r="44">
          <cell r="C44">
            <v>34</v>
          </cell>
          <cell r="E44" t="str">
            <v>Schmitt, Stephen P.</v>
          </cell>
          <cell r="G44">
            <v>0</v>
          </cell>
          <cell r="H44">
            <v>0</v>
          </cell>
          <cell r="I44">
            <v>0</v>
          </cell>
          <cell r="J44">
            <v>0</v>
          </cell>
          <cell r="K44">
            <v>0</v>
          </cell>
          <cell r="L44">
            <v>0</v>
          </cell>
          <cell r="M44">
            <v>0</v>
          </cell>
          <cell r="N44">
            <v>0</v>
          </cell>
          <cell r="O44">
            <v>0</v>
          </cell>
          <cell r="P44">
            <v>0</v>
          </cell>
        </row>
        <row r="45">
          <cell r="C45">
            <v>36</v>
          </cell>
          <cell r="E45" t="str">
            <v>Johnston, Charles W.</v>
          </cell>
          <cell r="G45">
            <v>0</v>
          </cell>
          <cell r="H45">
            <v>0</v>
          </cell>
          <cell r="I45">
            <v>0</v>
          </cell>
          <cell r="J45">
            <v>0</v>
          </cell>
          <cell r="K45">
            <v>0</v>
          </cell>
          <cell r="L45">
            <v>0</v>
          </cell>
          <cell r="M45">
            <v>0</v>
          </cell>
          <cell r="N45">
            <v>0</v>
          </cell>
          <cell r="O45">
            <v>0</v>
          </cell>
          <cell r="P45">
            <v>0</v>
          </cell>
        </row>
        <row r="46">
          <cell r="C46">
            <v>37</v>
          </cell>
          <cell r="E46" t="str">
            <v>Overby, Susan L.</v>
          </cell>
          <cell r="G46">
            <v>0</v>
          </cell>
          <cell r="H46">
            <v>0</v>
          </cell>
          <cell r="I46">
            <v>0</v>
          </cell>
          <cell r="J46">
            <v>0</v>
          </cell>
          <cell r="K46">
            <v>0</v>
          </cell>
          <cell r="L46">
            <v>0</v>
          </cell>
          <cell r="M46">
            <v>0</v>
          </cell>
          <cell r="N46">
            <v>0</v>
          </cell>
          <cell r="O46">
            <v>0</v>
          </cell>
          <cell r="P46">
            <v>0</v>
          </cell>
        </row>
        <row r="47">
          <cell r="C47">
            <v>38</v>
          </cell>
          <cell r="E47" t="str">
            <v>Krauss-Kelleher, Deborah</v>
          </cell>
          <cell r="G47">
            <v>0</v>
          </cell>
          <cell r="H47">
            <v>0</v>
          </cell>
          <cell r="I47">
            <v>0</v>
          </cell>
          <cell r="J47">
            <v>0</v>
          </cell>
          <cell r="K47">
            <v>0</v>
          </cell>
          <cell r="L47">
            <v>0</v>
          </cell>
          <cell r="M47">
            <v>0</v>
          </cell>
          <cell r="N47">
            <v>0</v>
          </cell>
          <cell r="O47">
            <v>0</v>
          </cell>
          <cell r="P47">
            <v>0</v>
          </cell>
        </row>
        <row r="48">
          <cell r="C48">
            <v>39</v>
          </cell>
          <cell r="E48" t="str">
            <v>Smith, Jr., Girard T.</v>
          </cell>
          <cell r="G48">
            <v>0</v>
          </cell>
          <cell r="H48">
            <v>0</v>
          </cell>
          <cell r="I48">
            <v>0</v>
          </cell>
          <cell r="J48">
            <v>0</v>
          </cell>
          <cell r="K48">
            <v>0</v>
          </cell>
          <cell r="L48">
            <v>0</v>
          </cell>
          <cell r="M48">
            <v>0</v>
          </cell>
          <cell r="N48">
            <v>0</v>
          </cell>
          <cell r="O48">
            <v>0</v>
          </cell>
          <cell r="P48">
            <v>0</v>
          </cell>
        </row>
        <row r="49">
          <cell r="C49">
            <v>40</v>
          </cell>
          <cell r="E49" t="str">
            <v>Clarkson, William A.</v>
          </cell>
          <cell r="G49">
            <v>0</v>
          </cell>
          <cell r="H49">
            <v>0</v>
          </cell>
          <cell r="I49">
            <v>0</v>
          </cell>
          <cell r="J49">
            <v>0</v>
          </cell>
          <cell r="K49">
            <v>0</v>
          </cell>
          <cell r="L49">
            <v>0</v>
          </cell>
          <cell r="M49">
            <v>0</v>
          </cell>
          <cell r="N49">
            <v>0</v>
          </cell>
          <cell r="O49">
            <v>0</v>
          </cell>
          <cell r="P49">
            <v>0</v>
          </cell>
        </row>
        <row r="50">
          <cell r="C50">
            <v>41</v>
          </cell>
          <cell r="E50" t="str">
            <v>LeChevallier, Mark</v>
          </cell>
          <cell r="G50">
            <v>0</v>
          </cell>
          <cell r="H50">
            <v>0</v>
          </cell>
          <cell r="I50">
            <v>0</v>
          </cell>
          <cell r="J50">
            <v>0</v>
          </cell>
          <cell r="K50">
            <v>0</v>
          </cell>
          <cell r="L50">
            <v>0</v>
          </cell>
          <cell r="M50">
            <v>0</v>
          </cell>
          <cell r="N50">
            <v>0</v>
          </cell>
          <cell r="O50">
            <v>0</v>
          </cell>
          <cell r="P50">
            <v>0</v>
          </cell>
        </row>
        <row r="51">
          <cell r="C51">
            <v>42</v>
          </cell>
          <cell r="E51" t="str">
            <v>Jerpe, David E.</v>
          </cell>
          <cell r="G51">
            <v>0</v>
          </cell>
          <cell r="H51">
            <v>0</v>
          </cell>
          <cell r="I51">
            <v>0</v>
          </cell>
          <cell r="J51">
            <v>0</v>
          </cell>
          <cell r="K51">
            <v>0</v>
          </cell>
          <cell r="L51">
            <v>0</v>
          </cell>
          <cell r="M51">
            <v>0</v>
          </cell>
          <cell r="N51">
            <v>0</v>
          </cell>
          <cell r="O51">
            <v>0</v>
          </cell>
          <cell r="P51">
            <v>0</v>
          </cell>
        </row>
        <row r="52">
          <cell r="C52">
            <v>43</v>
          </cell>
          <cell r="E52" t="str">
            <v>Cox, William E.</v>
          </cell>
          <cell r="G52">
            <v>0</v>
          </cell>
          <cell r="H52">
            <v>0</v>
          </cell>
          <cell r="I52">
            <v>0</v>
          </cell>
          <cell r="J52">
            <v>0</v>
          </cell>
          <cell r="K52">
            <v>0</v>
          </cell>
          <cell r="L52">
            <v>0</v>
          </cell>
          <cell r="M52">
            <v>0</v>
          </cell>
          <cell r="N52">
            <v>0</v>
          </cell>
          <cell r="O52">
            <v>0</v>
          </cell>
          <cell r="P52">
            <v>0</v>
          </cell>
        </row>
        <row r="53">
          <cell r="C53">
            <v>44</v>
          </cell>
          <cell r="E53" t="str">
            <v>LeGrand, Robert J.</v>
          </cell>
          <cell r="G53">
            <v>0</v>
          </cell>
          <cell r="H53">
            <v>0</v>
          </cell>
          <cell r="I53">
            <v>0</v>
          </cell>
          <cell r="J53">
            <v>0</v>
          </cell>
          <cell r="K53">
            <v>0</v>
          </cell>
          <cell r="L53">
            <v>0</v>
          </cell>
          <cell r="M53">
            <v>0</v>
          </cell>
          <cell r="N53">
            <v>0</v>
          </cell>
          <cell r="O53">
            <v>0</v>
          </cell>
          <cell r="P53">
            <v>0</v>
          </cell>
        </row>
        <row r="54">
          <cell r="C54">
            <v>45</v>
          </cell>
          <cell r="E54" t="str">
            <v>Smith, Kris</v>
          </cell>
          <cell r="G54">
            <v>0</v>
          </cell>
          <cell r="H54">
            <v>0</v>
          </cell>
          <cell r="I54">
            <v>0</v>
          </cell>
          <cell r="J54">
            <v>0</v>
          </cell>
          <cell r="K54">
            <v>0</v>
          </cell>
          <cell r="L54">
            <v>0</v>
          </cell>
          <cell r="M54">
            <v>0</v>
          </cell>
          <cell r="N54">
            <v>0</v>
          </cell>
          <cell r="O54">
            <v>0</v>
          </cell>
          <cell r="P54">
            <v>0</v>
          </cell>
        </row>
        <row r="55">
          <cell r="C55">
            <v>46</v>
          </cell>
          <cell r="E55" t="str">
            <v>Alario, Chris G.</v>
          </cell>
          <cell r="G55">
            <v>0</v>
          </cell>
          <cell r="H55">
            <v>0</v>
          </cell>
          <cell r="I55">
            <v>0</v>
          </cell>
          <cell r="J55">
            <v>0</v>
          </cell>
          <cell r="K55">
            <v>0</v>
          </cell>
          <cell r="L55">
            <v>0</v>
          </cell>
          <cell r="M55">
            <v>0</v>
          </cell>
          <cell r="N55">
            <v>0</v>
          </cell>
          <cell r="O55">
            <v>0</v>
          </cell>
          <cell r="P55">
            <v>0</v>
          </cell>
        </row>
        <row r="56">
          <cell r="C56">
            <v>47</v>
          </cell>
          <cell r="E56" t="str">
            <v>Pennay, Richard A.</v>
          </cell>
          <cell r="G56">
            <v>0</v>
          </cell>
          <cell r="H56">
            <v>0</v>
          </cell>
          <cell r="I56">
            <v>0</v>
          </cell>
          <cell r="J56">
            <v>0</v>
          </cell>
          <cell r="K56">
            <v>0</v>
          </cell>
          <cell r="L56">
            <v>0</v>
          </cell>
          <cell r="M56">
            <v>0</v>
          </cell>
          <cell r="N56">
            <v>0</v>
          </cell>
          <cell r="O56">
            <v>0</v>
          </cell>
          <cell r="P56">
            <v>0</v>
          </cell>
        </row>
        <row r="57">
          <cell r="C57">
            <v>48</v>
          </cell>
          <cell r="E57" t="str">
            <v>Hamilton, James</v>
          </cell>
          <cell r="G57">
            <v>0</v>
          </cell>
          <cell r="H57">
            <v>0</v>
          </cell>
          <cell r="I57">
            <v>0</v>
          </cell>
          <cell r="J57">
            <v>0</v>
          </cell>
          <cell r="K57">
            <v>0</v>
          </cell>
          <cell r="L57">
            <v>0</v>
          </cell>
          <cell r="M57">
            <v>0</v>
          </cell>
          <cell r="N57">
            <v>0</v>
          </cell>
          <cell r="O57">
            <v>0</v>
          </cell>
          <cell r="P57">
            <v>0</v>
          </cell>
        </row>
        <row r="58">
          <cell r="C58">
            <v>49</v>
          </cell>
          <cell r="E58" t="str">
            <v>Bickerton, Daniel P.</v>
          </cell>
          <cell r="G58">
            <v>0</v>
          </cell>
          <cell r="H58">
            <v>0</v>
          </cell>
          <cell r="I58">
            <v>0</v>
          </cell>
          <cell r="J58">
            <v>0</v>
          </cell>
          <cell r="K58">
            <v>0</v>
          </cell>
          <cell r="L58">
            <v>0</v>
          </cell>
          <cell r="M58">
            <v>0</v>
          </cell>
          <cell r="N58">
            <v>0</v>
          </cell>
          <cell r="O58">
            <v>0</v>
          </cell>
          <cell r="P58">
            <v>0</v>
          </cell>
        </row>
        <row r="59">
          <cell r="C59">
            <v>50</v>
          </cell>
          <cell r="E59" t="str">
            <v>Clarke, Gary D.</v>
          </cell>
          <cell r="G59">
            <v>0</v>
          </cell>
          <cell r="H59">
            <v>0</v>
          </cell>
          <cell r="I59">
            <v>0</v>
          </cell>
          <cell r="J59">
            <v>0</v>
          </cell>
          <cell r="K59">
            <v>0</v>
          </cell>
          <cell r="L59">
            <v>0</v>
          </cell>
          <cell r="M59">
            <v>0</v>
          </cell>
          <cell r="N59">
            <v>0</v>
          </cell>
          <cell r="O59">
            <v>0</v>
          </cell>
          <cell r="P59">
            <v>0</v>
          </cell>
        </row>
        <row r="60">
          <cell r="C60">
            <v>51</v>
          </cell>
          <cell r="E60" t="str">
            <v>Davis, William B.</v>
          </cell>
          <cell r="G60">
            <v>0</v>
          </cell>
          <cell r="H60">
            <v>0</v>
          </cell>
          <cell r="I60">
            <v>0</v>
          </cell>
          <cell r="J60">
            <v>0</v>
          </cell>
          <cell r="K60">
            <v>0</v>
          </cell>
          <cell r="L60">
            <v>0</v>
          </cell>
          <cell r="M60">
            <v>0</v>
          </cell>
          <cell r="N60">
            <v>0</v>
          </cell>
          <cell r="O60">
            <v>0</v>
          </cell>
          <cell r="P60">
            <v>0</v>
          </cell>
        </row>
        <row r="61">
          <cell r="C61">
            <v>52</v>
          </cell>
          <cell r="E61" t="str">
            <v>Jones, Lendel G.</v>
          </cell>
          <cell r="G61">
            <v>0</v>
          </cell>
          <cell r="H61">
            <v>0</v>
          </cell>
          <cell r="I61">
            <v>0</v>
          </cell>
          <cell r="J61">
            <v>0</v>
          </cell>
          <cell r="K61">
            <v>0</v>
          </cell>
          <cell r="L61">
            <v>0</v>
          </cell>
          <cell r="M61">
            <v>0</v>
          </cell>
          <cell r="N61">
            <v>0</v>
          </cell>
          <cell r="O61">
            <v>0</v>
          </cell>
          <cell r="P61">
            <v>0</v>
          </cell>
        </row>
        <row r="62">
          <cell r="C62">
            <v>53</v>
          </cell>
          <cell r="E62" t="str">
            <v>Kyriss, Karl M.</v>
          </cell>
          <cell r="G62">
            <v>0</v>
          </cell>
          <cell r="H62">
            <v>0</v>
          </cell>
          <cell r="I62">
            <v>0</v>
          </cell>
          <cell r="J62">
            <v>0</v>
          </cell>
          <cell r="K62">
            <v>0</v>
          </cell>
          <cell r="L62">
            <v>0</v>
          </cell>
          <cell r="M62">
            <v>0</v>
          </cell>
          <cell r="N62">
            <v>0</v>
          </cell>
          <cell r="O62">
            <v>0</v>
          </cell>
          <cell r="P62">
            <v>0</v>
          </cell>
        </row>
        <row r="63">
          <cell r="C63">
            <v>54</v>
          </cell>
          <cell r="E63" t="str">
            <v>Sgro, Michael A.</v>
          </cell>
          <cell r="G63">
            <v>0</v>
          </cell>
          <cell r="H63">
            <v>0</v>
          </cell>
          <cell r="I63">
            <v>0</v>
          </cell>
          <cell r="J63">
            <v>0</v>
          </cell>
          <cell r="K63">
            <v>0</v>
          </cell>
          <cell r="L63">
            <v>0</v>
          </cell>
          <cell r="M63">
            <v>0</v>
          </cell>
          <cell r="N63">
            <v>0</v>
          </cell>
          <cell r="O63">
            <v>0</v>
          </cell>
          <cell r="P63">
            <v>0</v>
          </cell>
        </row>
        <row r="64">
          <cell r="C64">
            <v>55</v>
          </cell>
          <cell r="E64" t="str">
            <v>Jenkins, James M.</v>
          </cell>
          <cell r="G64">
            <v>0</v>
          </cell>
          <cell r="H64">
            <v>0</v>
          </cell>
          <cell r="I64">
            <v>0</v>
          </cell>
          <cell r="J64">
            <v>0</v>
          </cell>
          <cell r="K64">
            <v>0</v>
          </cell>
          <cell r="L64">
            <v>0</v>
          </cell>
          <cell r="M64">
            <v>0</v>
          </cell>
          <cell r="N64">
            <v>0</v>
          </cell>
          <cell r="O64">
            <v>0</v>
          </cell>
          <cell r="P64">
            <v>0</v>
          </cell>
        </row>
        <row r="65">
          <cell r="C65">
            <v>56</v>
          </cell>
          <cell r="E65" t="str">
            <v>Mundy II, Roy W.</v>
          </cell>
          <cell r="G65">
            <v>0</v>
          </cell>
          <cell r="H65">
            <v>0</v>
          </cell>
          <cell r="I65">
            <v>0</v>
          </cell>
          <cell r="J65">
            <v>0</v>
          </cell>
          <cell r="K65">
            <v>0</v>
          </cell>
          <cell r="L65">
            <v>0</v>
          </cell>
          <cell r="M65">
            <v>0</v>
          </cell>
          <cell r="N65">
            <v>0</v>
          </cell>
          <cell r="O65">
            <v>0</v>
          </cell>
          <cell r="P65">
            <v>100</v>
          </cell>
        </row>
        <row r="66">
          <cell r="C66">
            <v>57</v>
          </cell>
          <cell r="E66" t="str">
            <v>L'Ecuyer, William F</v>
          </cell>
          <cell r="G66">
            <v>100</v>
          </cell>
          <cell r="H66">
            <v>100</v>
          </cell>
          <cell r="I66">
            <v>100</v>
          </cell>
          <cell r="J66">
            <v>100</v>
          </cell>
          <cell r="K66">
            <v>100</v>
          </cell>
          <cell r="L66">
            <v>100</v>
          </cell>
          <cell r="M66">
            <v>100</v>
          </cell>
          <cell r="N66">
            <v>100</v>
          </cell>
          <cell r="O66">
            <v>100</v>
          </cell>
          <cell r="P66">
            <v>0</v>
          </cell>
        </row>
        <row r="67">
          <cell r="C67">
            <v>58</v>
          </cell>
          <cell r="E67" t="str">
            <v>Ruckman, Fred L.</v>
          </cell>
          <cell r="G67">
            <v>0</v>
          </cell>
          <cell r="H67">
            <v>0</v>
          </cell>
          <cell r="I67">
            <v>0</v>
          </cell>
          <cell r="J67">
            <v>0</v>
          </cell>
          <cell r="K67">
            <v>0</v>
          </cell>
          <cell r="L67">
            <v>0</v>
          </cell>
          <cell r="M67">
            <v>0</v>
          </cell>
          <cell r="N67">
            <v>0</v>
          </cell>
          <cell r="O67">
            <v>0</v>
          </cell>
          <cell r="P67">
            <v>0</v>
          </cell>
        </row>
        <row r="68">
          <cell r="C68">
            <v>59</v>
          </cell>
          <cell r="E68" t="str">
            <v>Miller, Michael A.</v>
          </cell>
          <cell r="G68">
            <v>0</v>
          </cell>
          <cell r="H68">
            <v>0</v>
          </cell>
          <cell r="I68">
            <v>0</v>
          </cell>
          <cell r="J68">
            <v>0</v>
          </cell>
          <cell r="K68">
            <v>0</v>
          </cell>
          <cell r="L68">
            <v>0</v>
          </cell>
          <cell r="M68">
            <v>0</v>
          </cell>
          <cell r="N68">
            <v>0</v>
          </cell>
          <cell r="O68">
            <v>0</v>
          </cell>
          <cell r="P68">
            <v>0</v>
          </cell>
        </row>
        <row r="69">
          <cell r="C69">
            <v>60</v>
          </cell>
          <cell r="E69" t="str">
            <v>Freeston, Rob W.</v>
          </cell>
          <cell r="G69">
            <v>0</v>
          </cell>
          <cell r="H69">
            <v>0</v>
          </cell>
          <cell r="I69">
            <v>0</v>
          </cell>
          <cell r="J69">
            <v>0</v>
          </cell>
          <cell r="K69">
            <v>0</v>
          </cell>
          <cell r="L69">
            <v>0</v>
          </cell>
          <cell r="M69">
            <v>0</v>
          </cell>
          <cell r="N69">
            <v>0</v>
          </cell>
          <cell r="O69">
            <v>0</v>
          </cell>
          <cell r="P69">
            <v>0</v>
          </cell>
        </row>
        <row r="70">
          <cell r="C70">
            <v>61</v>
          </cell>
          <cell r="E70" t="str">
            <v>Mitchem, R. Douglas</v>
          </cell>
          <cell r="G70">
            <v>0</v>
          </cell>
          <cell r="H70">
            <v>0</v>
          </cell>
          <cell r="I70">
            <v>0</v>
          </cell>
          <cell r="J70">
            <v>0</v>
          </cell>
          <cell r="K70">
            <v>0</v>
          </cell>
          <cell r="L70">
            <v>0</v>
          </cell>
          <cell r="M70">
            <v>0</v>
          </cell>
          <cell r="N70">
            <v>0</v>
          </cell>
          <cell r="O70">
            <v>0</v>
          </cell>
          <cell r="P70">
            <v>0</v>
          </cell>
        </row>
        <row r="71">
          <cell r="C71">
            <v>62</v>
          </cell>
          <cell r="E71" t="str">
            <v>Kartman, Frank L.</v>
          </cell>
          <cell r="G71">
            <v>0</v>
          </cell>
          <cell r="H71">
            <v>0</v>
          </cell>
          <cell r="I71">
            <v>0</v>
          </cell>
          <cell r="J71">
            <v>0</v>
          </cell>
          <cell r="K71">
            <v>0</v>
          </cell>
          <cell r="L71">
            <v>0</v>
          </cell>
          <cell r="M71">
            <v>0</v>
          </cell>
          <cell r="N71">
            <v>0</v>
          </cell>
          <cell r="O71">
            <v>0</v>
          </cell>
          <cell r="P71">
            <v>0</v>
          </cell>
        </row>
        <row r="72">
          <cell r="C72">
            <v>63</v>
          </cell>
          <cell r="E72" t="str">
            <v>Kelvington, William C.</v>
          </cell>
          <cell r="G72">
            <v>0</v>
          </cell>
          <cell r="H72">
            <v>0</v>
          </cell>
          <cell r="I72">
            <v>0</v>
          </cell>
          <cell r="J72">
            <v>0</v>
          </cell>
          <cell r="K72">
            <v>0</v>
          </cell>
          <cell r="L72">
            <v>0</v>
          </cell>
          <cell r="M72">
            <v>0</v>
          </cell>
          <cell r="N72">
            <v>0</v>
          </cell>
          <cell r="O72">
            <v>0</v>
          </cell>
          <cell r="P72">
            <v>0</v>
          </cell>
        </row>
        <row r="73">
          <cell r="C73">
            <v>64</v>
          </cell>
          <cell r="E73" t="str">
            <v>Schultz, David B.</v>
          </cell>
          <cell r="G73">
            <v>0</v>
          </cell>
          <cell r="H73">
            <v>0</v>
          </cell>
          <cell r="I73">
            <v>0</v>
          </cell>
          <cell r="J73">
            <v>0</v>
          </cell>
          <cell r="K73">
            <v>0</v>
          </cell>
          <cell r="L73">
            <v>0</v>
          </cell>
          <cell r="M73">
            <v>0</v>
          </cell>
          <cell r="N73">
            <v>0</v>
          </cell>
          <cell r="O73">
            <v>0</v>
          </cell>
          <cell r="P73">
            <v>0</v>
          </cell>
        </row>
        <row r="74">
          <cell r="C74">
            <v>65</v>
          </cell>
          <cell r="E74" t="str">
            <v>Rowe, Nick O.</v>
          </cell>
          <cell r="G74">
            <v>0</v>
          </cell>
          <cell r="H74">
            <v>0</v>
          </cell>
          <cell r="I74">
            <v>0</v>
          </cell>
          <cell r="J74">
            <v>0</v>
          </cell>
          <cell r="K74">
            <v>0</v>
          </cell>
          <cell r="L74">
            <v>0</v>
          </cell>
          <cell r="M74">
            <v>0</v>
          </cell>
          <cell r="N74">
            <v>0</v>
          </cell>
          <cell r="O74">
            <v>0</v>
          </cell>
          <cell r="P74">
            <v>0</v>
          </cell>
        </row>
        <row r="75">
          <cell r="C75">
            <v>66</v>
          </cell>
          <cell r="E75" t="str">
            <v>Cole, Duane D.</v>
          </cell>
          <cell r="G75">
            <v>0</v>
          </cell>
          <cell r="H75">
            <v>0</v>
          </cell>
          <cell r="I75">
            <v>0</v>
          </cell>
          <cell r="J75">
            <v>0</v>
          </cell>
          <cell r="K75">
            <v>0</v>
          </cell>
          <cell r="L75">
            <v>0</v>
          </cell>
          <cell r="M75">
            <v>0</v>
          </cell>
          <cell r="N75">
            <v>0</v>
          </cell>
          <cell r="O75">
            <v>0</v>
          </cell>
          <cell r="P75">
            <v>0</v>
          </cell>
        </row>
        <row r="76">
          <cell r="C76">
            <v>67</v>
          </cell>
          <cell r="E76" t="str">
            <v>Smith, Laird</v>
          </cell>
          <cell r="G76">
            <v>0</v>
          </cell>
          <cell r="H76">
            <v>0</v>
          </cell>
          <cell r="I76">
            <v>0</v>
          </cell>
          <cell r="J76">
            <v>0</v>
          </cell>
          <cell r="K76">
            <v>0</v>
          </cell>
          <cell r="L76">
            <v>0</v>
          </cell>
          <cell r="M76">
            <v>0</v>
          </cell>
          <cell r="N76">
            <v>0</v>
          </cell>
          <cell r="O76">
            <v>0</v>
          </cell>
          <cell r="P76">
            <v>0</v>
          </cell>
        </row>
        <row r="77">
          <cell r="C77">
            <v>68</v>
          </cell>
          <cell r="E77" t="str">
            <v>Abernathy, David P.</v>
          </cell>
          <cell r="G77">
            <v>0</v>
          </cell>
          <cell r="H77">
            <v>0</v>
          </cell>
          <cell r="I77">
            <v>0</v>
          </cell>
          <cell r="J77">
            <v>0</v>
          </cell>
          <cell r="K77">
            <v>0</v>
          </cell>
          <cell r="L77">
            <v>0</v>
          </cell>
          <cell r="M77">
            <v>0</v>
          </cell>
          <cell r="N77">
            <v>0</v>
          </cell>
          <cell r="O77">
            <v>0</v>
          </cell>
          <cell r="P77">
            <v>0</v>
          </cell>
        </row>
        <row r="78">
          <cell r="C78">
            <v>69</v>
          </cell>
          <cell r="E78" t="str">
            <v>Redmond, Velma A.</v>
          </cell>
          <cell r="G78">
            <v>0</v>
          </cell>
          <cell r="H78">
            <v>0</v>
          </cell>
          <cell r="I78">
            <v>0</v>
          </cell>
          <cell r="J78">
            <v>0</v>
          </cell>
          <cell r="K78">
            <v>0</v>
          </cell>
          <cell r="L78">
            <v>0</v>
          </cell>
          <cell r="M78">
            <v>0</v>
          </cell>
          <cell r="N78">
            <v>0</v>
          </cell>
          <cell r="O78">
            <v>0</v>
          </cell>
          <cell r="P78">
            <v>0</v>
          </cell>
        </row>
        <row r="79">
          <cell r="C79">
            <v>70</v>
          </cell>
          <cell r="E79" t="str">
            <v>Chambers, Stephen N.</v>
          </cell>
          <cell r="G79">
            <v>0</v>
          </cell>
          <cell r="H79">
            <v>0</v>
          </cell>
          <cell r="I79">
            <v>0</v>
          </cell>
          <cell r="J79">
            <v>0</v>
          </cell>
          <cell r="K79">
            <v>0</v>
          </cell>
          <cell r="L79">
            <v>0</v>
          </cell>
          <cell r="M79">
            <v>0</v>
          </cell>
          <cell r="N79">
            <v>0</v>
          </cell>
          <cell r="O79">
            <v>0</v>
          </cell>
          <cell r="P79">
            <v>0</v>
          </cell>
        </row>
        <row r="80">
          <cell r="C80">
            <v>71</v>
          </cell>
          <cell r="E80" t="str">
            <v>Schultz, Sue A.</v>
          </cell>
          <cell r="G80">
            <v>0</v>
          </cell>
          <cell r="H80">
            <v>0</v>
          </cell>
          <cell r="I80">
            <v>0</v>
          </cell>
          <cell r="J80">
            <v>0</v>
          </cell>
          <cell r="K80">
            <v>0</v>
          </cell>
          <cell r="L80">
            <v>0</v>
          </cell>
          <cell r="M80">
            <v>0</v>
          </cell>
          <cell r="N80">
            <v>0</v>
          </cell>
          <cell r="O80">
            <v>0</v>
          </cell>
          <cell r="P80">
            <v>0</v>
          </cell>
        </row>
        <row r="81">
          <cell r="C81">
            <v>72</v>
          </cell>
          <cell r="E81" t="str">
            <v>Miller, Herbert A.</v>
          </cell>
          <cell r="G81">
            <v>0</v>
          </cell>
          <cell r="H81">
            <v>0</v>
          </cell>
          <cell r="I81">
            <v>0</v>
          </cell>
          <cell r="J81">
            <v>0</v>
          </cell>
          <cell r="K81">
            <v>0</v>
          </cell>
          <cell r="L81">
            <v>0</v>
          </cell>
          <cell r="M81">
            <v>0</v>
          </cell>
          <cell r="N81">
            <v>0</v>
          </cell>
          <cell r="O81">
            <v>0</v>
          </cell>
          <cell r="P81">
            <v>0</v>
          </cell>
        </row>
        <row r="82">
          <cell r="C82">
            <v>73</v>
          </cell>
          <cell r="E82" t="str">
            <v>Jones, Theodore (c)</v>
          </cell>
          <cell r="G82">
            <v>0</v>
          </cell>
          <cell r="H82">
            <v>0</v>
          </cell>
          <cell r="I82">
            <v>0</v>
          </cell>
          <cell r="J82">
            <v>0</v>
          </cell>
          <cell r="K82">
            <v>0</v>
          </cell>
          <cell r="L82">
            <v>0</v>
          </cell>
          <cell r="M82">
            <v>0</v>
          </cell>
          <cell r="N82">
            <v>0</v>
          </cell>
          <cell r="O82">
            <v>0</v>
          </cell>
          <cell r="P82">
            <v>0</v>
          </cell>
        </row>
        <row r="83">
          <cell r="C83">
            <v>74</v>
          </cell>
          <cell r="E83" t="str">
            <v>McKitrick, Thomas G.</v>
          </cell>
          <cell r="G83">
            <v>0</v>
          </cell>
          <cell r="H83">
            <v>0</v>
          </cell>
          <cell r="I83">
            <v>0</v>
          </cell>
          <cell r="J83">
            <v>0</v>
          </cell>
          <cell r="K83">
            <v>0</v>
          </cell>
          <cell r="L83">
            <v>0</v>
          </cell>
          <cell r="M83">
            <v>0</v>
          </cell>
          <cell r="N83">
            <v>0</v>
          </cell>
          <cell r="O83">
            <v>0</v>
          </cell>
          <cell r="P83">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AWW Consolidated"/>
      <sheetName val="AWW parent"/>
      <sheetName val="AZ"/>
      <sheetName val="CA"/>
      <sheetName val="HI"/>
      <sheetName val="IL"/>
      <sheetName val="IN"/>
      <sheetName val="IA"/>
      <sheetName val="KY"/>
      <sheetName val="LI"/>
      <sheetName val="MD"/>
      <sheetName val="MO"/>
      <sheetName val="NJ"/>
      <sheetName val="NM"/>
      <sheetName val="OH"/>
      <sheetName val="PA"/>
      <sheetName val="TN"/>
      <sheetName val="VA &amp; VAE"/>
      <sheetName val="WV &amp; BFV"/>
      <sheetName val="AWS"/>
      <sheetName val="Summ"/>
      <sheetName val="DO NOT PRINT - Deferrals"/>
    </sheetNames>
    <sheetDataSet>
      <sheetData sheetId="0" refreshError="1">
        <row r="4">
          <cell r="J4"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TBHFM"/>
      <sheetName val="Instructions"/>
      <sheetName val="NUP - Consolidated"/>
      <sheetName val="NUP - Consol Adj"/>
      <sheetName val="NUP - Total All Cos"/>
      <sheetName val="NUP - Total JDE Cos"/>
      <sheetName val="NUP - Co 2"/>
      <sheetName val="NUP - Co 3"/>
      <sheetName val="NUP - Co 4"/>
      <sheetName val="NUP - Co 5"/>
      <sheetName val="NUP - Co 9"/>
      <sheetName val="NUP - Co 10"/>
      <sheetName val="NUP - Co 11"/>
      <sheetName val="NUP - Co 12"/>
      <sheetName val="NUP - Co 13"/>
      <sheetName val="NUP - Co 16"/>
      <sheetName val="NUP - Co 17"/>
      <sheetName val="NUP - Co 18"/>
      <sheetName val="NUP - Co 19"/>
      <sheetName val="NUP - Co 21"/>
      <sheetName val="NUP - Co 22"/>
      <sheetName val="NUP - Co 23"/>
      <sheetName val="NUP - Co 24"/>
      <sheetName val="NUP - Co 26"/>
      <sheetName val="NUP - Co 27"/>
      <sheetName val="NUP - Co 28"/>
      <sheetName val="NUP - Co 30"/>
      <sheetName val="NUP - Co 38"/>
      <sheetName val="NUP - Co 42"/>
      <sheetName val="NUP - Co 44"/>
      <sheetName val="NUP - Co 50"/>
      <sheetName val="NUP - Co 51"/>
      <sheetName val="NUP - Co 54"/>
      <sheetName val="NUP - Co 55"/>
      <sheetName val="NUP - Co 90"/>
      <sheetName val="NUP - Co 91"/>
      <sheetName val="NUP - AWR-GP"/>
      <sheetName val="NUP - AWE"/>
      <sheetName val="NUP - Applied W Mgmt-WW"/>
      <sheetName val="NUP - Applied WW Mgmt-W"/>
      <sheetName val="NUP - Applied WW Mgmt-WWI"/>
      <sheetName val="Dropdowns"/>
    </sheetNames>
    <sheetDataSet>
      <sheetData sheetId="0" refreshError="1"/>
      <sheetData sheetId="1" refreshError="1"/>
      <sheetData sheetId="2" refreshError="1"/>
      <sheetData sheetId="3" refreshError="1"/>
      <sheetData sheetId="4" refreshError="1"/>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row r="1">
          <cell r="C1" t="str">
            <v>Company #02-American Water Works Co</v>
          </cell>
        </row>
        <row r="2">
          <cell r="C2" t="str">
            <v>Company #03-American Water Works Service Co</v>
          </cell>
        </row>
        <row r="3">
          <cell r="C3" t="str">
            <v>Company #04-Bluefield Valley Water Works</v>
          </cell>
        </row>
        <row r="4">
          <cell r="C4" t="str">
            <v>Company #05-California American Water Co</v>
          </cell>
        </row>
        <row r="5">
          <cell r="C5" t="str">
            <v>Company #09-Illinois American Water Co</v>
          </cell>
        </row>
        <row r="6">
          <cell r="C6" t="str">
            <v>Company #10-Indiana American Water Co</v>
          </cell>
        </row>
        <row r="7">
          <cell r="C7" t="str">
            <v>Company #11-Iowa American Water Co</v>
          </cell>
        </row>
        <row r="8">
          <cell r="C8" t="str">
            <v>Company #12-Kentucky American Water Co</v>
          </cell>
        </row>
        <row r="9">
          <cell r="C9" t="str">
            <v>Company #13-Maryland American Water Co</v>
          </cell>
        </row>
        <row r="10">
          <cell r="C10" t="str">
            <v>Company #16-Michigan American Water Co</v>
          </cell>
        </row>
        <row r="11">
          <cell r="C11" t="str">
            <v>Company #17-Missouri American Water Co</v>
          </cell>
        </row>
        <row r="12">
          <cell r="C12" t="str">
            <v>Company #18-New Jersey American Water Co</v>
          </cell>
        </row>
        <row r="13">
          <cell r="C13" t="str">
            <v>Company #19-New Mexico American Water Co</v>
          </cell>
        </row>
        <row r="14">
          <cell r="C14" t="str">
            <v>Company #21-American Water Resources (Lease)</v>
          </cell>
        </row>
        <row r="15">
          <cell r="C15" t="str">
            <v>Company #22-Ohio American Water Co</v>
          </cell>
        </row>
        <row r="16">
          <cell r="C16" t="str">
            <v>Company #23-Arizona American Water Co</v>
          </cell>
        </row>
        <row r="17">
          <cell r="C17" t="str">
            <v>Company #24-Pennsylvania American Water Co</v>
          </cell>
        </row>
        <row r="18">
          <cell r="C18" t="str">
            <v>Company #26-Tennessee American Water Co</v>
          </cell>
        </row>
        <row r="19">
          <cell r="C19" t="str">
            <v>Company #27-Virginia American Water Co</v>
          </cell>
        </row>
        <row r="20">
          <cell r="C20" t="str">
            <v>Company #28-West Virginia American Water Co</v>
          </cell>
        </row>
        <row r="21">
          <cell r="C21" t="str">
            <v>Company #30-Hawaii American Water Co</v>
          </cell>
        </row>
        <row r="22">
          <cell r="C22" t="str">
            <v>Company #38-Long Island Water Co</v>
          </cell>
        </row>
        <row r="23">
          <cell r="C23" t="str">
            <v>Company #42-United Water Virginia</v>
          </cell>
        </row>
        <row r="24">
          <cell r="C24" t="str">
            <v>Company #44-American Lake Water Co</v>
          </cell>
        </row>
        <row r="25">
          <cell r="C25" t="str">
            <v>Company #45-AmericanAnglian Canada Corp</v>
          </cell>
        </row>
        <row r="26">
          <cell r="C26" t="str">
            <v>Company #46-American Water Capital Corp</v>
          </cell>
        </row>
        <row r="27">
          <cell r="C27" t="str">
            <v>Company #50-Texas American Water Co</v>
          </cell>
        </row>
        <row r="28">
          <cell r="C28" t="str">
            <v>Company #51-Etown Corporation</v>
          </cell>
        </row>
        <row r="29">
          <cell r="C29" t="str">
            <v>Company #52-Elizabethtown Water Co</v>
          </cell>
        </row>
        <row r="30">
          <cell r="C30" t="str">
            <v>Company #53-Mt Holly Water Co</v>
          </cell>
        </row>
        <row r="31">
          <cell r="C31" t="str">
            <v>Company #54-Edison Water Co</v>
          </cell>
        </row>
        <row r="32">
          <cell r="C32" t="str">
            <v>Company #55-Liberty Water Co</v>
          </cell>
        </row>
        <row r="33">
          <cell r="C33" t="str">
            <v>Company #56-Etown Services LLC</v>
          </cell>
        </row>
        <row r="34">
          <cell r="C34" t="str">
            <v>Company #57-Etown Properties Inc</v>
          </cell>
        </row>
        <row r="35">
          <cell r="C35" t="str">
            <v>Company #75-American Water Finance LLC</v>
          </cell>
        </row>
        <row r="36">
          <cell r="C36" t="str">
            <v>Company #80-Laurel Oak Properties Inc</v>
          </cell>
        </row>
        <row r="37">
          <cell r="C37" t="str">
            <v>Company #85-ACUS (Ashbrook Corporation)</v>
          </cell>
        </row>
        <row r="38">
          <cell r="C38" t="str">
            <v>Company #87-Hydro Aerobics Inc</v>
          </cell>
        </row>
        <row r="39">
          <cell r="C39" t="str">
            <v>Company #90-Thames Water Holding Inc</v>
          </cell>
        </row>
        <row r="40">
          <cell r="C40" t="str">
            <v>Company #91-Thames Water North America</v>
          </cell>
        </row>
        <row r="41">
          <cell r="C41" t="str">
            <v>Company #92-Thames Water Aqua US</v>
          </cell>
        </row>
        <row r="42">
          <cell r="C42" t="str">
            <v>American Water Enterprises</v>
          </cell>
        </row>
        <row r="43">
          <cell r="C43" t="str">
            <v>AWR WLPP/SLPP</v>
          </cell>
        </row>
      </sheetData>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Sort Formulas and Fuel Inputs"/>
      <sheetName val="Data"/>
      <sheetName val="Predictive Data"/>
      <sheetName val="Life Cycle Costs"/>
      <sheetName val="Disclaimer"/>
      <sheetName val="Module1"/>
      <sheetName val="Dropdown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IAMOND"/>
      <sheetName val="STATIA"/>
      <sheetName val="Cover"/>
      <sheetName val="Index"/>
      <sheetName val="__FDSCACHE__"/>
      <sheetName val="Summary"/>
      <sheetName val="RevBuild"/>
      <sheetName val="ExpBuild"/>
      <sheetName val="TargetIS"/>
      <sheetName val="TargetBS"/>
      <sheetName val="Target D&amp;A"/>
      <sheetName val="Debt"/>
      <sheetName val="Taxes"/>
      <sheetName val="DCF"/>
      <sheetName val="Target_D&amp;A"/>
      <sheetName val="CA"/>
      <sheetName val="02 - AWK"/>
      <sheetName val="Total"/>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CHECKLIST"/>
      <sheetName val="AFFIDAVIT"/>
      <sheetName val="F_1"/>
      <sheetName val="F_2"/>
      <sheetName val="F_3"/>
      <sheetName val="F_4"/>
      <sheetName val="F_5"/>
      <sheetName val="Pivot"/>
      <sheetName val="JDE TB"/>
      <sheetName val="Instructions"/>
      <sheetName val="F_8_F_9"/>
      <sheetName val="F_6"/>
      <sheetName val="F_7"/>
      <sheetName val="F_10"/>
      <sheetName val="F_11"/>
      <sheetName val="F_12"/>
      <sheetName val="F_13"/>
      <sheetName val="F_14_F_15"/>
      <sheetName val="F_16"/>
      <sheetName val="F_17"/>
      <sheetName val="F_18"/>
      <sheetName val="F_19"/>
      <sheetName val="F_20"/>
      <sheetName val="F_22"/>
      <sheetName val="F_21"/>
      <sheetName val="F_23"/>
      <sheetName val="F_25"/>
      <sheetName val="F_24"/>
      <sheetName val="F_26"/>
      <sheetName val="F_27"/>
      <sheetName val="F_28"/>
      <sheetName val="F_29"/>
      <sheetName val="F_30"/>
      <sheetName val="F_31"/>
      <sheetName val="F_32"/>
      <sheetName val="F_33"/>
      <sheetName val="F_34"/>
      <sheetName val="F_35_F_35B"/>
      <sheetName val="F_36"/>
      <sheetName val="F_37"/>
      <sheetName val="F_38_F_39"/>
      <sheetName val="F_40"/>
      <sheetName val="F_41"/>
      <sheetName val="F_42"/>
      <sheetName val="W_1"/>
      <sheetName val="W_2_W_3"/>
      <sheetName val="W_4_W_5"/>
      <sheetName val="W_6"/>
      <sheetName val="W_7"/>
      <sheetName val="W_8"/>
      <sheetName val="W_9"/>
      <sheetName val="W_10"/>
      <sheetName val="W_11"/>
      <sheetName val="W_12"/>
      <sheetName val="T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TPACT"/>
      <sheetName val="General"/>
      <sheetName val="Valuation"/>
      <sheetName val="NEI"/>
      <sheetName val="Etown SERP"/>
      <sheetName val="Etown Directors"/>
      <sheetName val="Customize Your Invoice"/>
      <sheetName val="Assumptions"/>
      <sheetName val="CA"/>
    </sheetNames>
    <sheetDataSet>
      <sheetData sheetId="0" refreshError="1"/>
      <sheetData sheetId="1" refreshError="1">
        <row r="1">
          <cell r="B1">
            <v>38353</v>
          </cell>
        </row>
        <row r="2">
          <cell r="B2">
            <v>0.06</v>
          </cell>
        </row>
      </sheetData>
      <sheetData sheetId="2" refreshError="1"/>
      <sheetData sheetId="3"/>
      <sheetData sheetId="4"/>
      <sheetData sheetId="5" refreshError="1"/>
      <sheetData sheetId="6" refreshError="1"/>
      <sheetData sheetId="7" refreshError="1"/>
      <sheetData sheetId="8"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ssumptions"/>
      <sheetName val="Data"/>
      <sheetName val="TPACT"/>
      <sheetName val="NEI"/>
      <sheetName val="NEI-NEW"/>
      <sheetName val="NEI (Abernathy)"/>
      <sheetName val="Sheet2"/>
      <sheetName val="IO"/>
      <sheetName val="General"/>
    </sheetNames>
    <sheetDataSet>
      <sheetData sheetId="0"/>
      <sheetData sheetId="1"/>
      <sheetData sheetId="2" refreshError="1">
        <row r="287">
          <cell r="B287" t="str">
            <v>S&amp;U-Q</v>
          </cell>
        </row>
        <row r="288">
          <cell r="B288">
            <v>1</v>
          </cell>
        </row>
        <row r="289">
          <cell r="B289">
            <v>125</v>
          </cell>
        </row>
        <row r="290">
          <cell r="B290">
            <v>1</v>
          </cell>
        </row>
        <row r="291">
          <cell r="B291">
            <v>126</v>
          </cell>
        </row>
        <row r="292">
          <cell r="B292">
            <v>-1</v>
          </cell>
        </row>
        <row r="293">
          <cell r="B293">
            <v>1</v>
          </cell>
        </row>
        <row r="294">
          <cell r="B294">
            <v>0</v>
          </cell>
        </row>
        <row r="295">
          <cell r="B295">
            <v>5</v>
          </cell>
        </row>
        <row r="296">
          <cell r="B296">
            <v>1</v>
          </cell>
        </row>
        <row r="297">
          <cell r="B297">
            <v>110</v>
          </cell>
        </row>
        <row r="298">
          <cell r="B298">
            <v>2</v>
          </cell>
        </row>
        <row r="299">
          <cell r="B299">
            <v>10000000</v>
          </cell>
        </row>
        <row r="300">
          <cell r="B300">
            <v>10000000</v>
          </cell>
        </row>
        <row r="301">
          <cell r="B301">
            <v>10000000</v>
          </cell>
        </row>
        <row r="302">
          <cell r="B302">
            <v>10000000</v>
          </cell>
        </row>
        <row r="303">
          <cell r="B303">
            <v>10000000</v>
          </cell>
        </row>
        <row r="304">
          <cell r="B304">
            <v>9996580</v>
          </cell>
        </row>
        <row r="305">
          <cell r="B305">
            <v>9993401.0875599999</v>
          </cell>
        </row>
        <row r="306">
          <cell r="B306">
            <v>9990383.0804315563</v>
          </cell>
        </row>
        <row r="307">
          <cell r="B307">
            <v>9987445.9078059085</v>
          </cell>
        </row>
        <row r="308">
          <cell r="B308">
            <v>9984529.5736008286</v>
          </cell>
        </row>
        <row r="309">
          <cell r="B309">
            <v>9981604.1064357646</v>
          </cell>
        </row>
        <row r="310">
          <cell r="B310">
            <v>9978629.5884120464</v>
          </cell>
        </row>
        <row r="311">
          <cell r="B311">
            <v>9975596.0850171689</v>
          </cell>
        </row>
        <row r="312">
          <cell r="B312">
            <v>9972503.6502308138</v>
          </cell>
        </row>
        <row r="313">
          <cell r="B313">
            <v>9969342.3665736914</v>
          </cell>
        </row>
        <row r="314">
          <cell r="B314">
            <v>9966102.3303045556</v>
          </cell>
        </row>
        <row r="315">
          <cell r="B315">
            <v>9962783.618228564</v>
          </cell>
        </row>
        <row r="316">
          <cell r="B316">
            <v>9959366.3834475111</v>
          </cell>
        </row>
        <row r="317">
          <cell r="B317">
            <v>9955850.727114154</v>
          </cell>
        </row>
        <row r="318">
          <cell r="B318">
            <v>9952216.8415987585</v>
          </cell>
        </row>
        <row r="319">
          <cell r="B319">
            <v>9948464.8558494765</v>
          </cell>
        </row>
        <row r="320">
          <cell r="B320">
            <v>9944565.0576259848</v>
          </cell>
        </row>
        <row r="321">
          <cell r="B321">
            <v>9940507.6750824731</v>
          </cell>
        </row>
        <row r="322">
          <cell r="B322">
            <v>9936292.8998282384</v>
          </cell>
        </row>
        <row r="323">
          <cell r="B323">
            <v>9931881.1857807152</v>
          </cell>
        </row>
        <row r="324">
          <cell r="B324">
            <v>9927272.7929105125</v>
          </cell>
        </row>
        <row r="325">
          <cell r="B325">
            <v>9922428.2837875709</v>
          </cell>
        </row>
        <row r="326">
          <cell r="B326">
            <v>9917338.0780779887</v>
          </cell>
        </row>
        <row r="327">
          <cell r="B327">
            <v>9911962.8808396701</v>
          </cell>
        </row>
        <row r="328">
          <cell r="B328">
            <v>9906293.2380718291</v>
          </cell>
        </row>
        <row r="329">
          <cell r="B329">
            <v>9900280.1180763189</v>
          </cell>
        </row>
        <row r="330">
          <cell r="B330">
            <v>9893894.4374001604</v>
          </cell>
        </row>
        <row r="331">
          <cell r="B331">
            <v>9887097.3319216669</v>
          </cell>
        </row>
        <row r="332">
          <cell r="B332">
            <v>9879840.2024800368</v>
          </cell>
        </row>
        <row r="333">
          <cell r="B333">
            <v>9872084.5279210899</v>
          </cell>
        </row>
        <row r="334">
          <cell r="B334">
            <v>9863594.5352270789</v>
          </cell>
        </row>
        <row r="335">
          <cell r="B335">
            <v>9854648.2549836282</v>
          </cell>
        </row>
        <row r="336">
          <cell r="B336">
            <v>9845128.6647693142</v>
          </cell>
        </row>
        <row r="337">
          <cell r="B337">
            <v>9834899.576086618</v>
          </cell>
        </row>
        <row r="338">
          <cell r="B338">
            <v>9823805.809364792</v>
          </cell>
        </row>
        <row r="339">
          <cell r="B339">
            <v>9811643.9377727993</v>
          </cell>
        </row>
        <row r="340">
          <cell r="B340">
            <v>9798201.9855780508</v>
          </cell>
        </row>
        <row r="341">
          <cell r="B341">
            <v>9783240.1311460733</v>
          </cell>
        </row>
        <row r="342">
          <cell r="B342">
            <v>9766461.8743211571</v>
          </cell>
        </row>
        <row r="343">
          <cell r="B343">
            <v>9747593.0699799675</v>
          </cell>
        </row>
        <row r="344">
          <cell r="B344">
            <v>9726314.0743082017</v>
          </cell>
        </row>
        <row r="345">
          <cell r="B345">
            <v>9702280.3522305861</v>
          </cell>
        </row>
        <row r="346">
          <cell r="B346">
            <v>9675210.9900478628</v>
          </cell>
        </row>
        <row r="347">
          <cell r="B347">
            <v>9644850.1779610924</v>
          </cell>
        </row>
        <row r="348">
          <cell r="B348">
            <v>9610967.8192859162</v>
          </cell>
        </row>
        <row r="349">
          <cell r="B349">
            <v>9573398.5460803267</v>
          </cell>
        </row>
        <row r="350">
          <cell r="B350">
            <v>9532003.1707670745</v>
          </cell>
        </row>
        <row r="351">
          <cell r="B351">
            <v>9486678.4956900775</v>
          </cell>
        </row>
        <row r="352">
          <cell r="B352">
            <v>9437347.7675124891</v>
          </cell>
        </row>
        <row r="353">
          <cell r="B353">
            <v>9383932.3791483678</v>
          </cell>
        </row>
        <row r="354">
          <cell r="B354">
            <v>9326399.4897318091</v>
          </cell>
        </row>
        <row r="355">
          <cell r="B355">
            <v>9264677.3779087644</v>
          </cell>
        </row>
        <row r="356">
          <cell r="B356">
            <v>9198536.8461078741</v>
          </cell>
        </row>
        <row r="357">
          <cell r="B357">
            <v>9127533.3401927669</v>
          </cell>
        </row>
        <row r="358">
          <cell r="B358">
            <v>9051008.1006685905</v>
          </cell>
        </row>
        <row r="359">
          <cell r="B359">
            <v>8968118.9684826676</v>
          </cell>
        </row>
        <row r="360">
          <cell r="B360">
            <v>8877863.8191838581</v>
          </cell>
        </row>
        <row r="361">
          <cell r="B361">
            <v>8779026.5612848848</v>
          </cell>
        </row>
        <row r="362">
          <cell r="B362">
            <v>8670245.6431640033</v>
          </cell>
        </row>
        <row r="363">
          <cell r="B363">
            <v>8550006.6765846051</v>
          </cell>
        </row>
        <row r="364">
          <cell r="B364">
            <v>8416694.9724832978</v>
          </cell>
        </row>
        <row r="365">
          <cell r="B365">
            <v>8268737.8915620139</v>
          </cell>
        </row>
        <row r="366">
          <cell r="B366">
            <v>8104983.8063575197</v>
          </cell>
        </row>
        <row r="367">
          <cell r="B367">
            <v>7924818.1213259976</v>
          </cell>
        </row>
        <row r="368">
          <cell r="B368">
            <v>7728147.9100090507</v>
          </cell>
        </row>
        <row r="369">
          <cell r="B369">
            <v>7515391.9980465015</v>
          </cell>
        </row>
        <row r="370">
          <cell r="B370">
            <v>7287269.789337798</v>
          </cell>
        </row>
        <row r="371">
          <cell r="B371">
            <v>7044093.5964675955</v>
          </cell>
        </row>
        <row r="372">
          <cell r="B372">
            <v>6785716.2433491638</v>
          </cell>
        </row>
        <row r="373">
          <cell r="B373">
            <v>6511654.7357127778</v>
          </cell>
        </row>
        <row r="374">
          <cell r="B374">
            <v>6221254.469464195</v>
          </cell>
        </row>
        <row r="375">
          <cell r="B375">
            <v>5913999.1537262974</v>
          </cell>
        </row>
        <row r="376">
          <cell r="B376">
            <v>5590160.3880665526</v>
          </cell>
        </row>
        <row r="377">
          <cell r="B377">
            <v>5250960.6360394498</v>
          </cell>
        </row>
        <row r="378">
          <cell r="B378">
            <v>4898489.9033453017</v>
          </cell>
        </row>
        <row r="379">
          <cell r="B379">
            <v>4535658.7562045157</v>
          </cell>
        </row>
        <row r="380">
          <cell r="B380">
            <v>4166075.1381139471</v>
          </cell>
        </row>
        <row r="381">
          <cell r="B381">
            <v>3793961.3067776095</v>
          </cell>
        </row>
        <row r="382">
          <cell r="B382">
            <v>3423955.2303341231</v>
          </cell>
        </row>
        <row r="383">
          <cell r="B383">
            <v>3060855.0500228805</v>
          </cell>
        </row>
        <row r="384">
          <cell r="B384">
            <v>2709358.6994984532</v>
          </cell>
        </row>
        <row r="385">
          <cell r="B385">
            <v>2372937.62978173</v>
          </cell>
        </row>
        <row r="386">
          <cell r="B386">
            <v>2055272.4692828499</v>
          </cell>
        </row>
        <row r="387">
          <cell r="B387">
            <v>1759163.1988158619</v>
          </cell>
        </row>
        <row r="388">
          <cell r="B388">
            <v>1486740.9450104365</v>
          </cell>
        </row>
        <row r="389">
          <cell r="B389">
            <v>1239485.5186685859</v>
          </cell>
        </row>
        <row r="390">
          <cell r="B390">
            <v>1018591.8464445826</v>
          </cell>
        </row>
        <row r="391">
          <cell r="B391">
            <v>824590.8433707474</v>
          </cell>
        </row>
        <row r="392">
          <cell r="B392">
            <v>657193.13003058219</v>
          </cell>
        </row>
        <row r="393">
          <cell r="B393">
            <v>513988.11822439823</v>
          </cell>
        </row>
        <row r="394">
          <cell r="B394">
            <v>393670.69558172172</v>
          </cell>
        </row>
        <row r="395">
          <cell r="B395">
            <v>295868.72265418113</v>
          </cell>
        </row>
        <row r="396">
          <cell r="B396">
            <v>217772.9898347194</v>
          </cell>
        </row>
        <row r="397">
          <cell r="B397">
            <v>156621.68097016067</v>
          </cell>
        </row>
        <row r="398">
          <cell r="B398">
            <v>109767.67862121324</v>
          </cell>
        </row>
        <row r="399">
          <cell r="B399">
            <v>74731.482120501285</v>
          </cell>
        </row>
        <row r="400">
          <cell r="B400">
            <v>49241.619809947981</v>
          </cell>
        </row>
        <row r="401">
          <cell r="B401">
            <v>31265.868015086853</v>
          </cell>
        </row>
        <row r="402">
          <cell r="B402">
            <v>18975.192766620177</v>
          </cell>
        </row>
        <row r="403">
          <cell r="B403">
            <v>10867.946781117875</v>
          </cell>
        </row>
        <row r="404">
          <cell r="B404">
            <v>5765.1088610328188</v>
          </cell>
        </row>
        <row r="405">
          <cell r="B405">
            <v>2756.0391165610445</v>
          </cell>
        </row>
        <row r="406">
          <cell r="B406">
            <v>1139.5725659938939</v>
          </cell>
        </row>
        <row r="407">
          <cell r="B407">
            <v>381.45140416026811</v>
          </cell>
        </row>
        <row r="408">
          <cell r="B408">
            <v>91.466324946569898</v>
          </cell>
        </row>
        <row r="409">
          <cell r="B409">
            <v>0</v>
          </cell>
        </row>
        <row r="410">
          <cell r="B410">
            <v>0</v>
          </cell>
        </row>
        <row r="411">
          <cell r="B411">
            <v>0</v>
          </cell>
        </row>
        <row r="412">
          <cell r="B412">
            <v>0</v>
          </cell>
        </row>
        <row r="413">
          <cell r="B413">
            <v>0</v>
          </cell>
        </row>
        <row r="414">
          <cell r="B414">
            <v>0</v>
          </cell>
        </row>
        <row r="415">
          <cell r="B415">
            <v>0</v>
          </cell>
        </row>
        <row r="416">
          <cell r="B416">
            <v>0</v>
          </cell>
        </row>
        <row r="417">
          <cell r="B417">
            <v>0</v>
          </cell>
        </row>
        <row r="418">
          <cell r="B418">
            <v>0</v>
          </cell>
        </row>
        <row r="419">
          <cell r="B419">
            <v>0</v>
          </cell>
        </row>
        <row r="420">
          <cell r="B420">
            <v>0</v>
          </cell>
        </row>
        <row r="421">
          <cell r="B421">
            <v>0</v>
          </cell>
        </row>
        <row r="422">
          <cell r="B422">
            <v>0</v>
          </cell>
        </row>
        <row r="423">
          <cell r="B423">
            <v>0</v>
          </cell>
        </row>
      </sheetData>
      <sheetData sheetId="3"/>
      <sheetData sheetId="4"/>
      <sheetData sheetId="5"/>
      <sheetData sheetId="6" refreshError="1"/>
      <sheetData sheetId="7" refreshError="1"/>
      <sheetData sheetId="8"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IO"/>
      <sheetName val="TPACT"/>
      <sheetName val="Projection"/>
      <sheetName val="Lookups"/>
      <sheetName val="NEI (Abernathy)"/>
    </sheetNames>
    <sheetDataSet>
      <sheetData sheetId="0" refreshError="1">
        <row r="6">
          <cell r="C6">
            <v>5.2500000000000005E-2</v>
          </cell>
        </row>
        <row r="13">
          <cell r="C13">
            <v>7.0000000000000007E-2</v>
          </cell>
        </row>
        <row r="25">
          <cell r="C25">
            <v>1</v>
          </cell>
        </row>
      </sheetData>
      <sheetData sheetId="1" refreshError="1">
        <row r="5">
          <cell r="B5" t="str">
            <v>S&amp;U-Q</v>
          </cell>
        </row>
        <row r="6">
          <cell r="B6">
            <v>1</v>
          </cell>
        </row>
        <row r="7">
          <cell r="B7">
            <v>125</v>
          </cell>
        </row>
        <row r="8">
          <cell r="B8">
            <v>1</v>
          </cell>
        </row>
        <row r="9">
          <cell r="B9">
            <v>126</v>
          </cell>
        </row>
        <row r="10">
          <cell r="B10">
            <v>-1</v>
          </cell>
        </row>
        <row r="11">
          <cell r="B11">
            <v>1</v>
          </cell>
        </row>
        <row r="12">
          <cell r="B12">
            <v>0</v>
          </cell>
        </row>
        <row r="13">
          <cell r="B13">
            <v>5</v>
          </cell>
        </row>
        <row r="14">
          <cell r="B14">
            <v>1</v>
          </cell>
        </row>
        <row r="15">
          <cell r="B15">
            <v>110</v>
          </cell>
        </row>
        <row r="16">
          <cell r="B16">
            <v>2</v>
          </cell>
        </row>
        <row r="17">
          <cell r="B17">
            <v>10000000</v>
          </cell>
        </row>
        <row r="18">
          <cell r="B18">
            <v>10000000</v>
          </cell>
        </row>
        <row r="19">
          <cell r="B19">
            <v>10000000</v>
          </cell>
        </row>
        <row r="20">
          <cell r="B20">
            <v>10000000</v>
          </cell>
        </row>
        <row r="21">
          <cell r="B21">
            <v>10000000</v>
          </cell>
        </row>
        <row r="22">
          <cell r="B22">
            <v>9996580</v>
          </cell>
        </row>
        <row r="23">
          <cell r="B23">
            <v>9993401.0875599999</v>
          </cell>
        </row>
        <row r="24">
          <cell r="B24">
            <v>9990383.0804315563</v>
          </cell>
        </row>
        <row r="25">
          <cell r="B25">
            <v>9987445.9078059085</v>
          </cell>
        </row>
        <row r="26">
          <cell r="B26">
            <v>9984529.5736008286</v>
          </cell>
        </row>
        <row r="27">
          <cell r="B27">
            <v>9981604.1064357646</v>
          </cell>
        </row>
        <row r="28">
          <cell r="B28">
            <v>9978629.5884120464</v>
          </cell>
        </row>
        <row r="29">
          <cell r="B29">
            <v>9975596.0850171689</v>
          </cell>
        </row>
        <row r="30">
          <cell r="B30">
            <v>9972503.6502308138</v>
          </cell>
        </row>
        <row r="31">
          <cell r="B31">
            <v>9969342.3665736914</v>
          </cell>
        </row>
        <row r="32">
          <cell r="B32">
            <v>9966102.3303045556</v>
          </cell>
        </row>
        <row r="33">
          <cell r="B33">
            <v>9962783.618228564</v>
          </cell>
        </row>
        <row r="34">
          <cell r="B34">
            <v>9959366.3834475111</v>
          </cell>
        </row>
        <row r="35">
          <cell r="B35">
            <v>9955850.727114154</v>
          </cell>
        </row>
        <row r="36">
          <cell r="B36">
            <v>9952216.8415987585</v>
          </cell>
        </row>
        <row r="37">
          <cell r="B37">
            <v>9948464.8558494765</v>
          </cell>
        </row>
        <row r="38">
          <cell r="B38">
            <v>9944565.0576259848</v>
          </cell>
        </row>
        <row r="39">
          <cell r="B39">
            <v>9940507.6750824731</v>
          </cell>
        </row>
        <row r="40">
          <cell r="B40">
            <v>9936292.8998282384</v>
          </cell>
        </row>
        <row r="41">
          <cell r="B41">
            <v>9931881.1857807152</v>
          </cell>
        </row>
        <row r="42">
          <cell r="B42">
            <v>9927272.7929105125</v>
          </cell>
        </row>
        <row r="43">
          <cell r="B43">
            <v>9922428.2837875709</v>
          </cell>
        </row>
        <row r="44">
          <cell r="B44">
            <v>9917338.0780779887</v>
          </cell>
        </row>
        <row r="45">
          <cell r="B45">
            <v>9911962.8808396701</v>
          </cell>
        </row>
        <row r="46">
          <cell r="B46">
            <v>9906293.2380718291</v>
          </cell>
        </row>
        <row r="47">
          <cell r="B47">
            <v>9900280.1180763189</v>
          </cell>
        </row>
        <row r="48">
          <cell r="B48">
            <v>9893894.4374001604</v>
          </cell>
        </row>
        <row r="49">
          <cell r="B49">
            <v>9887097.3319216669</v>
          </cell>
        </row>
        <row r="50">
          <cell r="B50">
            <v>9879840.2024800368</v>
          </cell>
        </row>
        <row r="51">
          <cell r="B51">
            <v>9872084.5279210899</v>
          </cell>
        </row>
        <row r="52">
          <cell r="B52">
            <v>9863594.5352270789</v>
          </cell>
        </row>
        <row r="53">
          <cell r="B53">
            <v>9854648.2549836282</v>
          </cell>
        </row>
        <row r="54">
          <cell r="B54">
            <v>9845128.6647693142</v>
          </cell>
        </row>
        <row r="55">
          <cell r="B55">
            <v>9834899.576086618</v>
          </cell>
        </row>
        <row r="56">
          <cell r="B56">
            <v>9823805.809364792</v>
          </cell>
        </row>
        <row r="57">
          <cell r="B57">
            <v>9811643.9377727993</v>
          </cell>
        </row>
        <row r="58">
          <cell r="B58">
            <v>9798201.9855780508</v>
          </cell>
        </row>
        <row r="59">
          <cell r="B59">
            <v>9783240.1311460733</v>
          </cell>
        </row>
        <row r="60">
          <cell r="B60">
            <v>9766461.8743211571</v>
          </cell>
        </row>
        <row r="61">
          <cell r="B61">
            <v>9747593.0699799675</v>
          </cell>
        </row>
        <row r="62">
          <cell r="B62">
            <v>9726314.0743082017</v>
          </cell>
        </row>
        <row r="63">
          <cell r="B63">
            <v>9702280.3522305861</v>
          </cell>
        </row>
        <row r="64">
          <cell r="B64">
            <v>9675210.9900478628</v>
          </cell>
        </row>
        <row r="65">
          <cell r="B65">
            <v>9644850.1779610924</v>
          </cell>
        </row>
        <row r="66">
          <cell r="B66">
            <v>9610967.8192859162</v>
          </cell>
        </row>
        <row r="67">
          <cell r="B67">
            <v>9573398.5460803267</v>
          </cell>
        </row>
        <row r="68">
          <cell r="B68">
            <v>9532003.1707670745</v>
          </cell>
        </row>
        <row r="69">
          <cell r="B69">
            <v>9486678.4956900775</v>
          </cell>
        </row>
        <row r="70">
          <cell r="B70">
            <v>9437347.7675124891</v>
          </cell>
        </row>
        <row r="71">
          <cell r="B71">
            <v>9383932.3791483678</v>
          </cell>
        </row>
        <row r="72">
          <cell r="B72">
            <v>9326399.4897318091</v>
          </cell>
        </row>
        <row r="73">
          <cell r="B73">
            <v>9264677.3779087644</v>
          </cell>
        </row>
        <row r="74">
          <cell r="B74">
            <v>9198536.8461078741</v>
          </cell>
        </row>
        <row r="75">
          <cell r="B75">
            <v>9127533.3401927669</v>
          </cell>
        </row>
        <row r="76">
          <cell r="B76">
            <v>9051008.1006685905</v>
          </cell>
        </row>
        <row r="77">
          <cell r="B77">
            <v>8968118.9684826676</v>
          </cell>
        </row>
        <row r="78">
          <cell r="B78">
            <v>8877863.8191838581</v>
          </cell>
        </row>
        <row r="79">
          <cell r="B79">
            <v>8779026.5612848848</v>
          </cell>
        </row>
        <row r="80">
          <cell r="B80">
            <v>8670245.6431640033</v>
          </cell>
        </row>
        <row r="81">
          <cell r="B81">
            <v>8550006.6765846051</v>
          </cell>
        </row>
        <row r="82">
          <cell r="B82">
            <v>8416694.9724832978</v>
          </cell>
        </row>
        <row r="83">
          <cell r="B83">
            <v>8268737.8915620139</v>
          </cell>
        </row>
        <row r="84">
          <cell r="B84">
            <v>8104983.8063575197</v>
          </cell>
        </row>
        <row r="85">
          <cell r="B85">
            <v>7924818.1213259976</v>
          </cell>
        </row>
        <row r="86">
          <cell r="B86">
            <v>7728147.9100090507</v>
          </cell>
        </row>
        <row r="87">
          <cell r="B87">
            <v>7515391.9980465015</v>
          </cell>
        </row>
        <row r="88">
          <cell r="B88">
            <v>7287269.789337798</v>
          </cell>
        </row>
        <row r="89">
          <cell r="B89">
            <v>7044093.5964675955</v>
          </cell>
        </row>
        <row r="90">
          <cell r="B90">
            <v>6785716.2433491638</v>
          </cell>
        </row>
        <row r="91">
          <cell r="B91">
            <v>6511654.7357127778</v>
          </cell>
        </row>
        <row r="92">
          <cell r="B92">
            <v>6221254.469464195</v>
          </cell>
        </row>
        <row r="93">
          <cell r="B93">
            <v>5913999.1537262974</v>
          </cell>
        </row>
        <row r="94">
          <cell r="B94">
            <v>5590160.3880665526</v>
          </cell>
        </row>
        <row r="95">
          <cell r="B95">
            <v>5250960.6360394498</v>
          </cell>
        </row>
        <row r="96">
          <cell r="B96">
            <v>4898489.9033453017</v>
          </cell>
        </row>
        <row r="97">
          <cell r="B97">
            <v>4535658.7562045157</v>
          </cell>
        </row>
        <row r="98">
          <cell r="B98">
            <v>4166075.1381139471</v>
          </cell>
        </row>
        <row r="99">
          <cell r="B99">
            <v>3793961.3067776095</v>
          </cell>
        </row>
        <row r="100">
          <cell r="B100">
            <v>3423955.2303341231</v>
          </cell>
        </row>
        <row r="101">
          <cell r="B101">
            <v>3060855.0500228805</v>
          </cell>
        </row>
        <row r="102">
          <cell r="B102">
            <v>2709358.6994984532</v>
          </cell>
        </row>
        <row r="103">
          <cell r="B103">
            <v>2372937.62978173</v>
          </cell>
        </row>
        <row r="104">
          <cell r="B104">
            <v>2055272.4692828499</v>
          </cell>
        </row>
        <row r="105">
          <cell r="B105">
            <v>1759163.1988158619</v>
          </cell>
        </row>
        <row r="106">
          <cell r="B106">
            <v>1486740.9450104365</v>
          </cell>
        </row>
        <row r="107">
          <cell r="B107">
            <v>1239485.5186685859</v>
          </cell>
        </row>
        <row r="108">
          <cell r="B108">
            <v>1018591.8464445826</v>
          </cell>
        </row>
        <row r="109">
          <cell r="B109">
            <v>824590.8433707474</v>
          </cell>
        </row>
        <row r="110">
          <cell r="B110">
            <v>657193.13003058219</v>
          </cell>
        </row>
        <row r="111">
          <cell r="B111">
            <v>513988.11822439823</v>
          </cell>
        </row>
        <row r="112">
          <cell r="B112">
            <v>393670.69558172172</v>
          </cell>
        </row>
        <row r="113">
          <cell r="B113">
            <v>295868.72265418113</v>
          </cell>
        </row>
        <row r="114">
          <cell r="B114">
            <v>217772.9898347194</v>
          </cell>
        </row>
        <row r="115">
          <cell r="B115">
            <v>156621.68097016067</v>
          </cell>
        </row>
        <row r="116">
          <cell r="B116">
            <v>109767.67862121324</v>
          </cell>
        </row>
        <row r="117">
          <cell r="B117">
            <v>74731.482120501285</v>
          </cell>
        </row>
        <row r="118">
          <cell r="B118">
            <v>49241.619809947981</v>
          </cell>
        </row>
        <row r="119">
          <cell r="B119">
            <v>31265.868015086853</v>
          </cell>
        </row>
        <row r="120">
          <cell r="B120">
            <v>18975.192766620177</v>
          </cell>
        </row>
        <row r="121">
          <cell r="B121">
            <v>10867.946781117875</v>
          </cell>
        </row>
        <row r="122">
          <cell r="B122">
            <v>5765.1088610328188</v>
          </cell>
        </row>
        <row r="123">
          <cell r="B123">
            <v>2756.0391165610445</v>
          </cell>
        </row>
        <row r="124">
          <cell r="B124">
            <v>1139.5725659938939</v>
          </cell>
        </row>
        <row r="125">
          <cell r="B125">
            <v>381.45140416026811</v>
          </cell>
        </row>
        <row r="126">
          <cell r="B126">
            <v>91.466324946569898</v>
          </cell>
        </row>
        <row r="127">
          <cell r="B127">
            <v>0</v>
          </cell>
        </row>
        <row r="128">
          <cell r="B128">
            <v>0</v>
          </cell>
        </row>
        <row r="129">
          <cell r="B129">
            <v>0</v>
          </cell>
        </row>
        <row r="130">
          <cell r="B130">
            <v>0</v>
          </cell>
        </row>
        <row r="131">
          <cell r="B131">
            <v>0</v>
          </cell>
        </row>
        <row r="132">
          <cell r="B132">
            <v>0</v>
          </cell>
        </row>
        <row r="133">
          <cell r="B133">
            <v>0</v>
          </cell>
        </row>
        <row r="134">
          <cell r="B134">
            <v>0</v>
          </cell>
        </row>
        <row r="135">
          <cell r="B135">
            <v>0</v>
          </cell>
        </row>
        <row r="136">
          <cell r="B136">
            <v>0</v>
          </cell>
        </row>
        <row r="137">
          <cell r="B137">
            <v>0</v>
          </cell>
        </row>
        <row r="138">
          <cell r="B138">
            <v>0</v>
          </cell>
        </row>
        <row r="139">
          <cell r="B139">
            <v>0</v>
          </cell>
        </row>
        <row r="140">
          <cell r="B140">
            <v>0</v>
          </cell>
        </row>
        <row r="141">
          <cell r="B141">
            <v>0</v>
          </cell>
        </row>
        <row r="146">
          <cell r="B146" t="str">
            <v>S&amp;U-Q</v>
          </cell>
        </row>
        <row r="147">
          <cell r="B147">
            <v>1</v>
          </cell>
        </row>
        <row r="148">
          <cell r="B148">
            <v>125</v>
          </cell>
        </row>
        <row r="149">
          <cell r="B149">
            <v>1</v>
          </cell>
        </row>
        <row r="150">
          <cell r="B150">
            <v>126</v>
          </cell>
        </row>
        <row r="151">
          <cell r="B151">
            <v>-1</v>
          </cell>
        </row>
        <row r="152">
          <cell r="B152">
            <v>1</v>
          </cell>
        </row>
        <row r="153">
          <cell r="B153">
            <v>0</v>
          </cell>
        </row>
        <row r="154">
          <cell r="B154">
            <v>5</v>
          </cell>
        </row>
        <row r="155">
          <cell r="B155">
            <v>1</v>
          </cell>
        </row>
        <row r="156">
          <cell r="B156">
            <v>110</v>
          </cell>
        </row>
        <row r="157">
          <cell r="B157">
            <v>2</v>
          </cell>
        </row>
        <row r="158">
          <cell r="B158">
            <v>10000000</v>
          </cell>
        </row>
        <row r="159">
          <cell r="B159">
            <v>10000000</v>
          </cell>
        </row>
        <row r="160">
          <cell r="B160">
            <v>10000000</v>
          </cell>
        </row>
        <row r="161">
          <cell r="B161">
            <v>10000000</v>
          </cell>
        </row>
        <row r="162">
          <cell r="B162">
            <v>10000000</v>
          </cell>
        </row>
        <row r="163">
          <cell r="B163">
            <v>9998290</v>
          </cell>
        </row>
        <row r="164">
          <cell r="B164">
            <v>9996890.2393999994</v>
          </cell>
        </row>
        <row r="165">
          <cell r="B165">
            <v>9995710.60635175</v>
          </cell>
        </row>
        <row r="166">
          <cell r="B166">
            <v>9994671.0524486899</v>
          </cell>
        </row>
        <row r="167">
          <cell r="B167">
            <v>9993701.5693566017</v>
          </cell>
        </row>
        <row r="168">
          <cell r="B168">
            <v>9992742.1740059443</v>
          </cell>
        </row>
        <row r="169">
          <cell r="B169">
            <v>9991702.9288198482</v>
          </cell>
        </row>
        <row r="170">
          <cell r="B170">
            <v>9990573.8663888909</v>
          </cell>
        </row>
        <row r="171">
          <cell r="B171">
            <v>9989365.0069510583</v>
          </cell>
        </row>
        <row r="172">
          <cell r="B172">
            <v>9988056.4001351483</v>
          </cell>
        </row>
        <row r="173">
          <cell r="B173">
            <v>9986658.0722391289</v>
          </cell>
        </row>
        <row r="174">
          <cell r="B174">
            <v>9985170.0601863656</v>
          </cell>
        </row>
        <row r="175">
          <cell r="B175">
            <v>9983582.4181467965</v>
          </cell>
        </row>
        <row r="176">
          <cell r="B176">
            <v>9981905.176300548</v>
          </cell>
        </row>
        <row r="177">
          <cell r="B177">
            <v>9980118.4152739905</v>
          </cell>
        </row>
        <row r="178">
          <cell r="B178">
            <v>9978232.1728935037</v>
          </cell>
        </row>
        <row r="179">
          <cell r="B179">
            <v>9976226.5482267514</v>
          </cell>
        </row>
        <row r="180">
          <cell r="B180">
            <v>9974111.5881985277</v>
          </cell>
        </row>
        <row r="181">
          <cell r="B181">
            <v>9971867.4130911827</v>
          </cell>
        </row>
        <row r="182">
          <cell r="B182">
            <v>9969494.1086468678</v>
          </cell>
        </row>
        <row r="183">
          <cell r="B183">
            <v>9966971.8266373798</v>
          </cell>
        </row>
        <row r="184">
          <cell r="B184">
            <v>9964300.6781878397</v>
          </cell>
        </row>
        <row r="185">
          <cell r="B185">
            <v>9961480.7810959127</v>
          </cell>
        </row>
        <row r="186">
          <cell r="B186">
            <v>9958482.3753808029</v>
          </cell>
        </row>
        <row r="187">
          <cell r="B187">
            <v>9955295.6610206813</v>
          </cell>
        </row>
        <row r="188">
          <cell r="B188">
            <v>9951890.9499046132</v>
          </cell>
        </row>
        <row r="189">
          <cell r="B189">
            <v>9948268.4615988471</v>
          </cell>
        </row>
        <row r="190">
          <cell r="B190">
            <v>9944408.533435747</v>
          </cell>
        </row>
        <row r="191">
          <cell r="B191">
            <v>9940291.5483029038</v>
          </cell>
        </row>
        <row r="192">
          <cell r="B192">
            <v>9935887.9991470054</v>
          </cell>
        </row>
        <row r="193">
          <cell r="B193">
            <v>9931158.516459411</v>
          </cell>
        </row>
        <row r="194">
          <cell r="B194">
            <v>9926173.0748841483</v>
          </cell>
        </row>
        <row r="195">
          <cell r="B195">
            <v>9920862.572289085</v>
          </cell>
        </row>
        <row r="196">
          <cell r="B196">
            <v>9915177.9180351626</v>
          </cell>
        </row>
        <row r="197">
          <cell r="B197">
            <v>9909060.2532597352</v>
          </cell>
        </row>
        <row r="198">
          <cell r="B198">
            <v>9902470.728191318</v>
          </cell>
        </row>
        <row r="199">
          <cell r="B199">
            <v>9895380.5591499321</v>
          </cell>
        </row>
        <row r="200">
          <cell r="B200">
            <v>9887711.6392165907</v>
          </cell>
        </row>
        <row r="201">
          <cell r="B201">
            <v>9879396.0737280101</v>
          </cell>
        </row>
        <row r="202">
          <cell r="B202">
            <v>9870316.9087362532</v>
          </cell>
        </row>
        <row r="203">
          <cell r="B203">
            <v>9860347.8886584304</v>
          </cell>
        </row>
        <row r="204">
          <cell r="B204">
            <v>9849333.880066799</v>
          </cell>
        </row>
        <row r="205">
          <cell r="B205">
            <v>9837150.2540571559</v>
          </cell>
        </row>
        <row r="206">
          <cell r="B206">
            <v>9823712.7068101149</v>
          </cell>
        </row>
        <row r="207">
          <cell r="B207">
            <v>9808928.0191863663</v>
          </cell>
        </row>
        <row r="208">
          <cell r="B208">
            <v>9792772.7147387676</v>
          </cell>
        </row>
        <row r="209">
          <cell r="B209">
            <v>9775214.2732612398</v>
          </cell>
        </row>
        <row r="210">
          <cell r="B210">
            <v>9756172.1558569279</v>
          </cell>
        </row>
        <row r="211">
          <cell r="B211">
            <v>9735498.8270586673</v>
          </cell>
        </row>
        <row r="212">
          <cell r="B212">
            <v>9712961.1472740266</v>
          </cell>
        </row>
        <row r="213">
          <cell r="B213">
            <v>9688280.5129988026</v>
          </cell>
        </row>
        <row r="214">
          <cell r="B214">
            <v>9661124.2627208661</v>
          </cell>
        </row>
        <row r="215">
          <cell r="B215">
            <v>9631145.7941336427</v>
          </cell>
        </row>
        <row r="216">
          <cell r="B216">
            <v>9597995.3903102353</v>
          </cell>
        </row>
        <row r="217">
          <cell r="B217">
            <v>9561321.4499238599</v>
          </cell>
        </row>
        <row r="218">
          <cell r="B218">
            <v>9520771.8856547326</v>
          </cell>
        </row>
        <row r="219">
          <cell r="B219">
            <v>9476005.2162483837</v>
          </cell>
        </row>
        <row r="220">
          <cell r="B220">
            <v>9426635.2290717289</v>
          </cell>
        </row>
        <row r="221">
          <cell r="B221">
            <v>9372252.9704352133</v>
          </cell>
        </row>
        <row r="222">
          <cell r="B222">
            <v>9312411.1352189854</v>
          </cell>
        </row>
        <row r="223">
          <cell r="B223">
            <v>9246628.2629597988</v>
          </cell>
        </row>
        <row r="224">
          <cell r="B224">
            <v>9174347.3698282428</v>
          </cell>
        </row>
        <row r="225">
          <cell r="B225">
            <v>9094704.8603107631</v>
          </cell>
        </row>
        <row r="226">
          <cell r="B226">
            <v>9006468.0337560289</v>
          </cell>
        </row>
        <row r="227">
          <cell r="B227">
            <v>8908108.3963593803</v>
          </cell>
        </row>
        <row r="228">
          <cell r="B228">
            <v>8797781.4738704693</v>
          </cell>
        </row>
        <row r="229">
          <cell r="B229">
            <v>8673486.4172076266</v>
          </cell>
        </row>
        <row r="230">
          <cell r="B230">
            <v>8533331.5501919687</v>
          </cell>
        </row>
        <row r="231">
          <cell r="B231">
            <v>8375627.049812871</v>
          </cell>
        </row>
        <row r="232">
          <cell r="B232">
            <v>8198976.6997052683</v>
          </cell>
        </row>
        <row r="233">
          <cell r="B233">
            <v>8002266.8507259395</v>
          </cell>
        </row>
        <row r="234">
          <cell r="B234">
            <v>7784733.2286558058</v>
          </cell>
        </row>
        <row r="235">
          <cell r="B235">
            <v>7545959.8910664748</v>
          </cell>
        </row>
        <row r="236">
          <cell r="B236">
            <v>7285933.6591802146</v>
          </cell>
        </row>
        <row r="237">
          <cell r="B237">
            <v>7005068.2025524769</v>
          </cell>
        </row>
        <row r="238">
          <cell r="B238">
            <v>6704235.5485938611</v>
          </cell>
        </row>
        <row r="239">
          <cell r="B239">
            <v>6384745.2035256205</v>
          </cell>
        </row>
        <row r="240">
          <cell r="B240">
            <v>6048326.594006652</v>
          </cell>
        </row>
        <row r="241">
          <cell r="B241">
            <v>5697094.2203660915</v>
          </cell>
        </row>
        <row r="242">
          <cell r="B242">
            <v>5333579.7294471925</v>
          </cell>
        </row>
        <row r="243">
          <cell r="B243">
            <v>4960666.5019237036</v>
          </cell>
        </row>
        <row r="244">
          <cell r="B244">
            <v>4580828.2678714059</v>
          </cell>
        </row>
        <row r="245">
          <cell r="B245">
            <v>4196634.2010450307</v>
          </cell>
        </row>
        <row r="246">
          <cell r="B246">
            <v>3810816.6357719558</v>
          </cell>
        </row>
        <row r="247">
          <cell r="B247">
            <v>3424575.126469925</v>
          </cell>
        </row>
        <row r="248">
          <cell r="B248">
            <v>3041878.8560869107</v>
          </cell>
        </row>
        <row r="249">
          <cell r="B249">
            <v>2667496.5739951581</v>
          </cell>
        </row>
        <row r="250">
          <cell r="B250">
            <v>2305704.0136641948</v>
          </cell>
        </row>
        <row r="251">
          <cell r="B251">
            <v>1960823.7244123456</v>
          </cell>
        </row>
        <row r="252">
          <cell r="B252">
            <v>1637085.8450406941</v>
          </cell>
        </row>
        <row r="253">
          <cell r="B253">
            <v>1338450.2822742157</v>
          </cell>
        </row>
        <row r="254">
          <cell r="B254">
            <v>1068408.5686734167</v>
          </cell>
        </row>
        <row r="255">
          <cell r="B255">
            <v>831175.92485946533</v>
          </cell>
        </row>
        <row r="256">
          <cell r="B256">
            <v>628452.94796216663</v>
          </cell>
        </row>
        <row r="257">
          <cell r="B257">
            <v>459911.29411293298</v>
          </cell>
        </row>
        <row r="258">
          <cell r="B258">
            <v>324151.45893761865</v>
          </cell>
        </row>
        <row r="259">
          <cell r="B259">
            <v>218729.30070463163</v>
          </cell>
        </row>
        <row r="260">
          <cell r="B260">
            <v>140228.01086964144</v>
          </cell>
        </row>
        <row r="261">
          <cell r="B261">
            <v>84719.874590980835</v>
          </cell>
        </row>
        <row r="262">
          <cell r="B262">
            <v>47582.070365278472</v>
          </cell>
        </row>
        <row r="263">
          <cell r="B263">
            <v>24370.775127969788</v>
          </cell>
        </row>
        <row r="264">
          <cell r="B264">
            <v>11067.110176462873</v>
          </cell>
        </row>
        <row r="265">
          <cell r="B265">
            <v>4268.4847910701419</v>
          </cell>
        </row>
        <row r="266">
          <cell r="B266">
            <v>1302.3830055121578</v>
          </cell>
        </row>
        <row r="267">
          <cell r="B267">
            <v>274.18548461845251</v>
          </cell>
        </row>
        <row r="268">
          <cell r="B268">
            <v>0</v>
          </cell>
        </row>
        <row r="269">
          <cell r="B269">
            <v>0</v>
          </cell>
        </row>
        <row r="270">
          <cell r="B270">
            <v>0</v>
          </cell>
        </row>
        <row r="271">
          <cell r="B271">
            <v>0</v>
          </cell>
        </row>
        <row r="272">
          <cell r="B272">
            <v>0</v>
          </cell>
        </row>
        <row r="273">
          <cell r="B273">
            <v>0</v>
          </cell>
        </row>
        <row r="274">
          <cell r="B274">
            <v>0</v>
          </cell>
        </row>
        <row r="275">
          <cell r="B275">
            <v>0</v>
          </cell>
        </row>
        <row r="276">
          <cell r="B276">
            <v>0</v>
          </cell>
        </row>
        <row r="277">
          <cell r="B277">
            <v>0</v>
          </cell>
        </row>
        <row r="278">
          <cell r="B278">
            <v>0</v>
          </cell>
        </row>
        <row r="279">
          <cell r="B279">
            <v>0</v>
          </cell>
        </row>
        <row r="280">
          <cell r="B280">
            <v>0</v>
          </cell>
        </row>
        <row r="281">
          <cell r="B281">
            <v>0</v>
          </cell>
        </row>
        <row r="282">
          <cell r="B282">
            <v>0</v>
          </cell>
        </row>
      </sheetData>
      <sheetData sheetId="2"/>
      <sheetData sheetId="3"/>
      <sheetData sheetId="4"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Assumptions"/>
      <sheetName val="Data"/>
      <sheetName val="TPACT"/>
      <sheetName val="NEI"/>
      <sheetName val="NEI (Abernathy)"/>
      <sheetName val="Formulas"/>
      <sheetName val="NEI Actives_GAM94 gl"/>
      <sheetName val="NEW"/>
      <sheetName val="IO"/>
      <sheetName val="Op Revenue"/>
    </sheetNames>
    <sheetDataSet>
      <sheetData sheetId="0" refreshError="1">
        <row r="4">
          <cell r="E4">
            <v>7.0000000000000007E-2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CONTROL"/>
      <sheetName val="EXECUTIVE"/>
      <sheetName val="BSC"/>
      <sheetName val="Commentary"/>
      <sheetName val="Demand"/>
      <sheetName val="KPI TYP"/>
      <sheetName val="Growth Track"/>
      <sheetName val="KPI TYP vs LYP"/>
      <sheetName val="Variance Analysis"/>
      <sheetName val="New Business Initiatives"/>
      <sheetName val="Revenues"/>
      <sheetName val="Capex Summary"/>
      <sheetName val="Os and Vs"/>
      <sheetName val="PL Year on Year"/>
      <sheetName val="BS Year on Year"/>
      <sheetName val="FCF Year on Year"/>
      <sheetName val="Year on Year KPIs"/>
      <sheetName val="Last Years Plan"/>
      <sheetName val="P&amp;L Variances LYP"/>
      <sheetName val="FCF Variances LYP"/>
      <sheetName val="KPI Variances LYP"/>
      <sheetName val="Cust Per employee"/>
      <sheetName val="Supplemental Information"/>
      <sheetName val="Assumptions"/>
      <sheetName val="Input"/>
      <sheetName val="MDSummary"/>
      <sheetName val="~3708356"/>
      <sheetName val="Reconciliation Summary "/>
      <sheetName val="SAP GL 12.31.13"/>
      <sheetName val=" CFO RPT 12.31.13"/>
      <sheetName val=" CFO RPT 11.30.13 "/>
      <sheetName val="Cash Receipts Journal 11.13"/>
      <sheetName val="AR 23540001-23540401"/>
      <sheetName val="SAP &amp; ECIS INSTRUCTIONS"/>
      <sheetName val="CIS INSTRUCTIONS FOR CRJ"/>
      <sheetName val="Sheet2"/>
    </sheetNames>
    <sheetDataSet>
      <sheetData sheetId="0" refreshError="1">
        <row r="2">
          <cell r="B2" t="str">
            <v>Western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2">
          <cell r="B2">
            <v>0</v>
          </cell>
        </row>
      </sheetData>
      <sheetData sheetId="28"/>
      <sheetData sheetId="29"/>
      <sheetData sheetId="30"/>
      <sheetData sheetId="31"/>
      <sheetData sheetId="32"/>
      <sheetData sheetId="33"/>
      <sheetData sheetId="34"/>
      <sheetData sheetId="35"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NA"/>
      <sheetName val="AWS"/>
      <sheetName val="Regional"/>
      <sheetName val="anaytd"/>
      <sheetName val="Total"/>
      <sheetName val="Regn Exec"/>
      <sheetName val="Regn by Line"/>
      <sheetName val="NE"/>
      <sheetName val="MA"/>
      <sheetName val="SE"/>
      <sheetName val="SW"/>
      <sheetName val="NW"/>
      <sheetName val="OH"/>
      <sheetName val="O&amp;M"/>
      <sheetName val="RM"/>
      <sheetName val="UID"/>
      <sheetName val="E&amp;A"/>
      <sheetName val="OH (2)"/>
      <sheetName val="CONTROL"/>
      <sheetName val="Summ"/>
      <sheetName val="DO NOT PRINT - Deferrals"/>
      <sheetName val="Assumptions"/>
      <sheetName val="Regn_Exec"/>
      <sheetName val="Regn_by_Line"/>
      <sheetName val="OH_(2)"/>
      <sheetName val="DO_NOT_PRINT_-_Deferrals"/>
    </sheetNames>
    <sheetDataSet>
      <sheetData sheetId="0"/>
      <sheetData sheetId="1"/>
      <sheetData sheetId="2"/>
      <sheetData sheetId="3"/>
      <sheetData sheetId="4"/>
      <sheetData sheetId="5"/>
      <sheetData sheetId="6" refreshError="1">
        <row r="7">
          <cell r="A7" t="str">
            <v>m.ytd</v>
          </cell>
        </row>
      </sheetData>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TPACT"/>
      <sheetName val="Summary"/>
      <sheetName val="OLD"/>
      <sheetName val="NEW"/>
      <sheetName val="Assumptions"/>
      <sheetName val="Data"/>
      <sheetName val="NEI"/>
      <sheetName val="NEI-NEW"/>
      <sheetName val="Payments"/>
      <sheetName val="Input1"/>
      <sheetName val="IO"/>
    </sheetNames>
    <sheetDataSet>
      <sheetData sheetId="0" refreshError="1">
        <row r="5">
          <cell r="B5" t="str">
            <v>S&amp;U-Q</v>
          </cell>
        </row>
        <row r="6">
          <cell r="B6">
            <v>1</v>
          </cell>
        </row>
        <row r="7">
          <cell r="B7">
            <v>125</v>
          </cell>
        </row>
        <row r="8">
          <cell r="B8">
            <v>1</v>
          </cell>
        </row>
        <row r="9">
          <cell r="B9">
            <v>126</v>
          </cell>
        </row>
        <row r="10">
          <cell r="B10">
            <v>-1</v>
          </cell>
        </row>
        <row r="11">
          <cell r="B11">
            <v>1</v>
          </cell>
        </row>
        <row r="12">
          <cell r="B12">
            <v>0</v>
          </cell>
        </row>
        <row r="13">
          <cell r="B13">
            <v>1</v>
          </cell>
        </row>
        <row r="14">
          <cell r="B14">
            <v>1</v>
          </cell>
        </row>
        <row r="15">
          <cell r="B15">
            <v>120</v>
          </cell>
        </row>
        <row r="16">
          <cell r="B16">
            <v>2</v>
          </cell>
        </row>
        <row r="17">
          <cell r="B17">
            <v>10000000</v>
          </cell>
        </row>
        <row r="18">
          <cell r="B18">
            <v>9994080</v>
          </cell>
        </row>
        <row r="19">
          <cell r="B19">
            <v>9990082.3680000007</v>
          </cell>
        </row>
        <row r="20">
          <cell r="B20">
            <v>9986765.660653824</v>
          </cell>
        </row>
        <row r="21">
          <cell r="B21">
            <v>9984179.0883477144</v>
          </cell>
        </row>
        <row r="22">
          <cell r="B22">
            <v>9981812.8379037753</v>
          </cell>
        </row>
        <row r="23">
          <cell r="B23">
            <v>9979546.9663895722</v>
          </cell>
        </row>
        <row r="24">
          <cell r="B24">
            <v>9977381.4046978652</v>
          </cell>
        </row>
        <row r="25">
          <cell r="B25">
            <v>9975375.9510355201</v>
          </cell>
        </row>
        <row r="26">
          <cell r="B26">
            <v>9973440.7281010188</v>
          </cell>
        </row>
        <row r="27">
          <cell r="B27">
            <v>9971475.9602775835</v>
          </cell>
        </row>
        <row r="28">
          <cell r="B28">
            <v>9969401.8932778463</v>
          </cell>
        </row>
        <row r="29">
          <cell r="B29">
            <v>9967148.8084499668</v>
          </cell>
        </row>
        <row r="30">
          <cell r="B30">
            <v>9964607.1855038125</v>
          </cell>
        </row>
        <row r="31">
          <cell r="B31">
            <v>9961647.6971697174</v>
          </cell>
        </row>
        <row r="32">
          <cell r="B32">
            <v>9958210.9287141934</v>
          </cell>
        </row>
        <row r="33">
          <cell r="B33">
            <v>9954317.2682410665</v>
          </cell>
        </row>
        <row r="34">
          <cell r="B34">
            <v>9950036.9118157215</v>
          </cell>
        </row>
        <row r="35">
          <cell r="B35">
            <v>9945459.8948362861</v>
          </cell>
        </row>
        <row r="36">
          <cell r="B36">
            <v>9940646.2922471855</v>
          </cell>
        </row>
        <row r="37">
          <cell r="B37">
            <v>9935606.3845770154</v>
          </cell>
        </row>
        <row r="38">
          <cell r="B38">
            <v>9930340.5131931901</v>
          </cell>
        </row>
        <row r="39">
          <cell r="B39">
            <v>9924819.2438678555</v>
          </cell>
        </row>
        <row r="40">
          <cell r="B40">
            <v>9918973.5253332183</v>
          </cell>
        </row>
        <row r="41">
          <cell r="B41">
            <v>9912784.0858534109</v>
          </cell>
        </row>
        <row r="42">
          <cell r="B42">
            <v>9906231.7355726622</v>
          </cell>
        </row>
        <row r="43">
          <cell r="B43">
            <v>9899336.9982847031</v>
          </cell>
        </row>
        <row r="44">
          <cell r="B44">
            <v>9892140.1802869495</v>
          </cell>
        </row>
        <row r="45">
          <cell r="B45">
            <v>9884681.5065910127</v>
          </cell>
        </row>
        <row r="46">
          <cell r="B46">
            <v>9876981.3396973778</v>
          </cell>
        </row>
        <row r="47">
          <cell r="B47">
            <v>9869069.87764428</v>
          </cell>
        </row>
        <row r="48">
          <cell r="B48">
            <v>9860967.3712747339</v>
          </cell>
        </row>
        <row r="49">
          <cell r="B49">
            <v>9852694.0196502339</v>
          </cell>
        </row>
        <row r="50">
          <cell r="B50">
            <v>9844338.9351215716</v>
          </cell>
        </row>
        <row r="51">
          <cell r="B51">
            <v>9835981.091365654</v>
          </cell>
        </row>
        <row r="52">
          <cell r="B52">
            <v>9827610.6714569014</v>
          </cell>
        </row>
        <row r="53">
          <cell r="B53">
            <v>9819139.2710581049</v>
          </cell>
        </row>
        <row r="54">
          <cell r="B54">
            <v>9810390.4179675933</v>
          </cell>
        </row>
        <row r="55">
          <cell r="B55">
            <v>9801178.4613651223</v>
          </cell>
        </row>
        <row r="56">
          <cell r="B56">
            <v>9791387.0840822197</v>
          </cell>
        </row>
        <row r="57">
          <cell r="B57">
            <v>9780890.7171280831</v>
          </cell>
        </row>
        <row r="58">
          <cell r="B58">
            <v>9769584.0074590817</v>
          </cell>
        </row>
        <row r="59">
          <cell r="B59">
            <v>9757352.4882817417</v>
          </cell>
        </row>
        <row r="60">
          <cell r="B60">
            <v>9744160.5477175843</v>
          </cell>
        </row>
        <row r="61">
          <cell r="B61">
            <v>9729953.5616390128</v>
          </cell>
        </row>
        <row r="62">
          <cell r="B62">
            <v>9714599.6949187461</v>
          </cell>
        </row>
        <row r="63">
          <cell r="B63">
            <v>9697871.1542440969</v>
          </cell>
        </row>
        <row r="64">
          <cell r="B64">
            <v>9679454.8969221879</v>
          </cell>
        </row>
        <row r="65">
          <cell r="B65">
            <v>9659108.6827288568</v>
          </cell>
        </row>
        <row r="66">
          <cell r="B66">
            <v>9636641.5959328283</v>
          </cell>
        </row>
        <row r="67">
          <cell r="B67">
            <v>9611788.6972569171</v>
          </cell>
        </row>
        <row r="68">
          <cell r="B68">
            <v>9584183.6401183959</v>
          </cell>
        </row>
        <row r="69">
          <cell r="B69">
            <v>9553389.6580826957</v>
          </cell>
        </row>
        <row r="70">
          <cell r="B70">
            <v>9519150.3095481265</v>
          </cell>
        </row>
        <row r="71">
          <cell r="B71">
            <v>9481273.6104664356</v>
          </cell>
        </row>
        <row r="72">
          <cell r="B72">
            <v>9439318.9747401215</v>
          </cell>
        </row>
        <row r="73">
          <cell r="B73">
            <v>9392603.785134133</v>
          </cell>
        </row>
        <row r="74">
          <cell r="B74">
            <v>9340183.6634093001</v>
          </cell>
        </row>
        <row r="75">
          <cell r="B75">
            <v>9281340.5063298214</v>
          </cell>
        </row>
        <row r="76">
          <cell r="B76">
            <v>9215535.8021399435</v>
          </cell>
        </row>
        <row r="77">
          <cell r="B77">
            <v>9142032.6885820758</v>
          </cell>
        </row>
        <row r="78">
          <cell r="B78">
            <v>9059882.3828424774</v>
          </cell>
        </row>
        <row r="79">
          <cell r="B79">
            <v>8967951.7563037742</v>
          </cell>
        </row>
        <row r="80">
          <cell r="B80">
            <v>8865080.3817072138</v>
          </cell>
        </row>
        <row r="81">
          <cell r="B81">
            <v>8750366.2415679228</v>
          </cell>
        </row>
        <row r="82">
          <cell r="B82">
            <v>8623179.668246733</v>
          </cell>
        </row>
        <row r="83">
          <cell r="B83">
            <v>8483147.8536140751</v>
          </cell>
        </row>
        <row r="84">
          <cell r="B84">
            <v>8330162.765221999</v>
          </cell>
        </row>
        <row r="85">
          <cell r="B85">
            <v>8164734.0628674561</v>
          </cell>
        </row>
        <row r="86">
          <cell r="B86">
            <v>7987322.5564154088</v>
          </cell>
        </row>
        <row r="87">
          <cell r="B87">
            <v>7797783.3921516705</v>
          </cell>
        </row>
        <row r="88">
          <cell r="B88">
            <v>7595423.1153419428</v>
          </cell>
        </row>
        <row r="89">
          <cell r="B89">
            <v>7379097.8695938895</v>
          </cell>
        </row>
        <row r="90">
          <cell r="B90">
            <v>7148862.6369646899</v>
          </cell>
        </row>
        <row r="91">
          <cell r="B91">
            <v>6905436.7153134048</v>
          </cell>
        </row>
        <row r="92">
          <cell r="B92">
            <v>6648478.5096998774</v>
          </cell>
        </row>
        <row r="93">
          <cell r="B93">
            <v>6376834.9747505598</v>
          </cell>
        </row>
        <row r="94">
          <cell r="B94">
            <v>6088786.9621061021</v>
          </cell>
        </row>
        <row r="95">
          <cell r="B95">
            <v>5783062.8799517928</v>
          </cell>
        </row>
        <row r="96">
          <cell r="B96">
            <v>5460015.2044148054</v>
          </cell>
        </row>
        <row r="97">
          <cell r="B97">
            <v>5121346.8413305683</v>
          </cell>
        </row>
        <row r="98">
          <cell r="B98">
            <v>4769945.6278126715</v>
          </cell>
        </row>
        <row r="99">
          <cell r="B99">
            <v>4409662.0946527245</v>
          </cell>
        </row>
        <row r="100">
          <cell r="B100">
            <v>4045820.8752229284</v>
          </cell>
        </row>
        <row r="101">
          <cell r="B101">
            <v>3683262.7291315761</v>
          </cell>
        </row>
        <row r="102">
          <cell r="B102">
            <v>3325102.2613508217</v>
          </cell>
        </row>
        <row r="103">
          <cell r="B103">
            <v>2973333.0429179957</v>
          </cell>
        </row>
        <row r="104">
          <cell r="B104">
            <v>2629404.6365106283</v>
          </cell>
        </row>
        <row r="105">
          <cell r="B105">
            <v>2295522.8357665087</v>
          </cell>
        </row>
        <row r="106">
          <cell r="B106">
            <v>1975407.5852731974</v>
          </cell>
        </row>
        <row r="107">
          <cell r="B107">
            <v>1673306.527849782</v>
          </cell>
        </row>
        <row r="108">
          <cell r="B108">
            <v>1393429.2780016277</v>
          </cell>
        </row>
        <row r="109">
          <cell r="B109">
            <v>1139433.5957782129</v>
          </cell>
        </row>
        <row r="110">
          <cell r="B110">
            <v>913379.08584458171</v>
          </cell>
        </row>
        <row r="111">
          <cell r="B111">
            <v>716363.2170279054</v>
          </cell>
        </row>
        <row r="112">
          <cell r="B112">
            <v>549016.47135088453</v>
          </cell>
        </row>
        <row r="113">
          <cell r="B113">
            <v>410933.33864142356</v>
          </cell>
        </row>
        <row r="114">
          <cell r="B114">
            <v>300468.29321452929</v>
          </cell>
        </row>
        <row r="115">
          <cell r="B115">
            <v>214751.59993116802</v>
          </cell>
        </row>
        <row r="116">
          <cell r="B116">
            <v>150047.37237510693</v>
          </cell>
        </row>
        <row r="117">
          <cell r="B117">
            <v>102446.64405757276</v>
          </cell>
        </row>
        <row r="118">
          <cell r="B118">
            <v>68284.683683490497</v>
          </cell>
        </row>
        <row r="119">
          <cell r="B119">
            <v>44362.510448653273</v>
          </cell>
        </row>
        <row r="120">
          <cell r="B120">
            <v>28013.062122885702</v>
          </cell>
        </row>
        <row r="121">
          <cell r="B121">
            <v>17148.055913213866</v>
          </cell>
        </row>
        <row r="122">
          <cell r="B122">
            <v>10164.955992011262</v>
          </cell>
        </row>
        <row r="123">
          <cell r="B123">
            <v>5838.7608867672607</v>
          </cell>
        </row>
        <row r="124">
          <cell r="B124">
            <v>3258.4080942737714</v>
          </cell>
        </row>
        <row r="125">
          <cell r="B125">
            <v>1767.5136955145244</v>
          </cell>
        </row>
        <row r="126">
          <cell r="B126">
            <v>931.21459048182726</v>
          </cell>
        </row>
        <row r="127">
          <cell r="B127">
            <v>477.95054463775028</v>
          </cell>
        </row>
        <row r="128">
          <cell r="B128">
            <v>240.71692410353509</v>
          </cell>
        </row>
        <row r="129">
          <cell r="B129">
            <v>120.35846205176755</v>
          </cell>
        </row>
        <row r="130">
          <cell r="B130">
            <v>60.179231025883773</v>
          </cell>
        </row>
        <row r="131">
          <cell r="B131">
            <v>30.089615512941887</v>
          </cell>
        </row>
        <row r="132">
          <cell r="B132">
            <v>15.044807756470943</v>
          </cell>
        </row>
        <row r="133">
          <cell r="B133">
            <v>7.5224038782354716</v>
          </cell>
        </row>
        <row r="134">
          <cell r="B134">
            <v>3.7612019391177358</v>
          </cell>
        </row>
        <row r="135">
          <cell r="B135">
            <v>1.8806009695588679</v>
          </cell>
        </row>
        <row r="136">
          <cell r="B136">
            <v>0.94030048477943395</v>
          </cell>
        </row>
        <row r="137">
          <cell r="B137">
            <v>0</v>
          </cell>
        </row>
        <row r="138">
          <cell r="B138">
            <v>0</v>
          </cell>
        </row>
        <row r="139">
          <cell r="B139">
            <v>0</v>
          </cell>
        </row>
        <row r="140">
          <cell r="B140">
            <v>0</v>
          </cell>
        </row>
        <row r="141">
          <cell r="B141">
            <v>0</v>
          </cell>
        </row>
        <row r="146">
          <cell r="B146" t="str">
            <v>S&amp;U-Q</v>
          </cell>
        </row>
        <row r="147">
          <cell r="B147">
            <v>1</v>
          </cell>
        </row>
        <row r="148">
          <cell r="B148">
            <v>125</v>
          </cell>
        </row>
        <row r="149">
          <cell r="B149">
            <v>1</v>
          </cell>
        </row>
        <row r="150">
          <cell r="B150">
            <v>126</v>
          </cell>
        </row>
        <row r="151">
          <cell r="B151">
            <v>-1</v>
          </cell>
        </row>
        <row r="152">
          <cell r="B152">
            <v>1</v>
          </cell>
        </row>
        <row r="153">
          <cell r="B153">
            <v>0</v>
          </cell>
        </row>
        <row r="154">
          <cell r="B154">
            <v>1</v>
          </cell>
        </row>
        <row r="155">
          <cell r="B155">
            <v>1</v>
          </cell>
        </row>
        <row r="156">
          <cell r="B156">
            <v>120</v>
          </cell>
        </row>
        <row r="157">
          <cell r="B157">
            <v>2</v>
          </cell>
        </row>
        <row r="158">
          <cell r="B158">
            <v>10000000</v>
          </cell>
        </row>
        <row r="159">
          <cell r="B159">
            <v>9994690</v>
          </cell>
        </row>
        <row r="160">
          <cell r="B160">
            <v>9991231.8372600004</v>
          </cell>
        </row>
        <row r="161">
          <cell r="B161">
            <v>9988654.0994459875</v>
          </cell>
        </row>
        <row r="162">
          <cell r="B162">
            <v>9986716.3005506955</v>
          </cell>
        </row>
        <row r="163">
          <cell r="B163">
            <v>9984968.6251980979</v>
          </cell>
        </row>
        <row r="164">
          <cell r="B164">
            <v>9983341.0753121898</v>
          </cell>
        </row>
        <row r="165">
          <cell r="B165">
            <v>9981813.6241276674</v>
          </cell>
        </row>
        <row r="166">
          <cell r="B166">
            <v>9980446.115661161</v>
          </cell>
        </row>
        <row r="167">
          <cell r="B167">
            <v>9979148.6576661263</v>
          </cell>
        </row>
        <row r="168">
          <cell r="B168">
            <v>9977841.3891919721</v>
          </cell>
        </row>
        <row r="169">
          <cell r="B169">
            <v>9976464.4470802639</v>
          </cell>
        </row>
        <row r="170">
          <cell r="B170">
            <v>9974987.930342095</v>
          </cell>
        </row>
        <row r="171">
          <cell r="B171">
            <v>9973352.0323215183</v>
          </cell>
        </row>
        <row r="172">
          <cell r="B172">
            <v>9971467.068787409</v>
          </cell>
        </row>
        <row r="173">
          <cell r="B173">
            <v>9969313.2319005504</v>
          </cell>
        </row>
        <row r="174">
          <cell r="B174">
            <v>9966900.6580984313</v>
          </cell>
        </row>
        <row r="175">
          <cell r="B175">
            <v>9964289.3301260099</v>
          </cell>
        </row>
        <row r="176">
          <cell r="B176">
            <v>9961569.0791388862</v>
          </cell>
        </row>
        <row r="177">
          <cell r="B177">
            <v>9958779.8397967275</v>
          </cell>
        </row>
        <row r="178">
          <cell r="B178">
            <v>9955951.5463222265</v>
          </cell>
        </row>
        <row r="179">
          <cell r="B179">
            <v>9953104.1441799775</v>
          </cell>
        </row>
        <row r="180">
          <cell r="B180">
            <v>9950227.6970823091</v>
          </cell>
        </row>
        <row r="181">
          <cell r="B181">
            <v>9947322.2305947617</v>
          </cell>
        </row>
        <row r="182">
          <cell r="B182">
            <v>9944427.5598256588</v>
          </cell>
        </row>
        <row r="183">
          <cell r="B183">
            <v>9941533.7314057499</v>
          </cell>
        </row>
        <row r="184">
          <cell r="B184">
            <v>9938610.920488717</v>
          </cell>
        </row>
        <row r="185">
          <cell r="B185">
            <v>9935609.4599907286</v>
          </cell>
        </row>
        <row r="186">
          <cell r="B186">
            <v>9932489.6786202919</v>
          </cell>
        </row>
        <row r="187">
          <cell r="B187">
            <v>9929202.0245366693</v>
          </cell>
        </row>
        <row r="188">
          <cell r="B188">
            <v>9925716.8746260572</v>
          </cell>
        </row>
        <row r="189">
          <cell r="B189">
            <v>9922014.5822318215</v>
          </cell>
        </row>
        <row r="190">
          <cell r="B190">
            <v>9918075.5424426757</v>
          </cell>
        </row>
        <row r="191">
          <cell r="B191">
            <v>9913890.114563765</v>
          </cell>
        </row>
        <row r="192">
          <cell r="B192">
            <v>9909438.7779023256</v>
          </cell>
        </row>
        <row r="193">
          <cell r="B193">
            <v>9904702.0661664885</v>
          </cell>
        </row>
        <row r="194">
          <cell r="B194">
            <v>9899630.8587086108</v>
          </cell>
        </row>
        <row r="195">
          <cell r="B195">
            <v>9894176.1621054634</v>
          </cell>
        </row>
        <row r="196">
          <cell r="B196">
            <v>9888259.4447605237</v>
          </cell>
        </row>
        <row r="197">
          <cell r="B197">
            <v>9881812.2996025402</v>
          </cell>
        </row>
        <row r="198">
          <cell r="B198">
            <v>9874806.0946821216</v>
          </cell>
        </row>
        <row r="199">
          <cell r="B199">
            <v>9867222.243601406</v>
          </cell>
        </row>
        <row r="200">
          <cell r="B200">
            <v>9859081.7852504347</v>
          </cell>
        </row>
        <row r="201">
          <cell r="B201">
            <v>9850435.3705247696</v>
          </cell>
        </row>
        <row r="202">
          <cell r="B202">
            <v>9841343.4186777752</v>
          </cell>
        </row>
        <row r="203">
          <cell r="B203">
            <v>9831767.7915314026</v>
          </cell>
        </row>
        <row r="204">
          <cell r="B204">
            <v>9821611.5754027516</v>
          </cell>
        </row>
        <row r="205">
          <cell r="B205">
            <v>9810689.9433309045</v>
          </cell>
        </row>
        <row r="206">
          <cell r="B206">
            <v>9798858.2512592468</v>
          </cell>
        </row>
        <row r="207">
          <cell r="B207">
            <v>9786021.7469500974</v>
          </cell>
        </row>
        <row r="208">
          <cell r="B208">
            <v>9772047.3078954536</v>
          </cell>
        </row>
        <row r="209">
          <cell r="B209">
            <v>9756724.7377166729</v>
          </cell>
        </row>
        <row r="210">
          <cell r="B210">
            <v>9739806.5770214722</v>
          </cell>
        </row>
        <row r="211">
          <cell r="B211">
            <v>9721232.7658790927</v>
          </cell>
        </row>
        <row r="212">
          <cell r="B212">
            <v>9700973.7167950012</v>
          </cell>
        </row>
        <row r="213">
          <cell r="B213">
            <v>9678719.6830886733</v>
          </cell>
        </row>
        <row r="214">
          <cell r="B214">
            <v>9653913.1245409176</v>
          </cell>
        </row>
        <row r="215">
          <cell r="B215">
            <v>9625733.3521303833</v>
          </cell>
        </row>
        <row r="216">
          <cell r="B216">
            <v>9593400.5138005782</v>
          </cell>
        </row>
        <row r="217">
          <cell r="B217">
            <v>9556341.2076157667</v>
          </cell>
        </row>
        <row r="218">
          <cell r="B218">
            <v>9513920.6089951601</v>
          </cell>
        </row>
        <row r="219">
          <cell r="B219">
            <v>9465466.2113335468</v>
          </cell>
        </row>
        <row r="220">
          <cell r="B220">
            <v>9410263.6123890504</v>
          </cell>
        </row>
        <row r="221">
          <cell r="B221">
            <v>9347431.2822491284</v>
          </cell>
        </row>
        <row r="222">
          <cell r="B222">
            <v>9276194.5084471088</v>
          </cell>
        </row>
        <row r="223">
          <cell r="B223">
            <v>9196085.2926721592</v>
          </cell>
        </row>
        <row r="224">
          <cell r="B224">
            <v>9106938.4418449961</v>
          </cell>
        </row>
        <row r="225">
          <cell r="B225">
            <v>9008911.3564569764</v>
          </cell>
        </row>
        <row r="226">
          <cell r="B226">
            <v>8902939.5321709737</v>
          </cell>
        </row>
        <row r="227">
          <cell r="B227">
            <v>8789792.073656613</v>
          </cell>
        </row>
        <row r="228">
          <cell r="B228">
            <v>8669108.2284853067</v>
          </cell>
        </row>
        <row r="229">
          <cell r="B229">
            <v>8539479.053144766</v>
          </cell>
        </row>
        <row r="230">
          <cell r="B230">
            <v>8398526.4118935578</v>
          </cell>
        </row>
        <row r="231">
          <cell r="B231">
            <v>8244463.8433937822</v>
          </cell>
        </row>
        <row r="232">
          <cell r="B232">
            <v>8076433.4258015733</v>
          </cell>
        </row>
        <row r="233">
          <cell r="B233">
            <v>7893211.4571038391</v>
          </cell>
        </row>
        <row r="234">
          <cell r="B234">
            <v>7693315.8769526845</v>
          </cell>
        </row>
        <row r="235">
          <cell r="B235">
            <v>7475087.2787870448</v>
          </cell>
        </row>
        <row r="236">
          <cell r="B236">
            <v>7237925.1846929686</v>
          </cell>
        </row>
        <row r="237">
          <cell r="B237">
            <v>6981977.6743118558</v>
          </cell>
        </row>
        <row r="238">
          <cell r="B238">
            <v>6706915.6818546662</v>
          </cell>
        </row>
        <row r="239">
          <cell r="B239">
            <v>6412133.3238057904</v>
          </cell>
        </row>
        <row r="240">
          <cell r="B240">
            <v>6096957.7345407642</v>
          </cell>
        </row>
        <row r="241">
          <cell r="B241">
            <v>5762496.9240970612</v>
          </cell>
        </row>
        <row r="242">
          <cell r="B242">
            <v>5411105.6241625464</v>
          </cell>
        </row>
        <row r="243">
          <cell r="B243">
            <v>5044568.1513930243</v>
          </cell>
        </row>
        <row r="244">
          <cell r="B244">
            <v>4664475.0748900138</v>
          </cell>
        </row>
        <row r="245">
          <cell r="B245">
            <v>4272551.8856725302</v>
          </cell>
        </row>
        <row r="246">
          <cell r="B246">
            <v>3871701.0677587334</v>
          </cell>
        </row>
        <row r="247">
          <cell r="B247">
            <v>3466744.3662775764</v>
          </cell>
        </row>
        <row r="248">
          <cell r="B248">
            <v>3063683.3325323141</v>
          </cell>
        </row>
        <row r="249">
          <cell r="B249">
            <v>2669231.0397854461</v>
          </cell>
        </row>
        <row r="250">
          <cell r="B250">
            <v>2290272.301373987</v>
          </cell>
        </row>
        <row r="251">
          <cell r="B251">
            <v>1933147.8511484398</v>
          </cell>
        </row>
        <row r="252">
          <cell r="B252">
            <v>1603203.9753579777</v>
          </cell>
        </row>
        <row r="253">
          <cell r="B253">
            <v>1304666.5534946427</v>
          </cell>
        </row>
        <row r="254">
          <cell r="B254">
            <v>1040421.9990829448</v>
          </cell>
        </row>
        <row r="255">
          <cell r="B255">
            <v>811888.10487438063</v>
          </cell>
        </row>
        <row r="256">
          <cell r="B256">
            <v>618891.74780037696</v>
          </cell>
        </row>
        <row r="257">
          <cell r="B257">
            <v>460014.80943904654</v>
          </cell>
        </row>
        <row r="258">
          <cell r="B258">
            <v>332854.29571023921</v>
          </cell>
        </row>
        <row r="259">
          <cell r="B259">
            <v>234120.05882800664</v>
          </cell>
        </row>
        <row r="260">
          <cell r="B260">
            <v>159882.22701405751</v>
          </cell>
        </row>
        <row r="261">
          <cell r="B261">
            <v>105761.29375866396</v>
          </cell>
        </row>
        <row r="262">
          <cell r="B262">
            <v>67579.774531086136</v>
          </cell>
        </row>
        <row r="263">
          <cell r="B263">
            <v>41656.375760285089</v>
          </cell>
        </row>
        <row r="264">
          <cell r="B264">
            <v>24776.50414382965</v>
          </cell>
        </row>
        <row r="265">
          <cell r="B265">
            <v>14250.305464340197</v>
          </cell>
        </row>
        <row r="266">
          <cell r="B266">
            <v>7917.925725762273</v>
          </cell>
        </row>
        <row r="267">
          <cell r="B267">
            <v>4240.2946818431956</v>
          </cell>
        </row>
        <row r="268">
          <cell r="B268">
            <v>2195.0945494231764</v>
          </cell>
        </row>
        <row r="269">
          <cell r="B269">
            <v>1108.2812870582677</v>
          </cell>
        </row>
        <row r="270">
          <cell r="B270">
            <v>554.14064352913385</v>
          </cell>
        </row>
        <row r="271">
          <cell r="B271">
            <v>277.07032176456693</v>
          </cell>
        </row>
        <row r="272">
          <cell r="B272">
            <v>138.53516088228346</v>
          </cell>
        </row>
        <row r="273">
          <cell r="B273">
            <v>69.267580441141732</v>
          </cell>
        </row>
        <row r="274">
          <cell r="B274">
            <v>34.633790220570866</v>
          </cell>
        </row>
        <row r="275">
          <cell r="B275">
            <v>17.316895110285433</v>
          </cell>
        </row>
        <row r="276">
          <cell r="B276">
            <v>8.6584475551427165</v>
          </cell>
        </row>
        <row r="277">
          <cell r="B277">
            <v>4.3292237775713582</v>
          </cell>
        </row>
        <row r="278">
          <cell r="B278">
            <v>0</v>
          </cell>
        </row>
        <row r="279">
          <cell r="B279">
            <v>0</v>
          </cell>
        </row>
        <row r="280">
          <cell r="B280">
            <v>0</v>
          </cell>
        </row>
        <row r="281">
          <cell r="B281">
            <v>0</v>
          </cell>
        </row>
        <row r="282">
          <cell r="B282">
            <v>0</v>
          </cell>
        </row>
        <row r="287">
          <cell r="B287" t="str">
            <v>S&amp;U-Q</v>
          </cell>
        </row>
        <row r="288">
          <cell r="B288">
            <v>1</v>
          </cell>
        </row>
        <row r="289">
          <cell r="B289">
            <v>125</v>
          </cell>
        </row>
        <row r="290">
          <cell r="B290">
            <v>1</v>
          </cell>
        </row>
        <row r="291">
          <cell r="B291">
            <v>126</v>
          </cell>
        </row>
        <row r="292">
          <cell r="B292">
            <v>-1</v>
          </cell>
        </row>
        <row r="293">
          <cell r="B293">
            <v>1</v>
          </cell>
        </row>
        <row r="294">
          <cell r="B294">
            <v>0</v>
          </cell>
        </row>
        <row r="295">
          <cell r="B295">
            <v>1</v>
          </cell>
        </row>
        <row r="296">
          <cell r="B296">
            <v>1</v>
          </cell>
        </row>
        <row r="297">
          <cell r="B297">
            <v>120</v>
          </cell>
        </row>
        <row r="298">
          <cell r="B298">
            <v>2</v>
          </cell>
        </row>
        <row r="299">
          <cell r="B299">
            <v>10000000</v>
          </cell>
        </row>
        <row r="300">
          <cell r="B300">
            <v>9994860</v>
          </cell>
        </row>
        <row r="301">
          <cell r="B301">
            <v>9991451.7527399994</v>
          </cell>
        </row>
        <row r="302">
          <cell r="B302">
            <v>9988754.0607667603</v>
          </cell>
        </row>
        <row r="303">
          <cell r="B303">
            <v>9986686.3886761814</v>
          </cell>
        </row>
        <row r="304">
          <cell r="B304">
            <v>9984808.8916351106</v>
          </cell>
        </row>
        <row r="305">
          <cell r="B305">
            <v>9983021.6108435076</v>
          </cell>
        </row>
        <row r="306">
          <cell r="B306">
            <v>9981324.4971696641</v>
          </cell>
        </row>
        <row r="307">
          <cell r="B307">
            <v>9979787.3731971011</v>
          </cell>
        </row>
        <row r="308">
          <cell r="B308">
            <v>9978310.3646658678</v>
          </cell>
        </row>
        <row r="309">
          <cell r="B309">
            <v>9976813.618111169</v>
          </cell>
        </row>
        <row r="310">
          <cell r="B310">
            <v>9975237.2815595083</v>
          </cell>
        </row>
        <row r="311">
          <cell r="B311">
            <v>9973531.515984362</v>
          </cell>
        </row>
        <row r="312">
          <cell r="B312">
            <v>9971616.5979332924</v>
          </cell>
        </row>
        <row r="313">
          <cell r="B313">
            <v>9969372.9841987565</v>
          </cell>
        </row>
        <row r="314">
          <cell r="B314">
            <v>9966761.0084768962</v>
          </cell>
        </row>
        <row r="315">
          <cell r="B315">
            <v>9963810.8472183868</v>
          </cell>
        </row>
        <row r="316">
          <cell r="B316">
            <v>9960582.572503889</v>
          </cell>
        </row>
        <row r="317">
          <cell r="B317">
            <v>9957166.0926815197</v>
          </cell>
        </row>
        <row r="318">
          <cell r="B318">
            <v>9953611.3843864314</v>
          </cell>
        </row>
        <row r="319">
          <cell r="B319">
            <v>9949948.4553969763</v>
          </cell>
        </row>
        <row r="320">
          <cell r="B320">
            <v>9946157.5250354707</v>
          </cell>
        </row>
        <row r="321">
          <cell r="B321">
            <v>9942218.8466555569</v>
          </cell>
        </row>
        <row r="322">
          <cell r="B322">
            <v>9938062.9991776552</v>
          </cell>
        </row>
        <row r="323">
          <cell r="B323">
            <v>9933680.3133950178</v>
          </cell>
        </row>
        <row r="324">
          <cell r="B324">
            <v>9929031.3510083482</v>
          </cell>
        </row>
        <row r="325">
          <cell r="B325">
            <v>9924066.8353328444</v>
          </cell>
        </row>
        <row r="326">
          <cell r="B326">
            <v>9918876.5483779646</v>
          </cell>
        </row>
        <row r="327">
          <cell r="B327">
            <v>9913490.5984121952</v>
          </cell>
        </row>
        <row r="328">
          <cell r="B328">
            <v>9907899.3897146899</v>
          </cell>
        </row>
        <row r="329">
          <cell r="B329">
            <v>9902073.5448735375</v>
          </cell>
        </row>
        <row r="330">
          <cell r="B330">
            <v>9896013.4758640751</v>
          </cell>
        </row>
        <row r="331">
          <cell r="B331">
            <v>9889749.2993338536</v>
          </cell>
        </row>
        <row r="332">
          <cell r="B332">
            <v>9883330.8520385865</v>
          </cell>
        </row>
        <row r="333">
          <cell r="B333">
            <v>9876797.9703453891</v>
          </cell>
        </row>
        <row r="334">
          <cell r="B334">
            <v>9870131.1317154057</v>
          </cell>
        </row>
        <row r="335">
          <cell r="B335">
            <v>9863271.3905788641</v>
          </cell>
        </row>
        <row r="336">
          <cell r="B336">
            <v>9856100.7922779135</v>
          </cell>
        </row>
        <row r="337">
          <cell r="B337">
            <v>9848531.3068694435</v>
          </cell>
        </row>
        <row r="338">
          <cell r="B338">
            <v>9840465.3597291168</v>
          </cell>
        </row>
        <row r="339">
          <cell r="B339">
            <v>9831815.5906779151</v>
          </cell>
        </row>
        <row r="340">
          <cell r="B340">
            <v>9822534.3567603156</v>
          </cell>
        </row>
        <row r="341">
          <cell r="B341">
            <v>9812574.3069225606</v>
          </cell>
        </row>
        <row r="342">
          <cell r="B342">
            <v>9801947.2889481634</v>
          </cell>
        </row>
        <row r="343">
          <cell r="B343">
            <v>9790665.247618584</v>
          </cell>
        </row>
        <row r="344">
          <cell r="B344">
            <v>9778681.4733554982</v>
          </cell>
        </row>
        <row r="345">
          <cell r="B345">
            <v>9765851.8432624564</v>
          </cell>
        </row>
        <row r="346">
          <cell r="B346">
            <v>9751964.8019413371</v>
          </cell>
        </row>
        <row r="347">
          <cell r="B347">
            <v>9736810.2486391198</v>
          </cell>
        </row>
        <row r="348">
          <cell r="B348">
            <v>9720267.4080266822</v>
          </cell>
        </row>
        <row r="349">
          <cell r="B349">
            <v>9702100.2282410804</v>
          </cell>
        </row>
        <row r="350">
          <cell r="B350">
            <v>9682065.3912697621</v>
          </cell>
        </row>
        <row r="351">
          <cell r="B351">
            <v>9659777.276739059</v>
          </cell>
        </row>
        <row r="352">
          <cell r="B352">
            <v>9634941.9893605635</v>
          </cell>
        </row>
        <row r="353">
          <cell r="B353">
            <v>9607443.8649229277</v>
          </cell>
        </row>
        <row r="354">
          <cell r="B354">
            <v>9576728.8668867685</v>
          </cell>
        </row>
        <row r="355">
          <cell r="B355">
            <v>9542118.5687618405</v>
          </cell>
        </row>
        <row r="356">
          <cell r="B356">
            <v>9502766.8717842661</v>
          </cell>
        </row>
        <row r="357">
          <cell r="B357">
            <v>9457989.8342844173</v>
          </cell>
        </row>
        <row r="358">
          <cell r="B358">
            <v>9407436.8786201663</v>
          </cell>
        </row>
        <row r="359">
          <cell r="B359">
            <v>9350408.9962619711</v>
          </cell>
        </row>
        <row r="360">
          <cell r="B360">
            <v>9285778.9692798089</v>
          </cell>
        </row>
        <row r="361">
          <cell r="B361">
            <v>9212922.7474868391</v>
          </cell>
        </row>
        <row r="362">
          <cell r="B362">
            <v>9130393.3855148517</v>
          </cell>
        </row>
        <row r="363">
          <cell r="B363">
            <v>9037710.7622584905</v>
          </cell>
        </row>
        <row r="364">
          <cell r="B364">
            <v>8934310.3134274911</v>
          </cell>
        </row>
        <row r="365">
          <cell r="B365">
            <v>8819325.7396936789</v>
          </cell>
        </row>
        <row r="366">
          <cell r="B366">
            <v>8693288.7555477154</v>
          </cell>
        </row>
        <row r="367">
          <cell r="B367">
            <v>8557551.7449185923</v>
          </cell>
        </row>
        <row r="368">
          <cell r="B368">
            <v>8412073.3652549759</v>
          </cell>
        </row>
        <row r="369">
          <cell r="B369">
            <v>8257324.8636277458</v>
          </cell>
        </row>
        <row r="370">
          <cell r="B370">
            <v>8091971.9332336001</v>
          </cell>
        </row>
        <row r="371">
          <cell r="B371">
            <v>7913738.159432197</v>
          </cell>
        </row>
        <row r="372">
          <cell r="B372">
            <v>7722328.5745700104</v>
          </cell>
        </row>
        <row r="373">
          <cell r="B373">
            <v>7517061.3587293653</v>
          </cell>
        </row>
        <row r="374">
          <cell r="B374">
            <v>7296736.2903050082</v>
          </cell>
        </row>
        <row r="375">
          <cell r="B375">
            <v>7060380.4083894482</v>
          </cell>
        </row>
        <row r="376">
          <cell r="B376">
            <v>6804173.3241298124</v>
          </cell>
        </row>
        <row r="377">
          <cell r="B377">
            <v>6527678.936930473</v>
          </cell>
        </row>
        <row r="378">
          <cell r="B378">
            <v>6230911.0694208024</v>
          </cell>
        </row>
        <row r="379">
          <cell r="B379">
            <v>5914411.9416495729</v>
          </cell>
        </row>
        <row r="380">
          <cell r="B380">
            <v>5579330.9330954161</v>
          </cell>
        </row>
        <row r="381">
          <cell r="B381">
            <v>5227476.0071306871</v>
          </cell>
        </row>
        <row r="382">
          <cell r="B382">
            <v>4864265.7466792399</v>
          </cell>
        </row>
        <row r="383">
          <cell r="B383">
            <v>4491959.7106941575</v>
          </cell>
        </row>
        <row r="384">
          <cell r="B384">
            <v>4114055.6321931686</v>
          </cell>
        </row>
        <row r="385">
          <cell r="B385">
            <v>3732740.2718677125</v>
          </cell>
        </row>
        <row r="386">
          <cell r="B386">
            <v>3348215.7655015322</v>
          </cell>
        </row>
        <row r="387">
          <cell r="B387">
            <v>2965066.0425921297</v>
          </cell>
        </row>
        <row r="388">
          <cell r="B388">
            <v>2588725.0351361237</v>
          </cell>
        </row>
        <row r="389">
          <cell r="B389">
            <v>2224620.8589442279</v>
          </cell>
        </row>
        <row r="390">
          <cell r="B390">
            <v>1880552.0984164779</v>
          </cell>
        </row>
        <row r="391">
          <cell r="B391">
            <v>1560500.9367869773</v>
          </cell>
        </row>
        <row r="392">
          <cell r="B392">
            <v>1269263.0864534869</v>
          </cell>
        </row>
        <row r="393">
          <cell r="B393">
            <v>1010945.2016246462</v>
          </cell>
        </row>
        <row r="394">
          <cell r="B394">
            <v>786391.02060417493</v>
          </cell>
        </row>
        <row r="395">
          <cell r="B395">
            <v>597473.94655137218</v>
          </cell>
        </row>
        <row r="396">
          <cell r="B396">
            <v>442501.15429487731</v>
          </cell>
        </row>
        <row r="397">
          <cell r="B397">
            <v>319071.65232048137</v>
          </cell>
        </row>
        <row r="398">
          <cell r="B398">
            <v>224111.46158677363</v>
          </cell>
        </row>
        <row r="399">
          <cell r="B399">
            <v>153151.04950455349</v>
          </cell>
        </row>
        <row r="400">
          <cell r="B400">
            <v>101269.90627648996</v>
          </cell>
        </row>
        <row r="401">
          <cell r="B401">
            <v>64931.225807297065</v>
          </cell>
        </row>
        <row r="402">
          <cell r="B402">
            <v>40209.635549555816</v>
          </cell>
        </row>
        <row r="403">
          <cell r="B403">
            <v>23947.813482791156</v>
          </cell>
        </row>
        <row r="404">
          <cell r="B404">
            <v>13700.951206334028</v>
          </cell>
        </row>
        <row r="405">
          <cell r="B405">
            <v>7548.0595338375115</v>
          </cell>
        </row>
        <row r="406">
          <cell r="B406">
            <v>4030.5732143548253</v>
          </cell>
        </row>
        <row r="407">
          <cell r="B407">
            <v>2101.6134242824642</v>
          </cell>
        </row>
        <row r="408">
          <cell r="B408">
            <v>1075.7318473532221</v>
          </cell>
        </row>
        <row r="409">
          <cell r="B409">
            <v>543.44574476883224</v>
          </cell>
        </row>
        <row r="410">
          <cell r="B410">
            <v>272.41630915474116</v>
          </cell>
        </row>
        <row r="411">
          <cell r="B411">
            <v>136.20815457737058</v>
          </cell>
        </row>
        <row r="412">
          <cell r="B412">
            <v>68.104077288685289</v>
          </cell>
        </row>
        <row r="413">
          <cell r="B413">
            <v>34.052038644342645</v>
          </cell>
        </row>
        <row r="414">
          <cell r="B414">
            <v>17.026019322171322</v>
          </cell>
        </row>
        <row r="415">
          <cell r="B415">
            <v>8.5130096610856612</v>
          </cell>
        </row>
        <row r="416">
          <cell r="B416">
            <v>4.2565048305428306</v>
          </cell>
        </row>
        <row r="417">
          <cell r="B417">
            <v>2.1282524152714153</v>
          </cell>
        </row>
        <row r="418">
          <cell r="B418">
            <v>1.0641262076357076</v>
          </cell>
        </row>
        <row r="419">
          <cell r="B419">
            <v>0</v>
          </cell>
        </row>
        <row r="420">
          <cell r="B420">
            <v>0</v>
          </cell>
        </row>
        <row r="421">
          <cell r="B421">
            <v>0</v>
          </cell>
        </row>
        <row r="422">
          <cell r="B422">
            <v>0</v>
          </cell>
        </row>
        <row r="423">
          <cell r="B423">
            <v>0</v>
          </cell>
        </row>
      </sheetData>
      <sheetData sheetId="1"/>
      <sheetData sheetId="2"/>
      <sheetData sheetId="3"/>
      <sheetData sheetId="4"/>
      <sheetData sheetId="5"/>
      <sheetData sheetId="6"/>
      <sheetData sheetId="7"/>
      <sheetData sheetId="8" refreshError="1"/>
      <sheetData sheetId="9" refreshError="1"/>
      <sheetData sheetId="10"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Check List"/>
      <sheetName val="Title Page"/>
      <sheetName val="TableConts1"/>
      <sheetName val="TableCont2"/>
      <sheetName val="GenInst1"/>
      <sheetName val="GenInst2"/>
      <sheetName val="Genl.Infro"/>
      <sheetName val="Imp.Changes"/>
      <sheetName val="NOTES 2"/>
      <sheetName val="Def1"/>
      <sheetName val="Def2"/>
      <sheetName val="Def3"/>
      <sheetName val="100"/>
      <sheetName val="101"/>
      <sheetName val="102"/>
      <sheetName val="103"/>
      <sheetName val="104"/>
      <sheetName val="200"/>
      <sheetName val="200-1"/>
      <sheetName val="200-2"/>
      <sheetName val="200-3"/>
      <sheetName val="201"/>
      <sheetName val="202-203"/>
      <sheetName val="204"/>
      <sheetName val="205-206"/>
      <sheetName val="206 Attacment"/>
      <sheetName val="210"/>
      <sheetName val="211-212"/>
      <sheetName val="213"/>
      <sheetName val="214"/>
      <sheetName val="215-216"/>
      <sheetName val="217-218"/>
      <sheetName val="219-220"/>
      <sheetName val="221-222"/>
      <sheetName val="223"/>
      <sheetName val="224"/>
      <sheetName val="225-226"/>
      <sheetName val="227-228"/>
      <sheetName val="229-230"/>
      <sheetName val="400"/>
      <sheetName val="401"/>
      <sheetName val="402"/>
      <sheetName val="403"/>
      <sheetName val="404"/>
      <sheetName val="405"/>
      <sheetName val="406"/>
      <sheetName val="407"/>
      <sheetName val="408"/>
      <sheetName val="409"/>
      <sheetName val="409-A"/>
      <sheetName val="410"/>
      <sheetName val="411-A"/>
      <sheetName val="411-B"/>
      <sheetName val="412-413"/>
      <sheetName val="416"/>
      <sheetName val="417"/>
      <sheetName val="418 (A)"/>
      <sheetName val="418 (B)"/>
      <sheetName val="419 (A)"/>
      <sheetName val="419 (B)"/>
      <sheetName val="422-I"/>
      <sheetName val="422"/>
      <sheetName val="500"/>
      <sheetName val="501"/>
      <sheetName val="502"/>
      <sheetName val="610"/>
      <sheetName val="Verify_Oath"/>
      <sheetName val="CountyData"/>
      <sheetName val="Data"/>
      <sheetName val="2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Title"/>
      <sheetName val="TOC"/>
      <sheetName val="ValSummary"/>
      <sheetName val="Cons Title"/>
      <sheetName val="Consolidated Model"/>
      <sheetName val="Net Debt"/>
      <sheetName val="Core Title"/>
      <sheetName val="Core Model"/>
      <sheetName val="Core DCF"/>
      <sheetName val="Bolt-on Title"/>
      <sheetName val="Bolt-on Model"/>
      <sheetName val="Bolt-on DCF"/>
      <sheetName val="Cerb Title"/>
      <sheetName val="Cerberus"/>
      <sheetName val="Cerberus DCF "/>
      <sheetName val="O&amp;M Title"/>
      <sheetName val="O&amp;M"/>
      <sheetName val="Sapphire"/>
      <sheetName val="Sapphire DCF"/>
      <sheetName val="AccDil Title"/>
      <sheetName val="Accretion-Dilution"/>
      <sheetName val="AccDil Out1"/>
      <sheetName val="AccDil Out2"/>
      <sheetName val="AccDil Out3"/>
      <sheetName val="ROCE"/>
      <sheetName val="IRR 2003"/>
      <sheetName val="Net Debt Reconc"/>
      <sheetName val="AccD塅䕃⹌塅Et2"/>
      <sheetName val="塅䕃⹌塅El Out2"/>
      <sheetName val="DIAMOND"/>
      <sheetName val="Input"/>
      <sheetName val="Raw-Hyp"/>
      <sheetName val="CalculationR&amp;R"/>
    </sheetNames>
    <sheetDataSet>
      <sheetData sheetId="0">
        <row r="25">
          <cell r="B25">
            <v>100.51612</v>
          </cell>
        </row>
      </sheetData>
      <sheetData sheetId="1"/>
      <sheetData sheetId="2" refreshError="1">
        <row r="25">
          <cell r="B25">
            <v>100.51612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HECK LIST"/>
      <sheetName val="Readme"/>
      <sheetName val="Data sheet"/>
      <sheetName val="Cover"/>
      <sheetName val="Instructions"/>
      <sheetName val="Schedules"/>
      <sheetName val="101"/>
      <sheetName val="102103"/>
      <sheetName val="104105"/>
      <sheetName val="106107"/>
      <sheetName val="108109"/>
      <sheetName val="110"/>
      <sheetName val="111113"/>
      <sheetName val="114115"/>
      <sheetName val="114115 EB analysis"/>
      <sheetName val="116119"/>
      <sheetName val="120121"/>
      <sheetName val="122123"/>
      <sheetName val="124125"/>
      <sheetName val="200201"/>
      <sheetName val="202205"/>
      <sheetName val="206"/>
      <sheetName val="207"/>
      <sheetName val="208"/>
      <sheetName val="209"/>
      <sheetName val="210"/>
      <sheetName val="211"/>
      <sheetName val="212"/>
      <sheetName val="213"/>
      <sheetName val="214"/>
      <sheetName val="215"/>
      <sheetName val="216"/>
      <sheetName val="217"/>
      <sheetName val="250251"/>
      <sheetName val="252"/>
      <sheetName val="253"/>
      <sheetName val="254"/>
      <sheetName val="255"/>
      <sheetName val="256257"/>
      <sheetName val="258260"/>
      <sheetName val="261"/>
      <sheetName val="262263"/>
      <sheetName val="264265"/>
      <sheetName val="266"/>
      <sheetName val="267"/>
      <sheetName val="300"/>
      <sheetName val="301"/>
      <sheetName val="302304"/>
      <sheetName val="305"/>
      <sheetName val="306"/>
      <sheetName val="307309"/>
      <sheetName val="310"/>
      <sheetName val="311312"/>
      <sheetName val="313"/>
      <sheetName val="314"/>
      <sheetName val="314_attachment"/>
      <sheetName val="315"/>
      <sheetName val="316"/>
      <sheetName val="317"/>
      <sheetName val="318320"/>
      <sheetName val="321"/>
      <sheetName val="350351"/>
      <sheetName val="352353"/>
      <sheetName val="354"/>
      <sheetName val="355356"/>
      <sheetName val="357358"/>
      <sheetName val="359360"/>
      <sheetName val="361362"/>
      <sheetName val="363"/>
      <sheetName val="364"/>
      <sheetName val="365"/>
      <sheetName val="366"/>
      <sheetName val="367"/>
      <sheetName val="400"/>
      <sheetName val="401"/>
      <sheetName val="402"/>
      <sheetName val="403404"/>
      <sheetName val="405"/>
      <sheetName val="406"/>
      <sheetName val="407408"/>
      <sheetName val="409"/>
      <sheetName val="410"/>
      <sheetName val="411412"/>
      <sheetName val="Book"/>
      <sheetName val="Verify"/>
      <sheetName val="Zindex"/>
      <sheetName val="2005 top side entries"/>
      <sheetName val="Add'l 2005 top side entries"/>
      <sheetName val="2006 top si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Year Ended December 31, 2007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JE Format"/>
      <sheetName val="Journal Entry"/>
      <sheetName val="AWK Cashbook 11.29"/>
      <sheetName val="em"/>
      <sheetName val="2002 Tax Adj 12-9-05"/>
      <sheetName val="Tax allocation 3-21-06"/>
      <sheetName val="AWK Cashbook (2)"/>
      <sheetName val="AWK Cashbook 10.26"/>
      <sheetName val="AWK Cashbook"/>
      <sheetName val="082806 refinance"/>
      <sheetName val="2002 Tax Adj"/>
      <sheetName val="AWKedit"/>
      <sheetName val="je2017"/>
      <sheetName val="Mac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TBHFM"/>
      <sheetName val="Instructions"/>
      <sheetName val="UP, CWIP, AD"/>
      <sheetName val="NUP"/>
      <sheetName val="UP, CWIP, AD Supplemental"/>
      <sheetName val="NUP Supplemental"/>
      <sheetName val="UP Mapping"/>
      <sheetName val="Sheet3"/>
      <sheetName val="Pivot Q1"/>
      <sheetName val="Q1 Asset Activity"/>
      <sheetName val="Project 15"/>
      <sheetName val="Dropdowns"/>
      <sheetName val="Sheet1"/>
      <sheetName val="Q2-Project 15"/>
      <sheetName val="Q1 AD Pivot"/>
      <sheetName val="Q1 Accum Depr"/>
      <sheetName val="Q1-Project 15"/>
      <sheetName val="Pivot Q2"/>
      <sheetName val="Q2 Asset Activity"/>
      <sheetName val="Pivot Q2 Acc Dep"/>
      <sheetName val="Q2 Acc Depr"/>
      <sheetName val="Q3 Ad_RM"/>
      <sheetName val="Q3 Project_15"/>
    </sheetNames>
    <sheetDataSet>
      <sheetData sheetId="0"/>
      <sheetData sheetId="1"/>
      <sheetData sheetId="2"/>
      <sheetData sheetId="3"/>
      <sheetData sheetId="4"/>
      <sheetData sheetId="5"/>
      <sheetData sheetId="6"/>
      <sheetData sheetId="7"/>
      <sheetData sheetId="8"/>
      <sheetData sheetId="9"/>
      <sheetData sheetId="10"/>
      <sheetData sheetId="11" refreshError="1">
        <row r="1">
          <cell r="A1" t="str">
            <v>2008 1st Quarter</v>
          </cell>
        </row>
        <row r="2">
          <cell r="A2" t="str">
            <v>2008 2nd Quarter</v>
          </cell>
        </row>
        <row r="3">
          <cell r="A3" t="str">
            <v>2008 3rd Quarter</v>
          </cell>
        </row>
        <row r="4">
          <cell r="A4" t="str">
            <v>2008 4th Quarter</v>
          </cell>
        </row>
        <row r="5">
          <cell r="A5" t="str">
            <v>2009 1st Quarter</v>
          </cell>
        </row>
        <row r="6">
          <cell r="A6" t="str">
            <v>2009 2nd Quarter</v>
          </cell>
        </row>
        <row r="7">
          <cell r="A7" t="str">
            <v>2009 3rd Quarter</v>
          </cell>
        </row>
        <row r="8">
          <cell r="A8" t="str">
            <v>2009 4th Quarter</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JDE TB"/>
      <sheetName val="BS"/>
      <sheetName val="IS"/>
      <sheetName val="CashFlow"/>
      <sheetName val="WCF"/>
      <sheetName val="Cap"/>
      <sheetName val="Equity"/>
      <sheetName val="Note C"/>
      <sheetName val="Note G"/>
      <sheetName val="Note H"/>
      <sheetName val="Note L"/>
      <sheetName val="Note M"/>
      <sheetName val="Reg Assets"/>
      <sheetName val="2005 top side entries"/>
      <sheetName val=" 2004 Top side entr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Notes"/>
      <sheetName val="Main Menu"/>
      <sheetName val="Objectives"/>
      <sheetName val="Risk &amp; Opportunities Threshold"/>
      <sheetName val="Approval Sheet"/>
      <sheetName val="Keyrisklist"/>
      <sheetName val="BaseCalc2"/>
      <sheetName val="BaseCalc"/>
      <sheetName val="Risk Register"/>
      <sheetName val="Action Plan"/>
      <sheetName val="keyriskarchive"/>
      <sheetName val="Risk Summary"/>
      <sheetName val="KeyRisk"/>
      <sheetName val="Risk Map"/>
      <sheetName val="Opportunities Register"/>
      <sheetName val="KeyOpportunity"/>
      <sheetName val="help.objectives"/>
      <sheetName val="help.thresholds"/>
      <sheetName val="help.riskregister"/>
      <sheetName val="help.approval"/>
      <sheetName val="help.keyrisklist"/>
      <sheetName val="help.keyrisks"/>
      <sheetName val="help.actionplan"/>
      <sheetName val="help.archive"/>
      <sheetName val="help.summary"/>
      <sheetName val="help.map"/>
      <sheetName val="Overview"/>
      <sheetName val="help.opportnitiesreg&amp;keyform"/>
      <sheetName val="help.createfile"/>
      <sheetName val="subcatlist"/>
      <sheetName val="Table"/>
      <sheetName val="BS"/>
      <sheetName val="Total Ahorros Estudio"/>
      <sheetName val="CONTROL"/>
      <sheetName val="Capex and Related Depn Exp"/>
      <sheetName val="ValSummary"/>
      <sheetName val="Labor wks"/>
      <sheetName val="Vehicle Input wks"/>
      <sheetName val="Summary"/>
      <sheetName val="Map"/>
      <sheetName val="Op Revenue"/>
      <sheetName val="WO Status"/>
      <sheetName val="Raw-Hy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
          <cell r="A1" t="str">
            <v>Asset Management including Property</v>
          </cell>
        </row>
        <row r="2">
          <cell r="A2" t="str">
            <v>Business Development</v>
          </cell>
        </row>
        <row r="3">
          <cell r="A3" t="str">
            <v xml:space="preserve">Business environment </v>
          </cell>
        </row>
        <row r="4">
          <cell r="A4" t="str">
            <v>Client management</v>
          </cell>
        </row>
        <row r="5">
          <cell r="A5" t="str">
            <v>Competitors</v>
          </cell>
        </row>
        <row r="6">
          <cell r="A6" t="str">
            <v>Consumers</v>
          </cell>
        </row>
        <row r="7">
          <cell r="A7" t="str">
            <v>Contractual</v>
          </cell>
        </row>
        <row r="8">
          <cell r="A8" t="str">
            <v>Corporate Social Responsibility</v>
          </cell>
        </row>
        <row r="9">
          <cell r="A9" t="str">
            <v>Costs</v>
          </cell>
        </row>
        <row r="10">
          <cell r="A10" t="str">
            <v>Cultural</v>
          </cell>
        </row>
        <row r="11">
          <cell r="A11" t="str">
            <v xml:space="preserve">Customer Service </v>
          </cell>
        </row>
        <row r="12">
          <cell r="A12" t="str">
            <v>Economic</v>
          </cell>
        </row>
        <row r="13">
          <cell r="A13" t="str">
            <v>Environmental</v>
          </cell>
        </row>
        <row r="14">
          <cell r="A14" t="str">
            <v>Financial Information Integrity</v>
          </cell>
        </row>
        <row r="15">
          <cell r="A15" t="str">
            <v>Financial Management</v>
          </cell>
        </row>
        <row r="16">
          <cell r="A16" t="str">
            <v>General Business</v>
          </cell>
        </row>
        <row r="17">
          <cell r="A17" t="str">
            <v>Geophysical</v>
          </cell>
        </row>
        <row r="18">
          <cell r="A18" t="str">
            <v>Health &amp; Safety</v>
          </cell>
        </row>
        <row r="19">
          <cell r="A19" t="str">
            <v>Human Resource</v>
          </cell>
        </row>
        <row r="20">
          <cell r="A20" t="str">
            <v>Information Technology</v>
          </cell>
        </row>
        <row r="21">
          <cell r="A21" t="str">
            <v>Insurance</v>
          </cell>
        </row>
        <row r="22">
          <cell r="A22" t="str">
            <v>Interest rate and exchange rate</v>
          </cell>
        </row>
        <row r="23">
          <cell r="A23" t="str">
            <v>Internal Communications</v>
          </cell>
        </row>
        <row r="24">
          <cell r="A24" t="str">
            <v>Investment management and M&amp;A</v>
          </cell>
        </row>
        <row r="25">
          <cell r="A25" t="str">
            <v>Litigation and Arbitration</v>
          </cell>
        </row>
        <row r="26">
          <cell r="A26" t="str">
            <v>Maintenance</v>
          </cell>
        </row>
        <row r="27">
          <cell r="A27" t="str">
            <v>Management Processes</v>
          </cell>
        </row>
        <row r="28">
          <cell r="A28" t="str">
            <v>Market structure</v>
          </cell>
        </row>
        <row r="29">
          <cell r="A29" t="str">
            <v>Marketing &amp; Reputation Management</v>
          </cell>
        </row>
        <row r="30">
          <cell r="A30" t="str">
            <v>Network Management</v>
          </cell>
        </row>
        <row r="31">
          <cell r="A31" t="str">
            <v>Partners, advisors and subcontractors</v>
          </cell>
        </row>
        <row r="32">
          <cell r="A32" t="str">
            <v>Political</v>
          </cell>
        </row>
        <row r="33">
          <cell r="A33" t="str">
            <v>Project Delivery</v>
          </cell>
        </row>
        <row r="34">
          <cell r="A34" t="str">
            <v>Project finance and capital resource availability</v>
          </cell>
        </row>
        <row r="35">
          <cell r="A35" t="str">
            <v>Raw Material Supply</v>
          </cell>
        </row>
        <row r="36">
          <cell r="A36" t="str">
            <v>Regulatory and legal environment</v>
          </cell>
        </row>
        <row r="37">
          <cell r="A37" t="str">
            <v>Research and Development</v>
          </cell>
        </row>
        <row r="38">
          <cell r="A38" t="str">
            <v>Revenue</v>
          </cell>
        </row>
        <row r="39">
          <cell r="A39" t="str">
            <v>Security</v>
          </cell>
        </row>
        <row r="40">
          <cell r="A40" t="str">
            <v>Social</v>
          </cell>
        </row>
        <row r="41">
          <cell r="A41" t="str">
            <v>Strategy</v>
          </cell>
        </row>
        <row r="42">
          <cell r="A42" t="str">
            <v>Supplier risks (incl. procurement and logistics)</v>
          </cell>
        </row>
        <row r="43">
          <cell r="A43" t="str">
            <v>Taxation</v>
          </cell>
        </row>
        <row r="44">
          <cell r="A44" t="str">
            <v>Transition &amp; Integration</v>
          </cell>
        </row>
        <row r="45">
          <cell r="A45" t="str">
            <v>Treasury</v>
          </cell>
        </row>
        <row r="46">
          <cell r="A46" t="str">
            <v>Treatment &amp; Production</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Data"/>
      <sheetName val="IO"/>
      <sheetName val="TPACT"/>
      <sheetName val="Projection"/>
      <sheetName val="Lookups"/>
      <sheetName val="Output"/>
      <sheetName val="Casualty Data"/>
      <sheetName val="subcatlist"/>
      <sheetName val="Summary"/>
      <sheetName val="CONTROL"/>
      <sheetName val="All Co's"/>
      <sheetName val="ValSummary"/>
    </sheetNames>
    <sheetDataSet>
      <sheetData sheetId="0"/>
      <sheetData sheetId="1" refreshError="1">
        <row r="2">
          <cell r="K2">
            <v>1</v>
          </cell>
        </row>
      </sheetData>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Data"/>
      <sheetName val="IO"/>
      <sheetName val="TPACT"/>
      <sheetName val="Projection"/>
      <sheetName val="Lookups"/>
      <sheetName val="Output"/>
      <sheetName val="Casualty Data"/>
    </sheetNames>
    <sheetDataSet>
      <sheetData sheetId="0"/>
      <sheetData sheetId="1" refreshError="1">
        <row r="3">
          <cell r="C3">
            <v>38353</v>
          </cell>
        </row>
      </sheetData>
      <sheetData sheetId="2"/>
      <sheetData sheetId="3"/>
      <sheetData sheetId="4"/>
      <sheetData sheetId="5"/>
      <sheetData sheetId="6"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LeadSources"/>
      <sheetName val="Pivot"/>
      <sheetName val="AMScorecardReport"/>
      <sheetName val="ScorecardReport"/>
      <sheetName val="FunnelReport"/>
      <sheetName val="ScorecardData"/>
      <sheetName val="FunnelData"/>
      <sheetName val="Capital Summary "/>
      <sheetName val="Americas2"/>
      <sheetName val="Engines"/>
      <sheetName val="TableofDeals"/>
      <sheetName val="Database"/>
      <sheetName val="HotDealData"/>
      <sheetName val="OutlierData"/>
      <sheetName val="OUD"/>
      <sheetName val="BSC2"/>
      <sheetName val="ScorecardBackup"/>
      <sheetName val="SuspectData"/>
      <sheetName val="WinAll"/>
      <sheetName val="SCBackupData"/>
      <sheetName val="subcatlist"/>
      <sheetName val="WO&amp;Proj06"/>
      <sheetName val="WO&amp;Proj07"/>
      <sheetName val="IO"/>
      <sheetName val="ValSummary"/>
      <sheetName val="titlepage"/>
      <sheetName val="DIV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Title Page"/>
      <sheetName val="TableConts1"/>
      <sheetName val="TableCont2"/>
      <sheetName val="GenInst1"/>
      <sheetName val="GenInst2"/>
      <sheetName val="Genl.Infro"/>
      <sheetName val="Imp.Changes"/>
      <sheetName val="NOTES"/>
      <sheetName val="Def1"/>
      <sheetName val="Def2"/>
      <sheetName val="Def3"/>
      <sheetName val="100"/>
      <sheetName val="101"/>
      <sheetName val="102"/>
      <sheetName val="103"/>
      <sheetName val="104"/>
      <sheetName val="200"/>
      <sheetName val="200-1"/>
      <sheetName val="200-2"/>
      <sheetName val="200-3"/>
      <sheetName val="201"/>
      <sheetName val="202-203"/>
      <sheetName val="204"/>
      <sheetName val="205-206"/>
      <sheetName val="210"/>
      <sheetName val="211-212"/>
      <sheetName val="213"/>
      <sheetName val="214"/>
      <sheetName val="215-216"/>
      <sheetName val="217-218"/>
      <sheetName val="219-220"/>
      <sheetName val="221-222"/>
      <sheetName val="223"/>
      <sheetName val="224"/>
      <sheetName val="225-226"/>
      <sheetName val="227-228"/>
      <sheetName val="229-230"/>
      <sheetName val="400"/>
      <sheetName val="401"/>
      <sheetName val="402"/>
      <sheetName val="403"/>
      <sheetName val="404"/>
      <sheetName val="405"/>
      <sheetName val="406"/>
      <sheetName val="407"/>
      <sheetName val="408"/>
      <sheetName val="409"/>
      <sheetName val="409-A"/>
      <sheetName val="410"/>
      <sheetName val="411-A"/>
      <sheetName val="411-B"/>
      <sheetName val="412-413"/>
      <sheetName val="416"/>
      <sheetName val="417"/>
      <sheetName val="418 (A)"/>
      <sheetName val="418 (B)"/>
      <sheetName val="419 (A)"/>
      <sheetName val="419 (B)"/>
      <sheetName val="422-I"/>
      <sheetName val="422"/>
      <sheetName val="500"/>
      <sheetName val="501"/>
      <sheetName val="502"/>
      <sheetName val="503"/>
      <sheetName val="Verify_Oath"/>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PG400"/>
      <sheetName val="PG402"/>
      <sheetName val="PG403404"/>
      <sheetName val="PG405"/>
      <sheetName val="PG406"/>
      <sheetName val="F"/>
    </sheetNames>
    <sheetDataSet>
      <sheetData sheetId="0" refreshError="1"/>
      <sheetData sheetId="1" refreshError="1"/>
      <sheetData sheetId="2" refreshError="1"/>
      <sheetData sheetId="3" refreshError="1"/>
      <sheetData sheetId="4" refreshError="1"/>
      <sheetData sheetId="5">
        <row r="10">
          <cell r="F10">
            <v>0</v>
          </cell>
        </row>
        <row r="34">
          <cell r="GF34">
            <v>3733</v>
          </cell>
          <cell r="HC34">
            <v>91149</v>
          </cell>
        </row>
        <row r="35">
          <cell r="E35">
            <v>10057.569443666664</v>
          </cell>
          <cell r="DQ35">
            <v>0</v>
          </cell>
          <cell r="IA35">
            <v>67800</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108109"/>
      <sheetName val="#REF"/>
    </sheetNames>
    <sheetDataSet>
      <sheetData sheetId="0" refreshError="1">
        <row r="1">
          <cell r="A1" t="str">
            <v>Year Ended December 31, 2007</v>
          </cell>
        </row>
      </sheetData>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Readme"/>
      <sheetName val="Data sheet"/>
      <sheetName val="Cover"/>
      <sheetName val="Instructions"/>
      <sheetName val="Schedules"/>
      <sheetName val="101"/>
      <sheetName val="102103"/>
      <sheetName val="104105"/>
      <sheetName val="106107"/>
      <sheetName val="108109"/>
      <sheetName val="110"/>
      <sheetName val="111113"/>
      <sheetName val="114115"/>
      <sheetName val="116119"/>
      <sheetName val="120121"/>
      <sheetName val="122123"/>
      <sheetName val="124125"/>
      <sheetName val="200201"/>
      <sheetName val="202205"/>
      <sheetName val="206"/>
      <sheetName val="207"/>
      <sheetName val="208"/>
      <sheetName val="209"/>
      <sheetName val="210"/>
      <sheetName val="211"/>
      <sheetName val="212"/>
      <sheetName val="213"/>
      <sheetName val="214"/>
      <sheetName val="215"/>
      <sheetName val="216"/>
      <sheetName val="217"/>
      <sheetName val="250251"/>
      <sheetName val="252"/>
      <sheetName val="253"/>
      <sheetName val="254"/>
      <sheetName val="255"/>
      <sheetName val="256257"/>
      <sheetName val="258260"/>
      <sheetName val="261"/>
      <sheetName val="262263"/>
      <sheetName val="264265"/>
      <sheetName val="266"/>
      <sheetName val="267"/>
      <sheetName val="300"/>
      <sheetName val="301"/>
      <sheetName val="302304"/>
      <sheetName val="305"/>
      <sheetName val="306"/>
      <sheetName val="307309"/>
      <sheetName val="310"/>
      <sheetName val="311312"/>
      <sheetName val="313"/>
      <sheetName val="314"/>
      <sheetName val="315"/>
      <sheetName val="316"/>
      <sheetName val="317"/>
      <sheetName val="318320"/>
      <sheetName val="321"/>
      <sheetName val="350351"/>
      <sheetName val="352353"/>
      <sheetName val="354"/>
      <sheetName val="355356"/>
      <sheetName val="357358"/>
      <sheetName val="359360"/>
      <sheetName val="361362"/>
      <sheetName val="363"/>
      <sheetName val="364"/>
      <sheetName val="365"/>
      <sheetName val="366"/>
      <sheetName val="367"/>
      <sheetName val="400"/>
      <sheetName val="401"/>
      <sheetName val="402"/>
      <sheetName val="403404"/>
      <sheetName val="405"/>
      <sheetName val="406"/>
      <sheetName val="407408"/>
      <sheetName val="409"/>
      <sheetName val="410"/>
      <sheetName val="411412"/>
      <sheetName val="Book"/>
      <sheetName val="Verify"/>
      <sheetName val="Zind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Returns"/>
      <sheetName val="DIAMOND"/>
      <sheetName val="MDSummary"/>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LeadSources"/>
      <sheetName val="Pivot"/>
      <sheetName val="OUD"/>
      <sheetName val="ScorecardReport"/>
      <sheetName val="Americas2"/>
      <sheetName val="BSC2"/>
      <sheetName val="ScorecardBackup"/>
      <sheetName val="SuspectData"/>
      <sheetName val="WinAll"/>
      <sheetName val="CommentDetail"/>
      <sheetName val="FunnelReport"/>
      <sheetName val="NewReport"/>
      <sheetName val="TableofDeals"/>
      <sheetName val="OutlierData"/>
      <sheetName val="HotDealData"/>
      <sheetName val="SCBackupData"/>
      <sheetName val="FunnelData"/>
      <sheetName val="Engines"/>
      <sheetName val="Database"/>
      <sheetName val="SalesForceReportData"/>
      <sheetName val="IL - PL"/>
      <sheetName val="UP, CWIP, AD"/>
      <sheetName val="Variables"/>
    </sheetNames>
    <sheetDataSet>
      <sheetData sheetId="0" refreshError="1"/>
      <sheetData sheetId="1" refreshError="1"/>
      <sheetData sheetId="2" refreshError="1">
        <row r="12">
          <cell r="B12" t="str">
            <v>US - Central</v>
          </cell>
        </row>
      </sheetData>
      <sheetData sheetId="3" refreshError="1"/>
      <sheetData sheetId="4" refreshError="1"/>
      <sheetData sheetId="5" refreshError="1"/>
      <sheetData sheetId="6" refreshError="1">
        <row r="33">
          <cell r="B33" t="str">
            <v>US - Central</v>
          </cell>
        </row>
      </sheetData>
      <sheetData sheetId="7" refreshError="1"/>
      <sheetData sheetId="8" refreshError="1">
        <row r="10">
          <cell r="B10" t="str">
            <v>US - Central</v>
          </cell>
        </row>
      </sheetData>
      <sheetData sheetId="9" refreshError="1"/>
      <sheetData sheetId="10" refreshError="1">
        <row r="33">
          <cell r="B33" t="str">
            <v>US - Central</v>
          </cell>
        </row>
      </sheetData>
      <sheetData sheetId="11" refreshError="1"/>
      <sheetData sheetId="12" refreshError="1">
        <row r="10">
          <cell r="BC10">
            <v>1</v>
          </cell>
          <cell r="BE10">
            <v>2</v>
          </cell>
          <cell r="BG10">
            <v>0</v>
          </cell>
          <cell r="BI10">
            <v>1</v>
          </cell>
          <cell r="BJ10">
            <v>4</v>
          </cell>
        </row>
        <row r="12">
          <cell r="B12" t="str">
            <v>US - Central</v>
          </cell>
        </row>
        <row r="13">
          <cell r="B13" t="str">
            <v>US - Central</v>
          </cell>
          <cell r="C13" t="str">
            <v>Cameron, MO R Sale for Resale</v>
          </cell>
          <cell r="D13" t="str">
            <v>Bulk Sale</v>
          </cell>
          <cell r="E13" t="str">
            <v>Development Approval</v>
          </cell>
          <cell r="F13">
            <v>0.2</v>
          </cell>
          <cell r="G13">
            <v>0</v>
          </cell>
          <cell r="H13">
            <v>1600000</v>
          </cell>
          <cell r="I13">
            <v>1600000</v>
          </cell>
          <cell r="J13">
            <v>398357</v>
          </cell>
          <cell r="K13">
            <v>398357</v>
          </cell>
          <cell r="L13">
            <v>398357</v>
          </cell>
          <cell r="M13">
            <v>398357</v>
          </cell>
          <cell r="N13">
            <v>398357</v>
          </cell>
          <cell r="O13">
            <v>300000</v>
          </cell>
          <cell r="P13">
            <v>300000</v>
          </cell>
          <cell r="Q13">
            <v>300000</v>
          </cell>
          <cell r="R13">
            <v>300000</v>
          </cell>
          <cell r="S13">
            <v>300000</v>
          </cell>
          <cell r="T13">
            <v>22</v>
          </cell>
          <cell r="U13">
            <v>311000</v>
          </cell>
          <cell r="V13">
            <v>62200</v>
          </cell>
          <cell r="W13">
            <v>131000</v>
          </cell>
          <cell r="X13">
            <v>26200</v>
          </cell>
          <cell r="Y13" t="str">
            <v>Jeff Gard</v>
          </cell>
          <cell r="Z13" t="str">
            <v>R</v>
          </cell>
          <cell r="AA13">
            <v>38043</v>
          </cell>
          <cell r="AB13" t="str">
            <v>Water (w)</v>
          </cell>
          <cell r="AC13">
            <v>39062</v>
          </cell>
          <cell r="AD13">
            <v>2</v>
          </cell>
          <cell r="AE13">
            <v>8</v>
          </cell>
          <cell r="AF13">
            <v>6</v>
          </cell>
          <cell r="AG13">
            <v>3</v>
          </cell>
          <cell r="AH13">
            <v>3</v>
          </cell>
          <cell r="AI13" t="str">
            <v>No</v>
          </cell>
          <cell r="AJ13">
            <v>0</v>
          </cell>
          <cell r="AK13">
            <v>0</v>
          </cell>
          <cell r="AL13">
            <v>0</v>
          </cell>
          <cell r="AM13">
            <v>0</v>
          </cell>
          <cell r="AN13">
            <v>0</v>
          </cell>
          <cell r="AO13">
            <v>60000</v>
          </cell>
          <cell r="AP13">
            <v>0</v>
          </cell>
          <cell r="AQ13">
            <v>0</v>
          </cell>
          <cell r="AR13">
            <v>0</v>
          </cell>
          <cell r="AS13">
            <v>0</v>
          </cell>
          <cell r="AT13">
            <v>0</v>
          </cell>
          <cell r="AU13">
            <v>0</v>
          </cell>
          <cell r="AV13">
            <v>0</v>
          </cell>
          <cell r="AW13">
            <v>0</v>
          </cell>
          <cell r="AX13">
            <v>0</v>
          </cell>
          <cell r="AY13">
            <v>0</v>
          </cell>
          <cell r="AZ13">
            <v>0.98175182481751821</v>
          </cell>
          <cell r="BA13" t="str">
            <v>Pending</v>
          </cell>
          <cell r="BB13">
            <v>0</v>
          </cell>
          <cell r="BC13">
            <v>0</v>
          </cell>
          <cell r="BD13">
            <v>0</v>
          </cell>
          <cell r="BE13">
            <v>0</v>
          </cell>
          <cell r="BF13">
            <v>0</v>
          </cell>
          <cell r="BG13">
            <v>0</v>
          </cell>
          <cell r="BH13">
            <v>1</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1</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62200</v>
          </cell>
          <cell r="CT13">
            <v>0</v>
          </cell>
          <cell r="CU13">
            <v>0</v>
          </cell>
          <cell r="CV13">
            <v>0</v>
          </cell>
          <cell r="CW13">
            <v>0</v>
          </cell>
          <cell r="CX13">
            <v>1</v>
          </cell>
          <cell r="CY13">
            <v>62200</v>
          </cell>
          <cell r="CZ13">
            <v>0</v>
          </cell>
          <cell r="DA13">
            <v>0</v>
          </cell>
          <cell r="DB13">
            <v>0</v>
          </cell>
          <cell r="DC13">
            <v>0</v>
          </cell>
          <cell r="DD13">
            <v>0</v>
          </cell>
          <cell r="DE13">
            <v>0</v>
          </cell>
          <cell r="DF13">
            <v>0</v>
          </cell>
          <cell r="DG13" t="str">
            <v>US - MO</v>
          </cell>
          <cell r="DH13">
            <v>60000</v>
          </cell>
          <cell r="DI13">
            <v>0</v>
          </cell>
          <cell r="DJ13">
            <v>60000</v>
          </cell>
          <cell r="DK13">
            <v>0</v>
          </cell>
          <cell r="DL13">
            <v>0</v>
          </cell>
          <cell r="DM13">
            <v>0</v>
          </cell>
          <cell r="DN13">
            <v>0</v>
          </cell>
          <cell r="DO13">
            <v>0</v>
          </cell>
          <cell r="DP13" t="str">
            <v>The City of Cameron is seeking alternative sources of supply to augment the existing surface water source. Major competitor would be City of Kansas City, MO. Competitive rate and main extension refund could help make the deal.</v>
          </cell>
          <cell r="DQ13">
            <v>0</v>
          </cell>
          <cell r="DR13">
            <v>0</v>
          </cell>
          <cell r="DS13">
            <v>0</v>
          </cell>
          <cell r="DT13">
            <v>0</v>
          </cell>
          <cell r="DU13">
            <v>0</v>
          </cell>
          <cell r="DV13">
            <v>0</v>
          </cell>
          <cell r="DW13">
            <v>0</v>
          </cell>
          <cell r="DX13">
            <v>0</v>
          </cell>
          <cell r="DY13">
            <v>0</v>
          </cell>
          <cell r="DZ13">
            <v>0</v>
          </cell>
          <cell r="EA13">
            <v>0</v>
          </cell>
          <cell r="EB13">
            <v>0</v>
          </cell>
          <cell r="EC13">
            <v>1600000</v>
          </cell>
          <cell r="ED13">
            <v>1991785</v>
          </cell>
          <cell r="EE13">
            <v>1500000</v>
          </cell>
          <cell r="EF13" t="str">
            <v>Rapidly Progressing</v>
          </cell>
          <cell r="EG13" t="str">
            <v>val</v>
          </cell>
          <cell r="EH13">
            <v>1</v>
          </cell>
          <cell r="EI13">
            <v>0</v>
          </cell>
          <cell r="EJ13">
            <v>0</v>
          </cell>
          <cell r="EK13">
            <v>0</v>
          </cell>
          <cell r="EL13">
            <v>0</v>
          </cell>
          <cell r="EM13">
            <v>-1429000</v>
          </cell>
        </row>
      </sheetData>
      <sheetData sheetId="13" refreshError="1"/>
      <sheetData sheetId="14" refreshError="1">
        <row r="2">
          <cell r="Z2" t="str">
            <v>Seneca - EShawnee DBO</v>
          </cell>
          <cell r="AA2">
            <v>240000</v>
          </cell>
          <cell r="AB2">
            <v>1600000</v>
          </cell>
          <cell r="AC2">
            <v>20000</v>
          </cell>
          <cell r="AD2">
            <v>0</v>
          </cell>
          <cell r="AE2" t="str">
            <v>Policy Approval</v>
          </cell>
          <cell r="AF2">
            <v>800000</v>
          </cell>
          <cell r="AG2" t="str">
            <v>DBO</v>
          </cell>
          <cell r="AH2" t="str">
            <v>Jeff Gard</v>
          </cell>
          <cell r="AI2">
            <v>0</v>
          </cell>
          <cell r="AJ2">
            <v>38687</v>
          </cell>
          <cell r="AK2" t="str">
            <v>US - Central</v>
          </cell>
          <cell r="AT2" t="str">
            <v>Randy Edgemon</v>
          </cell>
          <cell r="AU2">
            <v>0</v>
          </cell>
          <cell r="AV2">
            <v>38718</v>
          </cell>
          <cell r="AW2" t="str">
            <v>US - Central</v>
          </cell>
        </row>
        <row r="3">
          <cell r="Z3" t="str">
            <v>Cameron, MO R Sale for Resale</v>
          </cell>
          <cell r="AA3">
            <v>300000</v>
          </cell>
          <cell r="AB3">
            <v>311000</v>
          </cell>
          <cell r="AC3">
            <v>131000</v>
          </cell>
          <cell r="AD3">
            <v>1600000</v>
          </cell>
          <cell r="AE3" t="str">
            <v>Development Approval</v>
          </cell>
          <cell r="AF3">
            <v>62200</v>
          </cell>
          <cell r="AG3" t="str">
            <v>Bulk Sale</v>
          </cell>
          <cell r="AH3" t="str">
            <v>Jeff Gard</v>
          </cell>
          <cell r="AI3">
            <v>0</v>
          </cell>
          <cell r="AJ3">
            <v>39062</v>
          </cell>
          <cell r="AK3" t="str">
            <v>US - Central</v>
          </cell>
          <cell r="AT3" t="str">
            <v>Jeff Gard</v>
          </cell>
          <cell r="AU3">
            <v>0</v>
          </cell>
          <cell r="AV3">
            <v>39013</v>
          </cell>
          <cell r="AW3" t="str">
            <v>US - Central</v>
          </cell>
        </row>
      </sheetData>
      <sheetData sheetId="15" refreshError="1"/>
      <sheetData sheetId="16" refreshError="1">
        <row r="1">
          <cell r="S1">
            <v>4</v>
          </cell>
          <cell r="V1">
            <v>1</v>
          </cell>
          <cell r="X1">
            <v>2</v>
          </cell>
          <cell r="Y1">
            <v>1</v>
          </cell>
          <cell r="AA1">
            <v>1</v>
          </cell>
          <cell r="AI1">
            <v>1</v>
          </cell>
          <cell r="BC1">
            <v>1</v>
          </cell>
          <cell r="EK1">
            <v>2</v>
          </cell>
          <cell r="EN1" t="str">
            <v>2005 Targets - INPUT REQUIRED FOR NUMBERS IN BLUE</v>
          </cell>
        </row>
        <row r="2">
          <cell r="Q2" t="b">
            <v>0</v>
          </cell>
          <cell r="S2">
            <v>1</v>
          </cell>
          <cell r="T2" t="str">
            <v>US - Southeast</v>
          </cell>
          <cell r="BQ2">
            <v>0</v>
          </cell>
        </row>
        <row r="3">
          <cell r="S3">
            <v>2</v>
          </cell>
          <cell r="T3" t="str">
            <v>US - West</v>
          </cell>
          <cell r="BQ3">
            <v>0</v>
          </cell>
        </row>
        <row r="4">
          <cell r="E4">
            <v>41</v>
          </cell>
          <cell r="G4">
            <v>10</v>
          </cell>
          <cell r="I4">
            <v>9</v>
          </cell>
          <cell r="K4">
            <v>8</v>
          </cell>
          <cell r="M4">
            <v>14</v>
          </cell>
          <cell r="S4">
            <v>3</v>
          </cell>
          <cell r="T4" t="str">
            <v>US - Northeast</v>
          </cell>
        </row>
        <row r="5">
          <cell r="S5">
            <v>4</v>
          </cell>
          <cell r="T5" t="str">
            <v>US - Central</v>
          </cell>
        </row>
        <row r="6">
          <cell r="BY6">
            <v>6</v>
          </cell>
          <cell r="CB6">
            <v>13</v>
          </cell>
          <cell r="CC6">
            <v>38442</v>
          </cell>
        </row>
        <row r="7">
          <cell r="BQ7">
            <v>0</v>
          </cell>
        </row>
        <row r="8">
          <cell r="AT8">
            <v>132009.60000000001</v>
          </cell>
          <cell r="CB8">
            <v>38383</v>
          </cell>
          <cell r="CC8">
            <v>38352</v>
          </cell>
        </row>
      </sheetData>
      <sheetData sheetId="17" refreshError="1">
        <row r="11">
          <cell r="B11">
            <v>0.12</v>
          </cell>
        </row>
        <row r="12">
          <cell r="B12">
            <v>0.105</v>
          </cell>
        </row>
        <row r="13">
          <cell r="B13">
            <v>0</v>
          </cell>
          <cell r="C13">
            <v>-1</v>
          </cell>
          <cell r="G13">
            <v>54</v>
          </cell>
          <cell r="H13">
            <v>53</v>
          </cell>
          <cell r="J13">
            <v>54</v>
          </cell>
          <cell r="K13">
            <v>53</v>
          </cell>
          <cell r="M13">
            <v>0</v>
          </cell>
          <cell r="P13">
            <v>0</v>
          </cell>
          <cell r="S13">
            <v>0</v>
          </cell>
        </row>
        <row r="15">
          <cell r="B15">
            <v>-206</v>
          </cell>
          <cell r="G15">
            <v>54</v>
          </cell>
          <cell r="J15">
            <v>0</v>
          </cell>
          <cell r="M15">
            <v>0</v>
          </cell>
          <cell r="P15">
            <v>0</v>
          </cell>
          <cell r="S15">
            <v>0</v>
          </cell>
        </row>
        <row r="16">
          <cell r="B16">
            <v>206</v>
          </cell>
          <cell r="G16">
            <v>0</v>
          </cell>
          <cell r="J16">
            <v>54</v>
          </cell>
        </row>
        <row r="20">
          <cell r="B20">
            <v>0</v>
          </cell>
        </row>
        <row r="22">
          <cell r="B22">
            <v>25</v>
          </cell>
        </row>
        <row r="30">
          <cell r="G30">
            <v>0</v>
          </cell>
          <cell r="J30">
            <v>0</v>
          </cell>
          <cell r="K30">
            <v>-1</v>
          </cell>
        </row>
        <row r="32">
          <cell r="G32">
            <v>0</v>
          </cell>
          <cell r="J32">
            <v>0</v>
          </cell>
        </row>
        <row r="33">
          <cell r="J33">
            <v>0</v>
          </cell>
        </row>
      </sheetData>
      <sheetData sheetId="18" refreshError="1">
        <row r="1">
          <cell r="EU1" t="str">
            <v>Opportunity Name</v>
          </cell>
        </row>
      </sheetData>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heet1"/>
      <sheetName val="Tom's Sheet"/>
    </sheetNames>
    <sheetDataSet>
      <sheetData sheetId="0">
        <row r="1">
          <cell r="A1" t="str">
            <v>Thames Water Aqua US Holdings, Inc. Consolidated</v>
          </cell>
        </row>
      </sheetData>
      <sheetData sheetId="1" refreshError="1">
        <row r="1">
          <cell r="A1" t="str">
            <v>Thames Water Aqua US Holdings, Inc. Consolidated</v>
          </cell>
        </row>
        <row r="2">
          <cell r="A2" t="str">
            <v>Intercompany Billing schedule 2005</v>
          </cell>
        </row>
        <row r="7">
          <cell r="A7" t="str">
            <v>COMPANY</v>
          </cell>
        </row>
        <row r="10">
          <cell r="A10" t="str">
            <v>American Water Works Company, Inc.</v>
          </cell>
        </row>
        <row r="13">
          <cell r="A13" t="str">
            <v>American Water Resources, Inc.</v>
          </cell>
        </row>
        <row r="16">
          <cell r="A16" t="str">
            <v>American Water Services CDM, Inc.</v>
          </cell>
        </row>
        <row r="17">
          <cell r="A17" t="str">
            <v>American Water Services Engineering, Inc.</v>
          </cell>
        </row>
        <row r="18">
          <cell r="A18" t="str">
            <v>American Water Services Industrial Operations</v>
          </cell>
        </row>
        <row r="19">
          <cell r="A19" t="str">
            <v>American Water Services Operations &amp; Maintenance</v>
          </cell>
        </row>
        <row r="20">
          <cell r="A20" t="str">
            <v>American Water Services Residuals Management</v>
          </cell>
        </row>
        <row r="21">
          <cell r="A21" t="str">
            <v>American Water Services Underground</v>
          </cell>
        </row>
        <row r="22">
          <cell r="A22" t="str">
            <v>American Water Services, Inc.</v>
          </cell>
        </row>
        <row r="23">
          <cell r="A23" t="str">
            <v>Mag-Con Inc.</v>
          </cell>
        </row>
        <row r="24">
          <cell r="A24" t="str">
            <v>AAET, Inc.</v>
          </cell>
        </row>
        <row r="25">
          <cell r="A25" t="str">
            <v>Philip Automated Management Controls, Inc.</v>
          </cell>
        </row>
        <row r="26">
          <cell r="A26" t="str">
            <v>AWS Corp.</v>
          </cell>
        </row>
        <row r="27">
          <cell r="A27" t="str">
            <v>AWS Industrials Corp.</v>
          </cell>
        </row>
        <row r="28">
          <cell r="A28" t="str">
            <v>American Water Services (USA), Inc.</v>
          </cell>
        </row>
        <row r="29">
          <cell r="A29" t="str">
            <v>Trimax Residuals Management (USA), Inc.</v>
          </cell>
        </row>
        <row r="30">
          <cell r="A30" t="str">
            <v>U-Liner Mid-America, Inc.</v>
          </cell>
        </row>
        <row r="31">
          <cell r="A31" t="str">
            <v>Utility Management and Engineering, Inc.</v>
          </cell>
        </row>
        <row r="34">
          <cell r="A34" t="str">
            <v>Connecticut-American Water Company</v>
          </cell>
        </row>
        <row r="35">
          <cell r="A35" t="str">
            <v>Edgewood Water, Inc.</v>
          </cell>
        </row>
        <row r="36">
          <cell r="A36" t="str">
            <v>Massachusetts Capital Resources Company</v>
          </cell>
        </row>
        <row r="37">
          <cell r="A37" t="str">
            <v>Massachusetts-American Water Company</v>
          </cell>
        </row>
        <row r="38">
          <cell r="A38" t="str">
            <v>The Salisbury Water Supply Company</v>
          </cell>
        </row>
        <row r="39">
          <cell r="A39" t="str">
            <v>The F B Leopold Company, Inc.</v>
          </cell>
        </row>
        <row r="40">
          <cell r="A40" t="str">
            <v>Hydro-Aerobics Inc.</v>
          </cell>
        </row>
        <row r="41">
          <cell r="A41" t="str">
            <v>PWT Waste Solutions</v>
          </cell>
        </row>
        <row r="42">
          <cell r="A42" t="str">
            <v>UESG Holdings, Inc.</v>
          </cell>
        </row>
        <row r="44">
          <cell r="A44" t="str">
            <v>Ashbrook Corporation Inc.</v>
          </cell>
        </row>
        <row r="47">
          <cell r="A47" t="str">
            <v>Laurel Oak Properties</v>
          </cell>
        </row>
        <row r="49">
          <cell r="A49" t="str">
            <v>Thames Water Holdings, Inc.</v>
          </cell>
        </row>
        <row r="50">
          <cell r="A50" t="str">
            <v>Thames Water North America, Inc.</v>
          </cell>
        </row>
        <row r="51">
          <cell r="A51" t="str">
            <v>Thames Water Aqua US Holdings, Inc. (TWUS)</v>
          </cell>
        </row>
        <row r="54">
          <cell r="A54" t="str">
            <v>American Water Capital Corp.</v>
          </cell>
        </row>
        <row r="55">
          <cell r="A55" t="str">
            <v>American Water Works Service Company, Inc.</v>
          </cell>
        </row>
        <row r="56">
          <cell r="A56" t="str">
            <v>Arizona-American</v>
          </cell>
        </row>
        <row r="57">
          <cell r="A57" t="str">
            <v>Bluefield Valley Water Works Company</v>
          </cell>
        </row>
        <row r="58">
          <cell r="A58" t="str">
            <v>California-American Water Company</v>
          </cell>
        </row>
        <row r="59">
          <cell r="A59" t="str">
            <v>Hawaii-American Water Company</v>
          </cell>
        </row>
        <row r="60">
          <cell r="A60" t="str">
            <v>Ilinois Water Service Company</v>
          </cell>
        </row>
        <row r="61">
          <cell r="A61" t="str">
            <v>Illinois Lake Water Company</v>
          </cell>
        </row>
        <row r="62">
          <cell r="A62" t="str">
            <v>Illinois-American Water Company</v>
          </cell>
        </row>
        <row r="63">
          <cell r="A63" t="str">
            <v>Indiana-American Water Company, Inc.</v>
          </cell>
        </row>
        <row r="64">
          <cell r="A64" t="str">
            <v>Iowa-American Water Company</v>
          </cell>
        </row>
        <row r="65">
          <cell r="A65" t="str">
            <v>Kentucky-American Water Company</v>
          </cell>
        </row>
        <row r="66">
          <cell r="A66" t="str">
            <v>Long Island Water Corporation</v>
          </cell>
        </row>
        <row r="67">
          <cell r="A67" t="str">
            <v>Maryland-American Water Company</v>
          </cell>
        </row>
        <row r="68">
          <cell r="A68" t="str">
            <v>Michigan-American Water Company</v>
          </cell>
        </row>
        <row r="69">
          <cell r="A69" t="str">
            <v>Missouri-American Water Company</v>
          </cell>
        </row>
        <row r="70">
          <cell r="A70" t="str">
            <v>New Jersey-American Water Company, Inc.</v>
          </cell>
        </row>
        <row r="71">
          <cell r="A71" t="str">
            <v>New Mexico-American Water Company, Inc.</v>
          </cell>
        </row>
        <row r="72">
          <cell r="A72" t="str">
            <v>New York-American Water Company , Inc.</v>
          </cell>
        </row>
        <row r="73">
          <cell r="A73" t="str">
            <v>Ohio-American Water Company</v>
          </cell>
        </row>
        <row r="74">
          <cell r="A74" t="str">
            <v>Pennsylvania-American Water Company, Inc.</v>
          </cell>
        </row>
        <row r="75">
          <cell r="A75" t="str">
            <v>Tennessee-American Water Company</v>
          </cell>
        </row>
      </sheetData>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Gen'l"/>
      <sheetName val="100"/>
      <sheetName val="200"/>
      <sheetName val="300"/>
      <sheetName val="400"/>
      <sheetName val="Summary Tax"/>
      <sheetName val="Rate Rec"/>
      <sheetName val="Balance Sheet"/>
      <sheetName val="Analysis of Taxable Income"/>
      <sheetName val="FAS109 Analysis - Co 1"/>
      <sheetName val="AMT"/>
      <sheetName val="PY Prov to Return Rec"/>
      <sheetName val="Current State Provision - Inc"/>
      <sheetName val="TR Lead for EY use - Co. 1"/>
      <sheetName val="M&amp;E"/>
      <sheetName val="Officer Life Ins"/>
      <sheetName val="Penalties"/>
      <sheetName val="Stock Option"/>
      <sheetName val="UNICAP"/>
      <sheetName val="Depr"/>
      <sheetName val="Intangibles"/>
      <sheetName val="Asset Reserves"/>
      <sheetName val="State Taxes"/>
      <sheetName val="10.  Rent Abatement"/>
      <sheetName val="11.  Inventory"/>
      <sheetName val="Accrued Liab"/>
      <sheetName val="Comp Accrual"/>
      <sheetName val="14.  Accrued Severance"/>
      <sheetName val="15.  Accrued Legal"/>
      <sheetName val="Deferred Rev"/>
      <sheetName val="17.  Accrued Consulting"/>
      <sheetName val="Unrealized Gain"/>
      <sheetName val="19.  Accrued Vacation"/>
      <sheetName val="Prepaids"/>
      <sheetName val="Partnership"/>
      <sheetName val="Gain Loss"/>
      <sheetName val="23. Accrued SAR"/>
      <sheetName val="Contri Prop"/>
      <sheetName val="25 - Tax Exempt Interest"/>
      <sheetName val="26. Goodwill - permanent "/>
      <sheetName val="27. E Risk Income"/>
      <sheetName val="28. subpart F"/>
      <sheetName val="29- Sec 163j Interest Limit"/>
      <sheetName val="30.- section 481 adj"/>
      <sheetName val="Sub Earnings"/>
      <sheetName val="32. - Other"/>
      <sheetName val="Corporate Tax Rate Table"/>
      <sheetName val="Audit Adjustments"/>
      <sheetName val="Trial Balance"/>
      <sheetName val="Sheet6"/>
      <sheetName val="Bridge"/>
      <sheetName val="Addl"/>
      <sheetName val="FAS Encore"/>
      <sheetName val="Other Depr"/>
      <sheetName val="EY Depr"/>
      <sheetName val="Vehicles"/>
      <sheetName val="Chg Own %"/>
      <sheetName val="Own US Corp"/>
      <sheetName val="Own Frg Corp"/>
      <sheetName val="Div Paid"/>
      <sheetName val="ES Pmts"/>
      <sheetName val="Loans SH"/>
      <sheetName val="RE Rec"/>
      <sheetName val="Sale Sec"/>
      <sheetName val="Div Rec"/>
      <sheetName val="Misc Inc"/>
      <sheetName val="Pol Contri"/>
      <sheetName val="Club Dues"/>
      <sheetName val="Gifts"/>
      <sheetName val="Spouse Travel"/>
      <sheetName val="Foreign Tax"/>
      <sheetName val="Leased Auto"/>
      <sheetName val="Leases"/>
      <sheetName val="Officer Comp"/>
      <sheetName val="Pension"/>
      <sheetName val="FA Rfwd"/>
      <sheetName val="FA Rfwd (AMT)"/>
      <sheetName val="FA Rfwd (ACE)"/>
      <sheetName val="Misc Exp"/>
      <sheetName val="5471A"/>
      <sheetName val="5471B"/>
      <sheetName val="5471C"/>
      <sheetName val="5472"/>
      <sheetName val="A&amp;A"/>
      <sheetName val="State Misc"/>
      <sheetName val="Ext &amp; Est Pmts"/>
      <sheetName val="E&amp;Y Ref"/>
      <sheetName val="Module1"/>
      <sheetName val="Module2"/>
      <sheetName val="Module3"/>
      <sheetName val="Module9"/>
    </sheetNames>
    <sheetDataSet>
      <sheetData sheetId="0" refreshError="1">
        <row r="5">
          <cell r="C5" t="str">
            <v>Enter Company Name</v>
          </cell>
        </row>
        <row r="7">
          <cell r="C7">
            <v>38260</v>
          </cell>
        </row>
      </sheetData>
      <sheetData sheetId="1" refreshError="1">
        <row r="21">
          <cell r="H21">
            <v>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row r="13">
          <cell r="A13">
            <v>1</v>
          </cell>
          <cell r="C13" t="str">
            <v xml:space="preserve">Would you  authorize the IRS to speak to your paid tax return preparer regarding any problems during the processing of the business's tax return? </v>
          </cell>
          <cell r="I13" t="b">
            <v>0</v>
          </cell>
        </row>
        <row r="14">
          <cell r="A14">
            <v>2</v>
          </cell>
          <cell r="C14" t="str">
            <v>Have you prepared a GAR , if so please email the final version to : Carl.cardozo@ey.com</v>
          </cell>
        </row>
        <row r="15">
          <cell r="A15">
            <v>3</v>
          </cell>
          <cell r="C15" t="str">
            <v>Did the business pay wages to employees who perform substantially all services in an Empowerment Zone and live in that same Zone during employment. The Zones are:
Atlanta, GA
Baltimore, MD
Chicago, IL
Detroit, MI
New York, NY (Manhattan, Bronx)
Philadelph</v>
          </cell>
        </row>
      </sheetData>
      <sheetData sheetId="52" refreshError="1"/>
      <sheetData sheetId="53" refreshError="1"/>
      <sheetData sheetId="54" refreshError="1"/>
      <sheetData sheetId="55" refreshError="1">
        <row r="14">
          <cell r="K14" t="b">
            <v>0</v>
          </cell>
        </row>
      </sheetData>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row r="1">
          <cell r="A1" t="str">
            <v>POLITICAL CONTRIBUTIONS</v>
          </cell>
        </row>
        <row r="10">
          <cell r="A10" t="str">
            <v>0000-000</v>
          </cell>
        </row>
        <row r="11">
          <cell r="A11" t="str">
            <v>0000-000</v>
          </cell>
        </row>
        <row r="12">
          <cell r="A12" t="str">
            <v>0000-000</v>
          </cell>
        </row>
        <row r="13">
          <cell r="A13" t="str">
            <v>0000-000</v>
          </cell>
        </row>
        <row r="14">
          <cell r="A14" t="str">
            <v>0000-000</v>
          </cell>
        </row>
        <row r="15">
          <cell r="A15" t="str">
            <v>0000-000</v>
          </cell>
        </row>
        <row r="16">
          <cell r="A16" t="str">
            <v>0000-000</v>
          </cell>
        </row>
        <row r="17">
          <cell r="A17" t="str">
            <v>0000-000</v>
          </cell>
        </row>
        <row r="18">
          <cell r="A18" t="str">
            <v>0000-000</v>
          </cell>
        </row>
        <row r="19">
          <cell r="A19" t="str">
            <v>0000-000</v>
          </cell>
        </row>
        <row r="20">
          <cell r="A20" t="str">
            <v>0000-000</v>
          </cell>
        </row>
        <row r="21">
          <cell r="A21" t="str">
            <v>0000-000</v>
          </cell>
        </row>
      </sheetData>
      <sheetData sheetId="67" refreshError="1">
        <row r="1">
          <cell r="A1" t="str">
            <v>CLUB DUES DETAIL</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25.bin"/><Relationship Id="rId13" Type="http://schemas.openxmlformats.org/officeDocument/2006/relationships/printerSettings" Target="../printerSettings/printerSettings130.bin"/><Relationship Id="rId3" Type="http://schemas.openxmlformats.org/officeDocument/2006/relationships/printerSettings" Target="../printerSettings/printerSettings120.bin"/><Relationship Id="rId7" Type="http://schemas.openxmlformats.org/officeDocument/2006/relationships/printerSettings" Target="../printerSettings/printerSettings124.bin"/><Relationship Id="rId12" Type="http://schemas.openxmlformats.org/officeDocument/2006/relationships/printerSettings" Target="../printerSettings/printerSettings129.bin"/><Relationship Id="rId2" Type="http://schemas.openxmlformats.org/officeDocument/2006/relationships/printerSettings" Target="../printerSettings/printerSettings119.bin"/><Relationship Id="rId16" Type="http://schemas.openxmlformats.org/officeDocument/2006/relationships/customProperty" Target="../customProperty10.bin"/><Relationship Id="rId1" Type="http://schemas.openxmlformats.org/officeDocument/2006/relationships/printerSettings" Target="../printerSettings/printerSettings118.bin"/><Relationship Id="rId6" Type="http://schemas.openxmlformats.org/officeDocument/2006/relationships/printerSettings" Target="../printerSettings/printerSettings123.bin"/><Relationship Id="rId11" Type="http://schemas.openxmlformats.org/officeDocument/2006/relationships/printerSettings" Target="../printerSettings/printerSettings128.bin"/><Relationship Id="rId5" Type="http://schemas.openxmlformats.org/officeDocument/2006/relationships/printerSettings" Target="../printerSettings/printerSettings122.bin"/><Relationship Id="rId15" Type="http://schemas.openxmlformats.org/officeDocument/2006/relationships/printerSettings" Target="../printerSettings/printerSettings132.bin"/><Relationship Id="rId10" Type="http://schemas.openxmlformats.org/officeDocument/2006/relationships/printerSettings" Target="../printerSettings/printerSettings127.bin"/><Relationship Id="rId4" Type="http://schemas.openxmlformats.org/officeDocument/2006/relationships/printerSettings" Target="../printerSettings/printerSettings121.bin"/><Relationship Id="rId9" Type="http://schemas.openxmlformats.org/officeDocument/2006/relationships/printerSettings" Target="../printerSettings/printerSettings126.bin"/><Relationship Id="rId14" Type="http://schemas.openxmlformats.org/officeDocument/2006/relationships/printerSettings" Target="../printerSettings/printerSettings131.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40.bin"/><Relationship Id="rId13" Type="http://schemas.openxmlformats.org/officeDocument/2006/relationships/printerSettings" Target="../printerSettings/printerSettings145.bin"/><Relationship Id="rId3" Type="http://schemas.openxmlformats.org/officeDocument/2006/relationships/printerSettings" Target="../printerSettings/printerSettings135.bin"/><Relationship Id="rId7" Type="http://schemas.openxmlformats.org/officeDocument/2006/relationships/printerSettings" Target="../printerSettings/printerSettings139.bin"/><Relationship Id="rId12" Type="http://schemas.openxmlformats.org/officeDocument/2006/relationships/printerSettings" Target="../printerSettings/printerSettings144.bin"/><Relationship Id="rId2" Type="http://schemas.openxmlformats.org/officeDocument/2006/relationships/printerSettings" Target="../printerSettings/printerSettings134.bin"/><Relationship Id="rId1" Type="http://schemas.openxmlformats.org/officeDocument/2006/relationships/printerSettings" Target="../printerSettings/printerSettings133.bin"/><Relationship Id="rId6" Type="http://schemas.openxmlformats.org/officeDocument/2006/relationships/printerSettings" Target="../printerSettings/printerSettings138.bin"/><Relationship Id="rId11" Type="http://schemas.openxmlformats.org/officeDocument/2006/relationships/printerSettings" Target="../printerSettings/printerSettings143.bin"/><Relationship Id="rId5" Type="http://schemas.openxmlformats.org/officeDocument/2006/relationships/printerSettings" Target="../printerSettings/printerSettings137.bin"/><Relationship Id="rId15" Type="http://schemas.openxmlformats.org/officeDocument/2006/relationships/customProperty" Target="../customProperty11.bin"/><Relationship Id="rId10" Type="http://schemas.openxmlformats.org/officeDocument/2006/relationships/printerSettings" Target="../printerSettings/printerSettings142.bin"/><Relationship Id="rId4" Type="http://schemas.openxmlformats.org/officeDocument/2006/relationships/printerSettings" Target="../printerSettings/printerSettings136.bin"/><Relationship Id="rId9" Type="http://schemas.openxmlformats.org/officeDocument/2006/relationships/printerSettings" Target="../printerSettings/printerSettings141.bin"/><Relationship Id="rId14" Type="http://schemas.openxmlformats.org/officeDocument/2006/relationships/printerSettings" Target="../printerSettings/printerSettings146.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54.bin"/><Relationship Id="rId13" Type="http://schemas.openxmlformats.org/officeDocument/2006/relationships/printerSettings" Target="../printerSettings/printerSettings159.bin"/><Relationship Id="rId3" Type="http://schemas.openxmlformats.org/officeDocument/2006/relationships/printerSettings" Target="../printerSettings/printerSettings149.bin"/><Relationship Id="rId7" Type="http://schemas.openxmlformats.org/officeDocument/2006/relationships/printerSettings" Target="../printerSettings/printerSettings153.bin"/><Relationship Id="rId12" Type="http://schemas.openxmlformats.org/officeDocument/2006/relationships/printerSettings" Target="../printerSettings/printerSettings158.bin"/><Relationship Id="rId2" Type="http://schemas.openxmlformats.org/officeDocument/2006/relationships/printerSettings" Target="../printerSettings/printerSettings148.bin"/><Relationship Id="rId16" Type="http://schemas.openxmlformats.org/officeDocument/2006/relationships/customProperty" Target="../customProperty12.bin"/><Relationship Id="rId1" Type="http://schemas.openxmlformats.org/officeDocument/2006/relationships/printerSettings" Target="../printerSettings/printerSettings147.bin"/><Relationship Id="rId6" Type="http://schemas.openxmlformats.org/officeDocument/2006/relationships/printerSettings" Target="../printerSettings/printerSettings152.bin"/><Relationship Id="rId11" Type="http://schemas.openxmlformats.org/officeDocument/2006/relationships/printerSettings" Target="../printerSettings/printerSettings157.bin"/><Relationship Id="rId5" Type="http://schemas.openxmlformats.org/officeDocument/2006/relationships/printerSettings" Target="../printerSettings/printerSettings151.bin"/><Relationship Id="rId15" Type="http://schemas.openxmlformats.org/officeDocument/2006/relationships/printerSettings" Target="../printerSettings/printerSettings161.bin"/><Relationship Id="rId10" Type="http://schemas.openxmlformats.org/officeDocument/2006/relationships/printerSettings" Target="../printerSettings/printerSettings156.bin"/><Relationship Id="rId4" Type="http://schemas.openxmlformats.org/officeDocument/2006/relationships/printerSettings" Target="../printerSettings/printerSettings150.bin"/><Relationship Id="rId9" Type="http://schemas.openxmlformats.org/officeDocument/2006/relationships/printerSettings" Target="../printerSettings/printerSettings155.bin"/><Relationship Id="rId14" Type="http://schemas.openxmlformats.org/officeDocument/2006/relationships/printerSettings" Target="../printerSettings/printerSettings160.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69.bin"/><Relationship Id="rId13" Type="http://schemas.openxmlformats.org/officeDocument/2006/relationships/printerSettings" Target="../printerSettings/printerSettings174.bin"/><Relationship Id="rId3" Type="http://schemas.openxmlformats.org/officeDocument/2006/relationships/printerSettings" Target="../printerSettings/printerSettings164.bin"/><Relationship Id="rId7" Type="http://schemas.openxmlformats.org/officeDocument/2006/relationships/printerSettings" Target="../printerSettings/printerSettings168.bin"/><Relationship Id="rId12" Type="http://schemas.openxmlformats.org/officeDocument/2006/relationships/printerSettings" Target="../printerSettings/printerSettings173.bin"/><Relationship Id="rId2" Type="http://schemas.openxmlformats.org/officeDocument/2006/relationships/printerSettings" Target="../printerSettings/printerSettings163.bin"/><Relationship Id="rId16" Type="http://schemas.openxmlformats.org/officeDocument/2006/relationships/customProperty" Target="../customProperty13.bin"/><Relationship Id="rId1" Type="http://schemas.openxmlformats.org/officeDocument/2006/relationships/printerSettings" Target="../printerSettings/printerSettings162.bin"/><Relationship Id="rId6" Type="http://schemas.openxmlformats.org/officeDocument/2006/relationships/printerSettings" Target="../printerSettings/printerSettings167.bin"/><Relationship Id="rId11" Type="http://schemas.openxmlformats.org/officeDocument/2006/relationships/printerSettings" Target="../printerSettings/printerSettings172.bin"/><Relationship Id="rId5" Type="http://schemas.openxmlformats.org/officeDocument/2006/relationships/printerSettings" Target="../printerSettings/printerSettings166.bin"/><Relationship Id="rId15" Type="http://schemas.openxmlformats.org/officeDocument/2006/relationships/printerSettings" Target="../printerSettings/printerSettings176.bin"/><Relationship Id="rId10" Type="http://schemas.openxmlformats.org/officeDocument/2006/relationships/printerSettings" Target="../printerSettings/printerSettings171.bin"/><Relationship Id="rId4" Type="http://schemas.openxmlformats.org/officeDocument/2006/relationships/printerSettings" Target="../printerSettings/printerSettings165.bin"/><Relationship Id="rId9" Type="http://schemas.openxmlformats.org/officeDocument/2006/relationships/printerSettings" Target="../printerSettings/printerSettings170.bin"/><Relationship Id="rId14" Type="http://schemas.openxmlformats.org/officeDocument/2006/relationships/printerSettings" Target="../printerSettings/printerSettings175.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84.bin"/><Relationship Id="rId13" Type="http://schemas.openxmlformats.org/officeDocument/2006/relationships/printerSettings" Target="../printerSettings/printerSettings189.bin"/><Relationship Id="rId18" Type="http://schemas.openxmlformats.org/officeDocument/2006/relationships/comments" Target="../comments1.xml"/><Relationship Id="rId3" Type="http://schemas.openxmlformats.org/officeDocument/2006/relationships/printerSettings" Target="../printerSettings/printerSettings179.bin"/><Relationship Id="rId7" Type="http://schemas.openxmlformats.org/officeDocument/2006/relationships/printerSettings" Target="../printerSettings/printerSettings183.bin"/><Relationship Id="rId12" Type="http://schemas.openxmlformats.org/officeDocument/2006/relationships/printerSettings" Target="../printerSettings/printerSettings188.bin"/><Relationship Id="rId17" Type="http://schemas.openxmlformats.org/officeDocument/2006/relationships/vmlDrawing" Target="../drawings/vmlDrawing2.vml"/><Relationship Id="rId2" Type="http://schemas.openxmlformats.org/officeDocument/2006/relationships/printerSettings" Target="../printerSettings/printerSettings178.bin"/><Relationship Id="rId16" Type="http://schemas.openxmlformats.org/officeDocument/2006/relationships/customProperty" Target="../customProperty14.bin"/><Relationship Id="rId1" Type="http://schemas.openxmlformats.org/officeDocument/2006/relationships/printerSettings" Target="../printerSettings/printerSettings177.bin"/><Relationship Id="rId6" Type="http://schemas.openxmlformats.org/officeDocument/2006/relationships/printerSettings" Target="../printerSettings/printerSettings182.bin"/><Relationship Id="rId11" Type="http://schemas.openxmlformats.org/officeDocument/2006/relationships/printerSettings" Target="../printerSettings/printerSettings187.bin"/><Relationship Id="rId5" Type="http://schemas.openxmlformats.org/officeDocument/2006/relationships/printerSettings" Target="../printerSettings/printerSettings181.bin"/><Relationship Id="rId15" Type="http://schemas.openxmlformats.org/officeDocument/2006/relationships/printerSettings" Target="../printerSettings/printerSettings191.bin"/><Relationship Id="rId10" Type="http://schemas.openxmlformats.org/officeDocument/2006/relationships/printerSettings" Target="../printerSettings/printerSettings186.bin"/><Relationship Id="rId4" Type="http://schemas.openxmlformats.org/officeDocument/2006/relationships/printerSettings" Target="../printerSettings/printerSettings180.bin"/><Relationship Id="rId9" Type="http://schemas.openxmlformats.org/officeDocument/2006/relationships/printerSettings" Target="../printerSettings/printerSettings185.bin"/><Relationship Id="rId14" Type="http://schemas.openxmlformats.org/officeDocument/2006/relationships/printerSettings" Target="../printerSettings/printerSettings190.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99.bin"/><Relationship Id="rId13" Type="http://schemas.openxmlformats.org/officeDocument/2006/relationships/printerSettings" Target="../printerSettings/printerSettings204.bin"/><Relationship Id="rId3" Type="http://schemas.openxmlformats.org/officeDocument/2006/relationships/printerSettings" Target="../printerSettings/printerSettings194.bin"/><Relationship Id="rId7" Type="http://schemas.openxmlformats.org/officeDocument/2006/relationships/printerSettings" Target="../printerSettings/printerSettings198.bin"/><Relationship Id="rId12" Type="http://schemas.openxmlformats.org/officeDocument/2006/relationships/printerSettings" Target="../printerSettings/printerSettings203.bin"/><Relationship Id="rId2" Type="http://schemas.openxmlformats.org/officeDocument/2006/relationships/printerSettings" Target="../printerSettings/printerSettings193.bin"/><Relationship Id="rId16" Type="http://schemas.openxmlformats.org/officeDocument/2006/relationships/customProperty" Target="../customProperty15.bin"/><Relationship Id="rId1" Type="http://schemas.openxmlformats.org/officeDocument/2006/relationships/printerSettings" Target="../printerSettings/printerSettings192.bin"/><Relationship Id="rId6" Type="http://schemas.openxmlformats.org/officeDocument/2006/relationships/printerSettings" Target="../printerSettings/printerSettings197.bin"/><Relationship Id="rId11" Type="http://schemas.openxmlformats.org/officeDocument/2006/relationships/printerSettings" Target="../printerSettings/printerSettings202.bin"/><Relationship Id="rId5" Type="http://schemas.openxmlformats.org/officeDocument/2006/relationships/printerSettings" Target="../printerSettings/printerSettings196.bin"/><Relationship Id="rId15" Type="http://schemas.openxmlformats.org/officeDocument/2006/relationships/printerSettings" Target="../printerSettings/printerSettings206.bin"/><Relationship Id="rId10" Type="http://schemas.openxmlformats.org/officeDocument/2006/relationships/printerSettings" Target="../printerSettings/printerSettings201.bin"/><Relationship Id="rId4" Type="http://schemas.openxmlformats.org/officeDocument/2006/relationships/printerSettings" Target="../printerSettings/printerSettings195.bin"/><Relationship Id="rId9" Type="http://schemas.openxmlformats.org/officeDocument/2006/relationships/printerSettings" Target="../printerSettings/printerSettings200.bin"/><Relationship Id="rId14" Type="http://schemas.openxmlformats.org/officeDocument/2006/relationships/printerSettings" Target="../printerSettings/printerSettings205.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214.bin"/><Relationship Id="rId13" Type="http://schemas.openxmlformats.org/officeDocument/2006/relationships/printerSettings" Target="../printerSettings/printerSettings219.bin"/><Relationship Id="rId3" Type="http://schemas.openxmlformats.org/officeDocument/2006/relationships/printerSettings" Target="../printerSettings/printerSettings209.bin"/><Relationship Id="rId7" Type="http://schemas.openxmlformats.org/officeDocument/2006/relationships/printerSettings" Target="../printerSettings/printerSettings213.bin"/><Relationship Id="rId12" Type="http://schemas.openxmlformats.org/officeDocument/2006/relationships/printerSettings" Target="../printerSettings/printerSettings218.bin"/><Relationship Id="rId2" Type="http://schemas.openxmlformats.org/officeDocument/2006/relationships/printerSettings" Target="../printerSettings/printerSettings208.bin"/><Relationship Id="rId16" Type="http://schemas.openxmlformats.org/officeDocument/2006/relationships/customProperty" Target="../customProperty16.bin"/><Relationship Id="rId1" Type="http://schemas.openxmlformats.org/officeDocument/2006/relationships/printerSettings" Target="../printerSettings/printerSettings207.bin"/><Relationship Id="rId6" Type="http://schemas.openxmlformats.org/officeDocument/2006/relationships/printerSettings" Target="../printerSettings/printerSettings212.bin"/><Relationship Id="rId11" Type="http://schemas.openxmlformats.org/officeDocument/2006/relationships/printerSettings" Target="../printerSettings/printerSettings217.bin"/><Relationship Id="rId5" Type="http://schemas.openxmlformats.org/officeDocument/2006/relationships/printerSettings" Target="../printerSettings/printerSettings211.bin"/><Relationship Id="rId15" Type="http://schemas.openxmlformats.org/officeDocument/2006/relationships/printerSettings" Target="../printerSettings/printerSettings221.bin"/><Relationship Id="rId10" Type="http://schemas.openxmlformats.org/officeDocument/2006/relationships/printerSettings" Target="../printerSettings/printerSettings216.bin"/><Relationship Id="rId4" Type="http://schemas.openxmlformats.org/officeDocument/2006/relationships/printerSettings" Target="../printerSettings/printerSettings210.bin"/><Relationship Id="rId9" Type="http://schemas.openxmlformats.org/officeDocument/2006/relationships/printerSettings" Target="../printerSettings/printerSettings215.bin"/><Relationship Id="rId14" Type="http://schemas.openxmlformats.org/officeDocument/2006/relationships/printerSettings" Target="../printerSettings/printerSettings220.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229.bin"/><Relationship Id="rId13" Type="http://schemas.openxmlformats.org/officeDocument/2006/relationships/printerSettings" Target="../printerSettings/printerSettings234.bin"/><Relationship Id="rId3" Type="http://schemas.openxmlformats.org/officeDocument/2006/relationships/printerSettings" Target="../printerSettings/printerSettings224.bin"/><Relationship Id="rId7" Type="http://schemas.openxmlformats.org/officeDocument/2006/relationships/printerSettings" Target="../printerSettings/printerSettings228.bin"/><Relationship Id="rId12" Type="http://schemas.openxmlformats.org/officeDocument/2006/relationships/printerSettings" Target="../printerSettings/printerSettings233.bin"/><Relationship Id="rId2" Type="http://schemas.openxmlformats.org/officeDocument/2006/relationships/printerSettings" Target="../printerSettings/printerSettings223.bin"/><Relationship Id="rId16" Type="http://schemas.openxmlformats.org/officeDocument/2006/relationships/customProperty" Target="../customProperty17.bin"/><Relationship Id="rId1" Type="http://schemas.openxmlformats.org/officeDocument/2006/relationships/printerSettings" Target="../printerSettings/printerSettings222.bin"/><Relationship Id="rId6" Type="http://schemas.openxmlformats.org/officeDocument/2006/relationships/printerSettings" Target="../printerSettings/printerSettings227.bin"/><Relationship Id="rId11" Type="http://schemas.openxmlformats.org/officeDocument/2006/relationships/printerSettings" Target="../printerSettings/printerSettings232.bin"/><Relationship Id="rId5" Type="http://schemas.openxmlformats.org/officeDocument/2006/relationships/printerSettings" Target="../printerSettings/printerSettings226.bin"/><Relationship Id="rId15" Type="http://schemas.openxmlformats.org/officeDocument/2006/relationships/printerSettings" Target="../printerSettings/printerSettings236.bin"/><Relationship Id="rId10" Type="http://schemas.openxmlformats.org/officeDocument/2006/relationships/printerSettings" Target="../printerSettings/printerSettings231.bin"/><Relationship Id="rId4" Type="http://schemas.openxmlformats.org/officeDocument/2006/relationships/printerSettings" Target="../printerSettings/printerSettings225.bin"/><Relationship Id="rId9" Type="http://schemas.openxmlformats.org/officeDocument/2006/relationships/printerSettings" Target="../printerSettings/printerSettings230.bin"/><Relationship Id="rId14" Type="http://schemas.openxmlformats.org/officeDocument/2006/relationships/printerSettings" Target="../printerSettings/printerSettings235.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244.bin"/><Relationship Id="rId13" Type="http://schemas.openxmlformats.org/officeDocument/2006/relationships/printerSettings" Target="../printerSettings/printerSettings249.bin"/><Relationship Id="rId3" Type="http://schemas.openxmlformats.org/officeDocument/2006/relationships/printerSettings" Target="../printerSettings/printerSettings239.bin"/><Relationship Id="rId7" Type="http://schemas.openxmlformats.org/officeDocument/2006/relationships/printerSettings" Target="../printerSettings/printerSettings243.bin"/><Relationship Id="rId12" Type="http://schemas.openxmlformats.org/officeDocument/2006/relationships/printerSettings" Target="../printerSettings/printerSettings248.bin"/><Relationship Id="rId2" Type="http://schemas.openxmlformats.org/officeDocument/2006/relationships/printerSettings" Target="../printerSettings/printerSettings238.bin"/><Relationship Id="rId16" Type="http://schemas.openxmlformats.org/officeDocument/2006/relationships/customProperty" Target="../customProperty18.bin"/><Relationship Id="rId1" Type="http://schemas.openxmlformats.org/officeDocument/2006/relationships/printerSettings" Target="../printerSettings/printerSettings237.bin"/><Relationship Id="rId6" Type="http://schemas.openxmlformats.org/officeDocument/2006/relationships/printerSettings" Target="../printerSettings/printerSettings242.bin"/><Relationship Id="rId11" Type="http://schemas.openxmlformats.org/officeDocument/2006/relationships/printerSettings" Target="../printerSettings/printerSettings247.bin"/><Relationship Id="rId5" Type="http://schemas.openxmlformats.org/officeDocument/2006/relationships/printerSettings" Target="../printerSettings/printerSettings241.bin"/><Relationship Id="rId15" Type="http://schemas.openxmlformats.org/officeDocument/2006/relationships/printerSettings" Target="../printerSettings/printerSettings251.bin"/><Relationship Id="rId10" Type="http://schemas.openxmlformats.org/officeDocument/2006/relationships/printerSettings" Target="../printerSettings/printerSettings246.bin"/><Relationship Id="rId4" Type="http://schemas.openxmlformats.org/officeDocument/2006/relationships/printerSettings" Target="../printerSettings/printerSettings240.bin"/><Relationship Id="rId9" Type="http://schemas.openxmlformats.org/officeDocument/2006/relationships/printerSettings" Target="../printerSettings/printerSettings245.bin"/><Relationship Id="rId14" Type="http://schemas.openxmlformats.org/officeDocument/2006/relationships/printerSettings" Target="../printerSettings/printerSettings250.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259.bin"/><Relationship Id="rId13" Type="http://schemas.openxmlformats.org/officeDocument/2006/relationships/printerSettings" Target="../printerSettings/printerSettings264.bin"/><Relationship Id="rId3" Type="http://schemas.openxmlformats.org/officeDocument/2006/relationships/printerSettings" Target="../printerSettings/printerSettings254.bin"/><Relationship Id="rId7" Type="http://schemas.openxmlformats.org/officeDocument/2006/relationships/printerSettings" Target="../printerSettings/printerSettings258.bin"/><Relationship Id="rId12" Type="http://schemas.openxmlformats.org/officeDocument/2006/relationships/printerSettings" Target="../printerSettings/printerSettings263.bin"/><Relationship Id="rId2" Type="http://schemas.openxmlformats.org/officeDocument/2006/relationships/printerSettings" Target="../printerSettings/printerSettings253.bin"/><Relationship Id="rId16" Type="http://schemas.openxmlformats.org/officeDocument/2006/relationships/customProperty" Target="../customProperty19.bin"/><Relationship Id="rId1" Type="http://schemas.openxmlformats.org/officeDocument/2006/relationships/printerSettings" Target="../printerSettings/printerSettings252.bin"/><Relationship Id="rId6" Type="http://schemas.openxmlformats.org/officeDocument/2006/relationships/printerSettings" Target="../printerSettings/printerSettings257.bin"/><Relationship Id="rId11" Type="http://schemas.openxmlformats.org/officeDocument/2006/relationships/printerSettings" Target="../printerSettings/printerSettings262.bin"/><Relationship Id="rId5" Type="http://schemas.openxmlformats.org/officeDocument/2006/relationships/printerSettings" Target="../printerSettings/printerSettings256.bin"/><Relationship Id="rId15" Type="http://schemas.openxmlformats.org/officeDocument/2006/relationships/printerSettings" Target="../printerSettings/printerSettings266.bin"/><Relationship Id="rId10" Type="http://schemas.openxmlformats.org/officeDocument/2006/relationships/printerSettings" Target="../printerSettings/printerSettings261.bin"/><Relationship Id="rId4" Type="http://schemas.openxmlformats.org/officeDocument/2006/relationships/printerSettings" Target="../printerSettings/printerSettings255.bin"/><Relationship Id="rId9" Type="http://schemas.openxmlformats.org/officeDocument/2006/relationships/printerSettings" Target="../printerSettings/printerSettings260.bin"/><Relationship Id="rId14" Type="http://schemas.openxmlformats.org/officeDocument/2006/relationships/printerSettings" Target="../printerSettings/printerSettings265.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customProperty" Target="../customProperty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274.bin"/><Relationship Id="rId13" Type="http://schemas.openxmlformats.org/officeDocument/2006/relationships/printerSettings" Target="../printerSettings/printerSettings279.bin"/><Relationship Id="rId3" Type="http://schemas.openxmlformats.org/officeDocument/2006/relationships/printerSettings" Target="../printerSettings/printerSettings269.bin"/><Relationship Id="rId7" Type="http://schemas.openxmlformats.org/officeDocument/2006/relationships/printerSettings" Target="../printerSettings/printerSettings273.bin"/><Relationship Id="rId12" Type="http://schemas.openxmlformats.org/officeDocument/2006/relationships/printerSettings" Target="../printerSettings/printerSettings278.bin"/><Relationship Id="rId2" Type="http://schemas.openxmlformats.org/officeDocument/2006/relationships/printerSettings" Target="../printerSettings/printerSettings268.bin"/><Relationship Id="rId16" Type="http://schemas.openxmlformats.org/officeDocument/2006/relationships/customProperty" Target="../customProperty20.bin"/><Relationship Id="rId1" Type="http://schemas.openxmlformats.org/officeDocument/2006/relationships/printerSettings" Target="../printerSettings/printerSettings267.bin"/><Relationship Id="rId6" Type="http://schemas.openxmlformats.org/officeDocument/2006/relationships/printerSettings" Target="../printerSettings/printerSettings272.bin"/><Relationship Id="rId11" Type="http://schemas.openxmlformats.org/officeDocument/2006/relationships/printerSettings" Target="../printerSettings/printerSettings277.bin"/><Relationship Id="rId5" Type="http://schemas.openxmlformats.org/officeDocument/2006/relationships/printerSettings" Target="../printerSettings/printerSettings271.bin"/><Relationship Id="rId15" Type="http://schemas.openxmlformats.org/officeDocument/2006/relationships/printerSettings" Target="../printerSettings/printerSettings281.bin"/><Relationship Id="rId10" Type="http://schemas.openxmlformats.org/officeDocument/2006/relationships/printerSettings" Target="../printerSettings/printerSettings276.bin"/><Relationship Id="rId4" Type="http://schemas.openxmlformats.org/officeDocument/2006/relationships/printerSettings" Target="../printerSettings/printerSettings270.bin"/><Relationship Id="rId9" Type="http://schemas.openxmlformats.org/officeDocument/2006/relationships/printerSettings" Target="../printerSettings/printerSettings275.bin"/><Relationship Id="rId14" Type="http://schemas.openxmlformats.org/officeDocument/2006/relationships/printerSettings" Target="../printerSettings/printerSettings280.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289.bin"/><Relationship Id="rId13" Type="http://schemas.openxmlformats.org/officeDocument/2006/relationships/printerSettings" Target="../printerSettings/printerSettings294.bin"/><Relationship Id="rId3" Type="http://schemas.openxmlformats.org/officeDocument/2006/relationships/printerSettings" Target="../printerSettings/printerSettings284.bin"/><Relationship Id="rId7" Type="http://schemas.openxmlformats.org/officeDocument/2006/relationships/printerSettings" Target="../printerSettings/printerSettings288.bin"/><Relationship Id="rId12" Type="http://schemas.openxmlformats.org/officeDocument/2006/relationships/printerSettings" Target="../printerSettings/printerSettings293.bin"/><Relationship Id="rId2" Type="http://schemas.openxmlformats.org/officeDocument/2006/relationships/printerSettings" Target="../printerSettings/printerSettings283.bin"/><Relationship Id="rId16" Type="http://schemas.openxmlformats.org/officeDocument/2006/relationships/customProperty" Target="../customProperty21.bin"/><Relationship Id="rId1" Type="http://schemas.openxmlformats.org/officeDocument/2006/relationships/printerSettings" Target="../printerSettings/printerSettings282.bin"/><Relationship Id="rId6" Type="http://schemas.openxmlformats.org/officeDocument/2006/relationships/printerSettings" Target="../printerSettings/printerSettings287.bin"/><Relationship Id="rId11" Type="http://schemas.openxmlformats.org/officeDocument/2006/relationships/printerSettings" Target="../printerSettings/printerSettings292.bin"/><Relationship Id="rId5" Type="http://schemas.openxmlformats.org/officeDocument/2006/relationships/printerSettings" Target="../printerSettings/printerSettings286.bin"/><Relationship Id="rId15" Type="http://schemas.openxmlformats.org/officeDocument/2006/relationships/printerSettings" Target="../printerSettings/printerSettings296.bin"/><Relationship Id="rId10" Type="http://schemas.openxmlformats.org/officeDocument/2006/relationships/printerSettings" Target="../printerSettings/printerSettings291.bin"/><Relationship Id="rId4" Type="http://schemas.openxmlformats.org/officeDocument/2006/relationships/printerSettings" Target="../printerSettings/printerSettings285.bin"/><Relationship Id="rId9" Type="http://schemas.openxmlformats.org/officeDocument/2006/relationships/printerSettings" Target="../printerSettings/printerSettings290.bin"/><Relationship Id="rId14" Type="http://schemas.openxmlformats.org/officeDocument/2006/relationships/printerSettings" Target="../printerSettings/printerSettings295.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304.bin"/><Relationship Id="rId13" Type="http://schemas.openxmlformats.org/officeDocument/2006/relationships/printerSettings" Target="../printerSettings/printerSettings309.bin"/><Relationship Id="rId3" Type="http://schemas.openxmlformats.org/officeDocument/2006/relationships/printerSettings" Target="../printerSettings/printerSettings299.bin"/><Relationship Id="rId7" Type="http://schemas.openxmlformats.org/officeDocument/2006/relationships/printerSettings" Target="../printerSettings/printerSettings303.bin"/><Relationship Id="rId12" Type="http://schemas.openxmlformats.org/officeDocument/2006/relationships/printerSettings" Target="../printerSettings/printerSettings308.bin"/><Relationship Id="rId2" Type="http://schemas.openxmlformats.org/officeDocument/2006/relationships/printerSettings" Target="../printerSettings/printerSettings298.bin"/><Relationship Id="rId16" Type="http://schemas.openxmlformats.org/officeDocument/2006/relationships/customProperty" Target="../customProperty22.bin"/><Relationship Id="rId1" Type="http://schemas.openxmlformats.org/officeDocument/2006/relationships/printerSettings" Target="../printerSettings/printerSettings297.bin"/><Relationship Id="rId6" Type="http://schemas.openxmlformats.org/officeDocument/2006/relationships/printerSettings" Target="../printerSettings/printerSettings302.bin"/><Relationship Id="rId11" Type="http://schemas.openxmlformats.org/officeDocument/2006/relationships/printerSettings" Target="../printerSettings/printerSettings307.bin"/><Relationship Id="rId5" Type="http://schemas.openxmlformats.org/officeDocument/2006/relationships/printerSettings" Target="../printerSettings/printerSettings301.bin"/><Relationship Id="rId15" Type="http://schemas.openxmlformats.org/officeDocument/2006/relationships/printerSettings" Target="../printerSettings/printerSettings311.bin"/><Relationship Id="rId10" Type="http://schemas.openxmlformats.org/officeDocument/2006/relationships/printerSettings" Target="../printerSettings/printerSettings306.bin"/><Relationship Id="rId4" Type="http://schemas.openxmlformats.org/officeDocument/2006/relationships/printerSettings" Target="../printerSettings/printerSettings300.bin"/><Relationship Id="rId9" Type="http://schemas.openxmlformats.org/officeDocument/2006/relationships/printerSettings" Target="../printerSettings/printerSettings305.bin"/><Relationship Id="rId14" Type="http://schemas.openxmlformats.org/officeDocument/2006/relationships/printerSettings" Target="../printerSettings/printerSettings310.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319.bin"/><Relationship Id="rId13" Type="http://schemas.openxmlformats.org/officeDocument/2006/relationships/printerSettings" Target="../printerSettings/printerSettings324.bin"/><Relationship Id="rId3" Type="http://schemas.openxmlformats.org/officeDocument/2006/relationships/printerSettings" Target="../printerSettings/printerSettings314.bin"/><Relationship Id="rId7" Type="http://schemas.openxmlformats.org/officeDocument/2006/relationships/printerSettings" Target="../printerSettings/printerSettings318.bin"/><Relationship Id="rId12" Type="http://schemas.openxmlformats.org/officeDocument/2006/relationships/printerSettings" Target="../printerSettings/printerSettings323.bin"/><Relationship Id="rId2" Type="http://schemas.openxmlformats.org/officeDocument/2006/relationships/printerSettings" Target="../printerSettings/printerSettings313.bin"/><Relationship Id="rId16" Type="http://schemas.openxmlformats.org/officeDocument/2006/relationships/customProperty" Target="../customProperty23.bin"/><Relationship Id="rId1" Type="http://schemas.openxmlformats.org/officeDocument/2006/relationships/printerSettings" Target="../printerSettings/printerSettings312.bin"/><Relationship Id="rId6" Type="http://schemas.openxmlformats.org/officeDocument/2006/relationships/printerSettings" Target="../printerSettings/printerSettings317.bin"/><Relationship Id="rId11" Type="http://schemas.openxmlformats.org/officeDocument/2006/relationships/printerSettings" Target="../printerSettings/printerSettings322.bin"/><Relationship Id="rId5" Type="http://schemas.openxmlformats.org/officeDocument/2006/relationships/printerSettings" Target="../printerSettings/printerSettings316.bin"/><Relationship Id="rId15" Type="http://schemas.openxmlformats.org/officeDocument/2006/relationships/printerSettings" Target="../printerSettings/printerSettings326.bin"/><Relationship Id="rId10" Type="http://schemas.openxmlformats.org/officeDocument/2006/relationships/printerSettings" Target="../printerSettings/printerSettings321.bin"/><Relationship Id="rId4" Type="http://schemas.openxmlformats.org/officeDocument/2006/relationships/printerSettings" Target="../printerSettings/printerSettings315.bin"/><Relationship Id="rId9" Type="http://schemas.openxmlformats.org/officeDocument/2006/relationships/printerSettings" Target="../printerSettings/printerSettings320.bin"/><Relationship Id="rId14" Type="http://schemas.openxmlformats.org/officeDocument/2006/relationships/printerSettings" Target="../printerSettings/printerSettings325.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334.bin"/><Relationship Id="rId13" Type="http://schemas.openxmlformats.org/officeDocument/2006/relationships/printerSettings" Target="../printerSettings/printerSettings339.bin"/><Relationship Id="rId3" Type="http://schemas.openxmlformats.org/officeDocument/2006/relationships/printerSettings" Target="../printerSettings/printerSettings329.bin"/><Relationship Id="rId7" Type="http://schemas.openxmlformats.org/officeDocument/2006/relationships/printerSettings" Target="../printerSettings/printerSettings333.bin"/><Relationship Id="rId12" Type="http://schemas.openxmlformats.org/officeDocument/2006/relationships/printerSettings" Target="../printerSettings/printerSettings338.bin"/><Relationship Id="rId2" Type="http://schemas.openxmlformats.org/officeDocument/2006/relationships/printerSettings" Target="../printerSettings/printerSettings328.bin"/><Relationship Id="rId16" Type="http://schemas.openxmlformats.org/officeDocument/2006/relationships/customProperty" Target="../customProperty24.bin"/><Relationship Id="rId1" Type="http://schemas.openxmlformats.org/officeDocument/2006/relationships/printerSettings" Target="../printerSettings/printerSettings327.bin"/><Relationship Id="rId6" Type="http://schemas.openxmlformats.org/officeDocument/2006/relationships/printerSettings" Target="../printerSettings/printerSettings332.bin"/><Relationship Id="rId11" Type="http://schemas.openxmlformats.org/officeDocument/2006/relationships/printerSettings" Target="../printerSettings/printerSettings337.bin"/><Relationship Id="rId5" Type="http://schemas.openxmlformats.org/officeDocument/2006/relationships/printerSettings" Target="../printerSettings/printerSettings331.bin"/><Relationship Id="rId15" Type="http://schemas.openxmlformats.org/officeDocument/2006/relationships/printerSettings" Target="../printerSettings/printerSettings341.bin"/><Relationship Id="rId10" Type="http://schemas.openxmlformats.org/officeDocument/2006/relationships/printerSettings" Target="../printerSettings/printerSettings336.bin"/><Relationship Id="rId4" Type="http://schemas.openxmlformats.org/officeDocument/2006/relationships/printerSettings" Target="../printerSettings/printerSettings330.bin"/><Relationship Id="rId9" Type="http://schemas.openxmlformats.org/officeDocument/2006/relationships/printerSettings" Target="../printerSettings/printerSettings335.bin"/><Relationship Id="rId14" Type="http://schemas.openxmlformats.org/officeDocument/2006/relationships/printerSettings" Target="../printerSettings/printerSettings340.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349.bin"/><Relationship Id="rId13" Type="http://schemas.openxmlformats.org/officeDocument/2006/relationships/printerSettings" Target="../printerSettings/printerSettings354.bin"/><Relationship Id="rId3" Type="http://schemas.openxmlformats.org/officeDocument/2006/relationships/printerSettings" Target="../printerSettings/printerSettings344.bin"/><Relationship Id="rId7" Type="http://schemas.openxmlformats.org/officeDocument/2006/relationships/printerSettings" Target="../printerSettings/printerSettings348.bin"/><Relationship Id="rId12" Type="http://schemas.openxmlformats.org/officeDocument/2006/relationships/printerSettings" Target="../printerSettings/printerSettings353.bin"/><Relationship Id="rId2" Type="http://schemas.openxmlformats.org/officeDocument/2006/relationships/printerSettings" Target="../printerSettings/printerSettings343.bin"/><Relationship Id="rId16" Type="http://schemas.openxmlformats.org/officeDocument/2006/relationships/customProperty" Target="../customProperty25.bin"/><Relationship Id="rId1" Type="http://schemas.openxmlformats.org/officeDocument/2006/relationships/printerSettings" Target="../printerSettings/printerSettings342.bin"/><Relationship Id="rId6" Type="http://schemas.openxmlformats.org/officeDocument/2006/relationships/printerSettings" Target="../printerSettings/printerSettings347.bin"/><Relationship Id="rId11" Type="http://schemas.openxmlformats.org/officeDocument/2006/relationships/printerSettings" Target="../printerSettings/printerSettings352.bin"/><Relationship Id="rId5" Type="http://schemas.openxmlformats.org/officeDocument/2006/relationships/printerSettings" Target="../printerSettings/printerSettings346.bin"/><Relationship Id="rId15" Type="http://schemas.openxmlformats.org/officeDocument/2006/relationships/printerSettings" Target="../printerSettings/printerSettings356.bin"/><Relationship Id="rId10" Type="http://schemas.openxmlformats.org/officeDocument/2006/relationships/printerSettings" Target="../printerSettings/printerSettings351.bin"/><Relationship Id="rId4" Type="http://schemas.openxmlformats.org/officeDocument/2006/relationships/printerSettings" Target="../printerSettings/printerSettings345.bin"/><Relationship Id="rId9" Type="http://schemas.openxmlformats.org/officeDocument/2006/relationships/printerSettings" Target="../printerSettings/printerSettings350.bin"/><Relationship Id="rId14" Type="http://schemas.openxmlformats.org/officeDocument/2006/relationships/printerSettings" Target="../printerSettings/printerSettings355.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364.bin"/><Relationship Id="rId13" Type="http://schemas.openxmlformats.org/officeDocument/2006/relationships/printerSettings" Target="../printerSettings/printerSettings369.bin"/><Relationship Id="rId3" Type="http://schemas.openxmlformats.org/officeDocument/2006/relationships/printerSettings" Target="../printerSettings/printerSettings359.bin"/><Relationship Id="rId7" Type="http://schemas.openxmlformats.org/officeDocument/2006/relationships/printerSettings" Target="../printerSettings/printerSettings363.bin"/><Relationship Id="rId12" Type="http://schemas.openxmlformats.org/officeDocument/2006/relationships/printerSettings" Target="../printerSettings/printerSettings368.bin"/><Relationship Id="rId2" Type="http://schemas.openxmlformats.org/officeDocument/2006/relationships/printerSettings" Target="../printerSettings/printerSettings358.bin"/><Relationship Id="rId16" Type="http://schemas.openxmlformats.org/officeDocument/2006/relationships/customProperty" Target="../customProperty26.bin"/><Relationship Id="rId1" Type="http://schemas.openxmlformats.org/officeDocument/2006/relationships/printerSettings" Target="../printerSettings/printerSettings357.bin"/><Relationship Id="rId6" Type="http://schemas.openxmlformats.org/officeDocument/2006/relationships/printerSettings" Target="../printerSettings/printerSettings362.bin"/><Relationship Id="rId11" Type="http://schemas.openxmlformats.org/officeDocument/2006/relationships/printerSettings" Target="../printerSettings/printerSettings367.bin"/><Relationship Id="rId5" Type="http://schemas.openxmlformats.org/officeDocument/2006/relationships/printerSettings" Target="../printerSettings/printerSettings361.bin"/><Relationship Id="rId15" Type="http://schemas.openxmlformats.org/officeDocument/2006/relationships/printerSettings" Target="../printerSettings/printerSettings371.bin"/><Relationship Id="rId10" Type="http://schemas.openxmlformats.org/officeDocument/2006/relationships/printerSettings" Target="../printerSettings/printerSettings366.bin"/><Relationship Id="rId4" Type="http://schemas.openxmlformats.org/officeDocument/2006/relationships/printerSettings" Target="../printerSettings/printerSettings360.bin"/><Relationship Id="rId9" Type="http://schemas.openxmlformats.org/officeDocument/2006/relationships/printerSettings" Target="../printerSettings/printerSettings365.bin"/><Relationship Id="rId14" Type="http://schemas.openxmlformats.org/officeDocument/2006/relationships/printerSettings" Target="../printerSettings/printerSettings370.bin"/></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379.bin"/><Relationship Id="rId13" Type="http://schemas.openxmlformats.org/officeDocument/2006/relationships/printerSettings" Target="../printerSettings/printerSettings384.bin"/><Relationship Id="rId3" Type="http://schemas.openxmlformats.org/officeDocument/2006/relationships/printerSettings" Target="../printerSettings/printerSettings374.bin"/><Relationship Id="rId7" Type="http://schemas.openxmlformats.org/officeDocument/2006/relationships/printerSettings" Target="../printerSettings/printerSettings378.bin"/><Relationship Id="rId12" Type="http://schemas.openxmlformats.org/officeDocument/2006/relationships/printerSettings" Target="../printerSettings/printerSettings383.bin"/><Relationship Id="rId2" Type="http://schemas.openxmlformats.org/officeDocument/2006/relationships/printerSettings" Target="../printerSettings/printerSettings373.bin"/><Relationship Id="rId16" Type="http://schemas.openxmlformats.org/officeDocument/2006/relationships/customProperty" Target="../customProperty27.bin"/><Relationship Id="rId1" Type="http://schemas.openxmlformats.org/officeDocument/2006/relationships/printerSettings" Target="../printerSettings/printerSettings372.bin"/><Relationship Id="rId6" Type="http://schemas.openxmlformats.org/officeDocument/2006/relationships/printerSettings" Target="../printerSettings/printerSettings377.bin"/><Relationship Id="rId11" Type="http://schemas.openxmlformats.org/officeDocument/2006/relationships/printerSettings" Target="../printerSettings/printerSettings382.bin"/><Relationship Id="rId5" Type="http://schemas.openxmlformats.org/officeDocument/2006/relationships/printerSettings" Target="../printerSettings/printerSettings376.bin"/><Relationship Id="rId15" Type="http://schemas.openxmlformats.org/officeDocument/2006/relationships/printerSettings" Target="../printerSettings/printerSettings386.bin"/><Relationship Id="rId10" Type="http://schemas.openxmlformats.org/officeDocument/2006/relationships/printerSettings" Target="../printerSettings/printerSettings381.bin"/><Relationship Id="rId4" Type="http://schemas.openxmlformats.org/officeDocument/2006/relationships/printerSettings" Target="../printerSettings/printerSettings375.bin"/><Relationship Id="rId9" Type="http://schemas.openxmlformats.org/officeDocument/2006/relationships/printerSettings" Target="../printerSettings/printerSettings380.bin"/><Relationship Id="rId14" Type="http://schemas.openxmlformats.org/officeDocument/2006/relationships/printerSettings" Target="../printerSettings/printerSettings385.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394.bin"/><Relationship Id="rId13" Type="http://schemas.openxmlformats.org/officeDocument/2006/relationships/printerSettings" Target="../printerSettings/printerSettings399.bin"/><Relationship Id="rId3" Type="http://schemas.openxmlformats.org/officeDocument/2006/relationships/printerSettings" Target="../printerSettings/printerSettings389.bin"/><Relationship Id="rId7" Type="http://schemas.openxmlformats.org/officeDocument/2006/relationships/printerSettings" Target="../printerSettings/printerSettings393.bin"/><Relationship Id="rId12" Type="http://schemas.openxmlformats.org/officeDocument/2006/relationships/printerSettings" Target="../printerSettings/printerSettings398.bin"/><Relationship Id="rId2" Type="http://schemas.openxmlformats.org/officeDocument/2006/relationships/printerSettings" Target="../printerSettings/printerSettings388.bin"/><Relationship Id="rId16" Type="http://schemas.openxmlformats.org/officeDocument/2006/relationships/customProperty" Target="../customProperty28.bin"/><Relationship Id="rId1" Type="http://schemas.openxmlformats.org/officeDocument/2006/relationships/printerSettings" Target="../printerSettings/printerSettings387.bin"/><Relationship Id="rId6" Type="http://schemas.openxmlformats.org/officeDocument/2006/relationships/printerSettings" Target="../printerSettings/printerSettings392.bin"/><Relationship Id="rId11" Type="http://schemas.openxmlformats.org/officeDocument/2006/relationships/printerSettings" Target="../printerSettings/printerSettings397.bin"/><Relationship Id="rId5" Type="http://schemas.openxmlformats.org/officeDocument/2006/relationships/printerSettings" Target="../printerSettings/printerSettings391.bin"/><Relationship Id="rId15" Type="http://schemas.openxmlformats.org/officeDocument/2006/relationships/printerSettings" Target="../printerSettings/printerSettings401.bin"/><Relationship Id="rId10" Type="http://schemas.openxmlformats.org/officeDocument/2006/relationships/printerSettings" Target="../printerSettings/printerSettings396.bin"/><Relationship Id="rId4" Type="http://schemas.openxmlformats.org/officeDocument/2006/relationships/printerSettings" Target="../printerSettings/printerSettings390.bin"/><Relationship Id="rId9" Type="http://schemas.openxmlformats.org/officeDocument/2006/relationships/printerSettings" Target="../printerSettings/printerSettings395.bin"/><Relationship Id="rId14" Type="http://schemas.openxmlformats.org/officeDocument/2006/relationships/printerSettings" Target="../printerSettings/printerSettings400.bin"/></Relationships>
</file>

<file path=xl/worksheets/_rels/sheet29.xml.rels><?xml version="1.0" encoding="UTF-8" standalone="yes"?>
<Relationships xmlns="http://schemas.openxmlformats.org/package/2006/relationships"><Relationship Id="rId8" Type="http://schemas.openxmlformats.org/officeDocument/2006/relationships/printerSettings" Target="../printerSettings/printerSettings409.bin"/><Relationship Id="rId13" Type="http://schemas.openxmlformats.org/officeDocument/2006/relationships/printerSettings" Target="../printerSettings/printerSettings414.bin"/><Relationship Id="rId3" Type="http://schemas.openxmlformats.org/officeDocument/2006/relationships/printerSettings" Target="../printerSettings/printerSettings404.bin"/><Relationship Id="rId7" Type="http://schemas.openxmlformats.org/officeDocument/2006/relationships/printerSettings" Target="../printerSettings/printerSettings408.bin"/><Relationship Id="rId12" Type="http://schemas.openxmlformats.org/officeDocument/2006/relationships/printerSettings" Target="../printerSettings/printerSettings413.bin"/><Relationship Id="rId2" Type="http://schemas.openxmlformats.org/officeDocument/2006/relationships/printerSettings" Target="../printerSettings/printerSettings403.bin"/><Relationship Id="rId16" Type="http://schemas.openxmlformats.org/officeDocument/2006/relationships/customProperty" Target="../customProperty29.bin"/><Relationship Id="rId1" Type="http://schemas.openxmlformats.org/officeDocument/2006/relationships/printerSettings" Target="../printerSettings/printerSettings402.bin"/><Relationship Id="rId6" Type="http://schemas.openxmlformats.org/officeDocument/2006/relationships/printerSettings" Target="../printerSettings/printerSettings407.bin"/><Relationship Id="rId11" Type="http://schemas.openxmlformats.org/officeDocument/2006/relationships/printerSettings" Target="../printerSettings/printerSettings412.bin"/><Relationship Id="rId5" Type="http://schemas.openxmlformats.org/officeDocument/2006/relationships/printerSettings" Target="../printerSettings/printerSettings406.bin"/><Relationship Id="rId15" Type="http://schemas.openxmlformats.org/officeDocument/2006/relationships/printerSettings" Target="../printerSettings/printerSettings416.bin"/><Relationship Id="rId10" Type="http://schemas.openxmlformats.org/officeDocument/2006/relationships/printerSettings" Target="../printerSettings/printerSettings411.bin"/><Relationship Id="rId4" Type="http://schemas.openxmlformats.org/officeDocument/2006/relationships/printerSettings" Target="../printerSettings/printerSettings405.bin"/><Relationship Id="rId9" Type="http://schemas.openxmlformats.org/officeDocument/2006/relationships/printerSettings" Target="../printerSettings/printerSettings410.bin"/><Relationship Id="rId14" Type="http://schemas.openxmlformats.org/officeDocument/2006/relationships/printerSettings" Target="../printerSettings/printerSettings415.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3.bin"/><Relationship Id="rId13" Type="http://schemas.openxmlformats.org/officeDocument/2006/relationships/printerSettings" Target="../printerSettings/printerSettings28.bin"/><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12" Type="http://schemas.openxmlformats.org/officeDocument/2006/relationships/printerSettings" Target="../printerSettings/printerSettings27.bin"/><Relationship Id="rId17" Type="http://schemas.openxmlformats.org/officeDocument/2006/relationships/vmlDrawing" Target="../drawings/vmlDrawing1.vml"/><Relationship Id="rId2" Type="http://schemas.openxmlformats.org/officeDocument/2006/relationships/printerSettings" Target="../printerSettings/printerSettings17.bin"/><Relationship Id="rId16" Type="http://schemas.openxmlformats.org/officeDocument/2006/relationships/customProperty" Target="../customProperty3.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11" Type="http://schemas.openxmlformats.org/officeDocument/2006/relationships/printerSettings" Target="../printerSettings/printerSettings26.bin"/><Relationship Id="rId5" Type="http://schemas.openxmlformats.org/officeDocument/2006/relationships/printerSettings" Target="../printerSettings/printerSettings20.bin"/><Relationship Id="rId15" Type="http://schemas.openxmlformats.org/officeDocument/2006/relationships/printerSettings" Target="../printerSettings/printerSettings30.bin"/><Relationship Id="rId10" Type="http://schemas.openxmlformats.org/officeDocument/2006/relationships/printerSettings" Target="../printerSettings/printerSettings25.bin"/><Relationship Id="rId19" Type="http://schemas.openxmlformats.org/officeDocument/2006/relationships/ctrlProp" Target="../ctrlProps/ctrlProp1.xml"/><Relationship Id="rId4" Type="http://schemas.openxmlformats.org/officeDocument/2006/relationships/printerSettings" Target="../printerSettings/printerSettings19.bin"/><Relationship Id="rId9" Type="http://schemas.openxmlformats.org/officeDocument/2006/relationships/printerSettings" Target="../printerSettings/printerSettings24.bin"/><Relationship Id="rId14" Type="http://schemas.openxmlformats.org/officeDocument/2006/relationships/printerSettings" Target="../printerSettings/printerSettings29.bin"/></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424.bin"/><Relationship Id="rId13" Type="http://schemas.openxmlformats.org/officeDocument/2006/relationships/printerSettings" Target="../printerSettings/printerSettings429.bin"/><Relationship Id="rId3" Type="http://schemas.openxmlformats.org/officeDocument/2006/relationships/printerSettings" Target="../printerSettings/printerSettings419.bin"/><Relationship Id="rId7" Type="http://schemas.openxmlformats.org/officeDocument/2006/relationships/printerSettings" Target="../printerSettings/printerSettings423.bin"/><Relationship Id="rId12" Type="http://schemas.openxmlformats.org/officeDocument/2006/relationships/printerSettings" Target="../printerSettings/printerSettings428.bin"/><Relationship Id="rId2" Type="http://schemas.openxmlformats.org/officeDocument/2006/relationships/printerSettings" Target="../printerSettings/printerSettings418.bin"/><Relationship Id="rId16" Type="http://schemas.openxmlformats.org/officeDocument/2006/relationships/customProperty" Target="../customProperty30.bin"/><Relationship Id="rId1" Type="http://schemas.openxmlformats.org/officeDocument/2006/relationships/printerSettings" Target="../printerSettings/printerSettings417.bin"/><Relationship Id="rId6" Type="http://schemas.openxmlformats.org/officeDocument/2006/relationships/printerSettings" Target="../printerSettings/printerSettings422.bin"/><Relationship Id="rId11" Type="http://schemas.openxmlformats.org/officeDocument/2006/relationships/printerSettings" Target="../printerSettings/printerSettings427.bin"/><Relationship Id="rId5" Type="http://schemas.openxmlformats.org/officeDocument/2006/relationships/printerSettings" Target="../printerSettings/printerSettings421.bin"/><Relationship Id="rId15" Type="http://schemas.openxmlformats.org/officeDocument/2006/relationships/printerSettings" Target="../printerSettings/printerSettings431.bin"/><Relationship Id="rId10" Type="http://schemas.openxmlformats.org/officeDocument/2006/relationships/printerSettings" Target="../printerSettings/printerSettings426.bin"/><Relationship Id="rId4" Type="http://schemas.openxmlformats.org/officeDocument/2006/relationships/printerSettings" Target="../printerSettings/printerSettings420.bin"/><Relationship Id="rId9" Type="http://schemas.openxmlformats.org/officeDocument/2006/relationships/printerSettings" Target="../printerSettings/printerSettings425.bin"/><Relationship Id="rId14" Type="http://schemas.openxmlformats.org/officeDocument/2006/relationships/printerSettings" Target="../printerSettings/printerSettings430.bin"/></Relationships>
</file>

<file path=xl/worksheets/_rels/sheet31.xml.rels><?xml version="1.0" encoding="UTF-8" standalone="yes"?>
<Relationships xmlns="http://schemas.openxmlformats.org/package/2006/relationships"><Relationship Id="rId8" Type="http://schemas.openxmlformats.org/officeDocument/2006/relationships/printerSettings" Target="../printerSettings/printerSettings439.bin"/><Relationship Id="rId13" Type="http://schemas.openxmlformats.org/officeDocument/2006/relationships/printerSettings" Target="../printerSettings/printerSettings444.bin"/><Relationship Id="rId3" Type="http://schemas.openxmlformats.org/officeDocument/2006/relationships/printerSettings" Target="../printerSettings/printerSettings434.bin"/><Relationship Id="rId7" Type="http://schemas.openxmlformats.org/officeDocument/2006/relationships/printerSettings" Target="../printerSettings/printerSettings438.bin"/><Relationship Id="rId12" Type="http://schemas.openxmlformats.org/officeDocument/2006/relationships/printerSettings" Target="../printerSettings/printerSettings443.bin"/><Relationship Id="rId2" Type="http://schemas.openxmlformats.org/officeDocument/2006/relationships/printerSettings" Target="../printerSettings/printerSettings433.bin"/><Relationship Id="rId16" Type="http://schemas.openxmlformats.org/officeDocument/2006/relationships/customProperty" Target="../customProperty31.bin"/><Relationship Id="rId1" Type="http://schemas.openxmlformats.org/officeDocument/2006/relationships/printerSettings" Target="../printerSettings/printerSettings432.bin"/><Relationship Id="rId6" Type="http://schemas.openxmlformats.org/officeDocument/2006/relationships/printerSettings" Target="../printerSettings/printerSettings437.bin"/><Relationship Id="rId11" Type="http://schemas.openxmlformats.org/officeDocument/2006/relationships/printerSettings" Target="../printerSettings/printerSettings442.bin"/><Relationship Id="rId5" Type="http://schemas.openxmlformats.org/officeDocument/2006/relationships/printerSettings" Target="../printerSettings/printerSettings436.bin"/><Relationship Id="rId15" Type="http://schemas.openxmlformats.org/officeDocument/2006/relationships/printerSettings" Target="../printerSettings/printerSettings446.bin"/><Relationship Id="rId10" Type="http://schemas.openxmlformats.org/officeDocument/2006/relationships/printerSettings" Target="../printerSettings/printerSettings441.bin"/><Relationship Id="rId4" Type="http://schemas.openxmlformats.org/officeDocument/2006/relationships/printerSettings" Target="../printerSettings/printerSettings435.bin"/><Relationship Id="rId9" Type="http://schemas.openxmlformats.org/officeDocument/2006/relationships/printerSettings" Target="../printerSettings/printerSettings440.bin"/><Relationship Id="rId14" Type="http://schemas.openxmlformats.org/officeDocument/2006/relationships/printerSettings" Target="../printerSettings/printerSettings445.bin"/></Relationships>
</file>

<file path=xl/worksheets/_rels/sheet32.xml.rels><?xml version="1.0" encoding="UTF-8" standalone="yes"?>
<Relationships xmlns="http://schemas.openxmlformats.org/package/2006/relationships"><Relationship Id="rId8" Type="http://schemas.openxmlformats.org/officeDocument/2006/relationships/printerSettings" Target="../printerSettings/printerSettings454.bin"/><Relationship Id="rId13" Type="http://schemas.openxmlformats.org/officeDocument/2006/relationships/printerSettings" Target="../printerSettings/printerSettings459.bin"/><Relationship Id="rId3" Type="http://schemas.openxmlformats.org/officeDocument/2006/relationships/printerSettings" Target="../printerSettings/printerSettings449.bin"/><Relationship Id="rId7" Type="http://schemas.openxmlformats.org/officeDocument/2006/relationships/printerSettings" Target="../printerSettings/printerSettings453.bin"/><Relationship Id="rId12" Type="http://schemas.openxmlformats.org/officeDocument/2006/relationships/printerSettings" Target="../printerSettings/printerSettings458.bin"/><Relationship Id="rId2" Type="http://schemas.openxmlformats.org/officeDocument/2006/relationships/printerSettings" Target="../printerSettings/printerSettings448.bin"/><Relationship Id="rId16" Type="http://schemas.openxmlformats.org/officeDocument/2006/relationships/customProperty" Target="../customProperty32.bin"/><Relationship Id="rId1" Type="http://schemas.openxmlformats.org/officeDocument/2006/relationships/printerSettings" Target="../printerSettings/printerSettings447.bin"/><Relationship Id="rId6" Type="http://schemas.openxmlformats.org/officeDocument/2006/relationships/printerSettings" Target="../printerSettings/printerSettings452.bin"/><Relationship Id="rId11" Type="http://schemas.openxmlformats.org/officeDocument/2006/relationships/printerSettings" Target="../printerSettings/printerSettings457.bin"/><Relationship Id="rId5" Type="http://schemas.openxmlformats.org/officeDocument/2006/relationships/printerSettings" Target="../printerSettings/printerSettings451.bin"/><Relationship Id="rId15" Type="http://schemas.openxmlformats.org/officeDocument/2006/relationships/printerSettings" Target="../printerSettings/printerSettings461.bin"/><Relationship Id="rId10" Type="http://schemas.openxmlformats.org/officeDocument/2006/relationships/printerSettings" Target="../printerSettings/printerSettings456.bin"/><Relationship Id="rId4" Type="http://schemas.openxmlformats.org/officeDocument/2006/relationships/printerSettings" Target="../printerSettings/printerSettings450.bin"/><Relationship Id="rId9" Type="http://schemas.openxmlformats.org/officeDocument/2006/relationships/printerSettings" Target="../printerSettings/printerSettings455.bin"/><Relationship Id="rId14" Type="http://schemas.openxmlformats.org/officeDocument/2006/relationships/printerSettings" Target="../printerSettings/printerSettings460.bin"/></Relationships>
</file>

<file path=xl/worksheets/_rels/sheet33.xml.rels><?xml version="1.0" encoding="UTF-8" standalone="yes"?>
<Relationships xmlns="http://schemas.openxmlformats.org/package/2006/relationships"><Relationship Id="rId8" Type="http://schemas.openxmlformats.org/officeDocument/2006/relationships/printerSettings" Target="../printerSettings/printerSettings469.bin"/><Relationship Id="rId13" Type="http://schemas.openxmlformats.org/officeDocument/2006/relationships/printerSettings" Target="../printerSettings/printerSettings474.bin"/><Relationship Id="rId3" Type="http://schemas.openxmlformats.org/officeDocument/2006/relationships/printerSettings" Target="../printerSettings/printerSettings464.bin"/><Relationship Id="rId7" Type="http://schemas.openxmlformats.org/officeDocument/2006/relationships/printerSettings" Target="../printerSettings/printerSettings468.bin"/><Relationship Id="rId12" Type="http://schemas.openxmlformats.org/officeDocument/2006/relationships/printerSettings" Target="../printerSettings/printerSettings473.bin"/><Relationship Id="rId2" Type="http://schemas.openxmlformats.org/officeDocument/2006/relationships/printerSettings" Target="../printerSettings/printerSettings463.bin"/><Relationship Id="rId16" Type="http://schemas.openxmlformats.org/officeDocument/2006/relationships/customProperty" Target="../customProperty33.bin"/><Relationship Id="rId1" Type="http://schemas.openxmlformats.org/officeDocument/2006/relationships/printerSettings" Target="../printerSettings/printerSettings462.bin"/><Relationship Id="rId6" Type="http://schemas.openxmlformats.org/officeDocument/2006/relationships/printerSettings" Target="../printerSettings/printerSettings467.bin"/><Relationship Id="rId11" Type="http://schemas.openxmlformats.org/officeDocument/2006/relationships/printerSettings" Target="../printerSettings/printerSettings472.bin"/><Relationship Id="rId5" Type="http://schemas.openxmlformats.org/officeDocument/2006/relationships/printerSettings" Target="../printerSettings/printerSettings466.bin"/><Relationship Id="rId15" Type="http://schemas.openxmlformats.org/officeDocument/2006/relationships/printerSettings" Target="../printerSettings/printerSettings476.bin"/><Relationship Id="rId10" Type="http://schemas.openxmlformats.org/officeDocument/2006/relationships/printerSettings" Target="../printerSettings/printerSettings471.bin"/><Relationship Id="rId4" Type="http://schemas.openxmlformats.org/officeDocument/2006/relationships/printerSettings" Target="../printerSettings/printerSettings465.bin"/><Relationship Id="rId9" Type="http://schemas.openxmlformats.org/officeDocument/2006/relationships/printerSettings" Target="../printerSettings/printerSettings470.bin"/><Relationship Id="rId14" Type="http://schemas.openxmlformats.org/officeDocument/2006/relationships/printerSettings" Target="../printerSettings/printerSettings475.bin"/></Relationships>
</file>

<file path=xl/worksheets/_rels/sheet34.xml.rels><?xml version="1.0" encoding="UTF-8" standalone="yes"?>
<Relationships xmlns="http://schemas.openxmlformats.org/package/2006/relationships"><Relationship Id="rId8" Type="http://schemas.openxmlformats.org/officeDocument/2006/relationships/printerSettings" Target="../printerSettings/printerSettings484.bin"/><Relationship Id="rId13" Type="http://schemas.openxmlformats.org/officeDocument/2006/relationships/printerSettings" Target="../printerSettings/printerSettings489.bin"/><Relationship Id="rId3" Type="http://schemas.openxmlformats.org/officeDocument/2006/relationships/printerSettings" Target="../printerSettings/printerSettings479.bin"/><Relationship Id="rId7" Type="http://schemas.openxmlformats.org/officeDocument/2006/relationships/printerSettings" Target="../printerSettings/printerSettings483.bin"/><Relationship Id="rId12" Type="http://schemas.openxmlformats.org/officeDocument/2006/relationships/printerSettings" Target="../printerSettings/printerSettings488.bin"/><Relationship Id="rId2" Type="http://schemas.openxmlformats.org/officeDocument/2006/relationships/printerSettings" Target="../printerSettings/printerSettings478.bin"/><Relationship Id="rId16" Type="http://schemas.openxmlformats.org/officeDocument/2006/relationships/customProperty" Target="../customProperty34.bin"/><Relationship Id="rId1" Type="http://schemas.openxmlformats.org/officeDocument/2006/relationships/printerSettings" Target="../printerSettings/printerSettings477.bin"/><Relationship Id="rId6" Type="http://schemas.openxmlformats.org/officeDocument/2006/relationships/printerSettings" Target="../printerSettings/printerSettings482.bin"/><Relationship Id="rId11" Type="http://schemas.openxmlformats.org/officeDocument/2006/relationships/printerSettings" Target="../printerSettings/printerSettings487.bin"/><Relationship Id="rId5" Type="http://schemas.openxmlformats.org/officeDocument/2006/relationships/printerSettings" Target="../printerSettings/printerSettings481.bin"/><Relationship Id="rId15" Type="http://schemas.openxmlformats.org/officeDocument/2006/relationships/printerSettings" Target="../printerSettings/printerSettings491.bin"/><Relationship Id="rId10" Type="http://schemas.openxmlformats.org/officeDocument/2006/relationships/printerSettings" Target="../printerSettings/printerSettings486.bin"/><Relationship Id="rId4" Type="http://schemas.openxmlformats.org/officeDocument/2006/relationships/printerSettings" Target="../printerSettings/printerSettings480.bin"/><Relationship Id="rId9" Type="http://schemas.openxmlformats.org/officeDocument/2006/relationships/printerSettings" Target="../printerSettings/printerSettings485.bin"/><Relationship Id="rId14" Type="http://schemas.openxmlformats.org/officeDocument/2006/relationships/printerSettings" Target="../printerSettings/printerSettings490.bin"/></Relationships>
</file>

<file path=xl/worksheets/_rels/sheet35.xml.rels><?xml version="1.0" encoding="UTF-8" standalone="yes"?>
<Relationships xmlns="http://schemas.openxmlformats.org/package/2006/relationships"><Relationship Id="rId8" Type="http://schemas.openxmlformats.org/officeDocument/2006/relationships/printerSettings" Target="../printerSettings/printerSettings499.bin"/><Relationship Id="rId13" Type="http://schemas.openxmlformats.org/officeDocument/2006/relationships/printerSettings" Target="../printerSettings/printerSettings504.bin"/><Relationship Id="rId3" Type="http://schemas.openxmlformats.org/officeDocument/2006/relationships/printerSettings" Target="../printerSettings/printerSettings494.bin"/><Relationship Id="rId7" Type="http://schemas.openxmlformats.org/officeDocument/2006/relationships/printerSettings" Target="../printerSettings/printerSettings498.bin"/><Relationship Id="rId12" Type="http://schemas.openxmlformats.org/officeDocument/2006/relationships/printerSettings" Target="../printerSettings/printerSettings503.bin"/><Relationship Id="rId2" Type="http://schemas.openxmlformats.org/officeDocument/2006/relationships/printerSettings" Target="../printerSettings/printerSettings493.bin"/><Relationship Id="rId16" Type="http://schemas.openxmlformats.org/officeDocument/2006/relationships/customProperty" Target="../customProperty35.bin"/><Relationship Id="rId1" Type="http://schemas.openxmlformats.org/officeDocument/2006/relationships/printerSettings" Target="../printerSettings/printerSettings492.bin"/><Relationship Id="rId6" Type="http://schemas.openxmlformats.org/officeDocument/2006/relationships/printerSettings" Target="../printerSettings/printerSettings497.bin"/><Relationship Id="rId11" Type="http://schemas.openxmlformats.org/officeDocument/2006/relationships/printerSettings" Target="../printerSettings/printerSettings502.bin"/><Relationship Id="rId5" Type="http://schemas.openxmlformats.org/officeDocument/2006/relationships/printerSettings" Target="../printerSettings/printerSettings496.bin"/><Relationship Id="rId15" Type="http://schemas.openxmlformats.org/officeDocument/2006/relationships/printerSettings" Target="../printerSettings/printerSettings506.bin"/><Relationship Id="rId10" Type="http://schemas.openxmlformats.org/officeDocument/2006/relationships/printerSettings" Target="../printerSettings/printerSettings501.bin"/><Relationship Id="rId4" Type="http://schemas.openxmlformats.org/officeDocument/2006/relationships/printerSettings" Target="../printerSettings/printerSettings495.bin"/><Relationship Id="rId9" Type="http://schemas.openxmlformats.org/officeDocument/2006/relationships/printerSettings" Target="../printerSettings/printerSettings500.bin"/><Relationship Id="rId14" Type="http://schemas.openxmlformats.org/officeDocument/2006/relationships/printerSettings" Target="../printerSettings/printerSettings505.bin"/></Relationships>
</file>

<file path=xl/worksheets/_rels/sheet36.xml.rels><?xml version="1.0" encoding="UTF-8" standalone="yes"?>
<Relationships xmlns="http://schemas.openxmlformats.org/package/2006/relationships"><Relationship Id="rId8" Type="http://schemas.openxmlformats.org/officeDocument/2006/relationships/printerSettings" Target="../printerSettings/printerSettings514.bin"/><Relationship Id="rId13" Type="http://schemas.openxmlformats.org/officeDocument/2006/relationships/printerSettings" Target="../printerSettings/printerSettings519.bin"/><Relationship Id="rId3" Type="http://schemas.openxmlformats.org/officeDocument/2006/relationships/printerSettings" Target="../printerSettings/printerSettings509.bin"/><Relationship Id="rId7" Type="http://schemas.openxmlformats.org/officeDocument/2006/relationships/printerSettings" Target="../printerSettings/printerSettings513.bin"/><Relationship Id="rId12" Type="http://schemas.openxmlformats.org/officeDocument/2006/relationships/printerSettings" Target="../printerSettings/printerSettings518.bin"/><Relationship Id="rId2" Type="http://schemas.openxmlformats.org/officeDocument/2006/relationships/printerSettings" Target="../printerSettings/printerSettings508.bin"/><Relationship Id="rId16" Type="http://schemas.openxmlformats.org/officeDocument/2006/relationships/customProperty" Target="../customProperty36.bin"/><Relationship Id="rId1" Type="http://schemas.openxmlformats.org/officeDocument/2006/relationships/printerSettings" Target="../printerSettings/printerSettings507.bin"/><Relationship Id="rId6" Type="http://schemas.openxmlformats.org/officeDocument/2006/relationships/printerSettings" Target="../printerSettings/printerSettings512.bin"/><Relationship Id="rId11" Type="http://schemas.openxmlformats.org/officeDocument/2006/relationships/printerSettings" Target="../printerSettings/printerSettings517.bin"/><Relationship Id="rId5" Type="http://schemas.openxmlformats.org/officeDocument/2006/relationships/printerSettings" Target="../printerSettings/printerSettings511.bin"/><Relationship Id="rId15" Type="http://schemas.openxmlformats.org/officeDocument/2006/relationships/printerSettings" Target="../printerSettings/printerSettings521.bin"/><Relationship Id="rId10" Type="http://schemas.openxmlformats.org/officeDocument/2006/relationships/printerSettings" Target="../printerSettings/printerSettings516.bin"/><Relationship Id="rId4" Type="http://schemas.openxmlformats.org/officeDocument/2006/relationships/printerSettings" Target="../printerSettings/printerSettings510.bin"/><Relationship Id="rId9" Type="http://schemas.openxmlformats.org/officeDocument/2006/relationships/printerSettings" Target="../printerSettings/printerSettings515.bin"/><Relationship Id="rId14" Type="http://schemas.openxmlformats.org/officeDocument/2006/relationships/printerSettings" Target="../printerSettings/printerSettings520.bin"/></Relationships>
</file>

<file path=xl/worksheets/_rels/sheet37.xml.rels><?xml version="1.0" encoding="UTF-8" standalone="yes"?>
<Relationships xmlns="http://schemas.openxmlformats.org/package/2006/relationships"><Relationship Id="rId8" Type="http://schemas.openxmlformats.org/officeDocument/2006/relationships/printerSettings" Target="../printerSettings/printerSettings529.bin"/><Relationship Id="rId13" Type="http://schemas.openxmlformats.org/officeDocument/2006/relationships/printerSettings" Target="../printerSettings/printerSettings534.bin"/><Relationship Id="rId3" Type="http://schemas.openxmlformats.org/officeDocument/2006/relationships/printerSettings" Target="../printerSettings/printerSettings524.bin"/><Relationship Id="rId7" Type="http://schemas.openxmlformats.org/officeDocument/2006/relationships/printerSettings" Target="../printerSettings/printerSettings528.bin"/><Relationship Id="rId12" Type="http://schemas.openxmlformats.org/officeDocument/2006/relationships/printerSettings" Target="../printerSettings/printerSettings533.bin"/><Relationship Id="rId2" Type="http://schemas.openxmlformats.org/officeDocument/2006/relationships/printerSettings" Target="../printerSettings/printerSettings523.bin"/><Relationship Id="rId16" Type="http://schemas.openxmlformats.org/officeDocument/2006/relationships/customProperty" Target="../customProperty37.bin"/><Relationship Id="rId1" Type="http://schemas.openxmlformats.org/officeDocument/2006/relationships/printerSettings" Target="../printerSettings/printerSettings522.bin"/><Relationship Id="rId6" Type="http://schemas.openxmlformats.org/officeDocument/2006/relationships/printerSettings" Target="../printerSettings/printerSettings527.bin"/><Relationship Id="rId11" Type="http://schemas.openxmlformats.org/officeDocument/2006/relationships/printerSettings" Target="../printerSettings/printerSettings532.bin"/><Relationship Id="rId5" Type="http://schemas.openxmlformats.org/officeDocument/2006/relationships/printerSettings" Target="../printerSettings/printerSettings526.bin"/><Relationship Id="rId15" Type="http://schemas.openxmlformats.org/officeDocument/2006/relationships/printerSettings" Target="../printerSettings/printerSettings536.bin"/><Relationship Id="rId10" Type="http://schemas.openxmlformats.org/officeDocument/2006/relationships/printerSettings" Target="../printerSettings/printerSettings531.bin"/><Relationship Id="rId4" Type="http://schemas.openxmlformats.org/officeDocument/2006/relationships/printerSettings" Target="../printerSettings/printerSettings525.bin"/><Relationship Id="rId9" Type="http://schemas.openxmlformats.org/officeDocument/2006/relationships/printerSettings" Target="../printerSettings/printerSettings530.bin"/><Relationship Id="rId14" Type="http://schemas.openxmlformats.org/officeDocument/2006/relationships/printerSettings" Target="../printerSettings/printerSettings535.bin"/></Relationships>
</file>

<file path=xl/worksheets/_rels/sheet38.xml.rels><?xml version="1.0" encoding="UTF-8" standalone="yes"?>
<Relationships xmlns="http://schemas.openxmlformats.org/package/2006/relationships"><Relationship Id="rId8" Type="http://schemas.openxmlformats.org/officeDocument/2006/relationships/printerSettings" Target="../printerSettings/printerSettings544.bin"/><Relationship Id="rId13" Type="http://schemas.openxmlformats.org/officeDocument/2006/relationships/printerSettings" Target="../printerSettings/printerSettings549.bin"/><Relationship Id="rId3" Type="http://schemas.openxmlformats.org/officeDocument/2006/relationships/printerSettings" Target="../printerSettings/printerSettings539.bin"/><Relationship Id="rId7" Type="http://schemas.openxmlformats.org/officeDocument/2006/relationships/printerSettings" Target="../printerSettings/printerSettings543.bin"/><Relationship Id="rId12" Type="http://schemas.openxmlformats.org/officeDocument/2006/relationships/printerSettings" Target="../printerSettings/printerSettings548.bin"/><Relationship Id="rId2" Type="http://schemas.openxmlformats.org/officeDocument/2006/relationships/printerSettings" Target="../printerSettings/printerSettings538.bin"/><Relationship Id="rId16" Type="http://schemas.openxmlformats.org/officeDocument/2006/relationships/customProperty" Target="../customProperty38.bin"/><Relationship Id="rId1" Type="http://schemas.openxmlformats.org/officeDocument/2006/relationships/printerSettings" Target="../printerSettings/printerSettings537.bin"/><Relationship Id="rId6" Type="http://schemas.openxmlformats.org/officeDocument/2006/relationships/printerSettings" Target="../printerSettings/printerSettings542.bin"/><Relationship Id="rId11" Type="http://schemas.openxmlformats.org/officeDocument/2006/relationships/printerSettings" Target="../printerSettings/printerSettings547.bin"/><Relationship Id="rId5" Type="http://schemas.openxmlformats.org/officeDocument/2006/relationships/printerSettings" Target="../printerSettings/printerSettings541.bin"/><Relationship Id="rId15" Type="http://schemas.openxmlformats.org/officeDocument/2006/relationships/printerSettings" Target="../printerSettings/printerSettings551.bin"/><Relationship Id="rId10" Type="http://schemas.openxmlformats.org/officeDocument/2006/relationships/printerSettings" Target="../printerSettings/printerSettings546.bin"/><Relationship Id="rId4" Type="http://schemas.openxmlformats.org/officeDocument/2006/relationships/printerSettings" Target="../printerSettings/printerSettings540.bin"/><Relationship Id="rId9" Type="http://schemas.openxmlformats.org/officeDocument/2006/relationships/printerSettings" Target="../printerSettings/printerSettings545.bin"/><Relationship Id="rId14" Type="http://schemas.openxmlformats.org/officeDocument/2006/relationships/printerSettings" Target="../printerSettings/printerSettings550.bin"/></Relationships>
</file>

<file path=xl/worksheets/_rels/sheet39.xml.rels><?xml version="1.0" encoding="UTF-8" standalone="yes"?>
<Relationships xmlns="http://schemas.openxmlformats.org/package/2006/relationships"><Relationship Id="rId8" Type="http://schemas.openxmlformats.org/officeDocument/2006/relationships/printerSettings" Target="../printerSettings/printerSettings559.bin"/><Relationship Id="rId13" Type="http://schemas.openxmlformats.org/officeDocument/2006/relationships/printerSettings" Target="../printerSettings/printerSettings564.bin"/><Relationship Id="rId3" Type="http://schemas.openxmlformats.org/officeDocument/2006/relationships/printerSettings" Target="../printerSettings/printerSettings554.bin"/><Relationship Id="rId7" Type="http://schemas.openxmlformats.org/officeDocument/2006/relationships/printerSettings" Target="../printerSettings/printerSettings558.bin"/><Relationship Id="rId12" Type="http://schemas.openxmlformats.org/officeDocument/2006/relationships/printerSettings" Target="../printerSettings/printerSettings563.bin"/><Relationship Id="rId2" Type="http://schemas.openxmlformats.org/officeDocument/2006/relationships/printerSettings" Target="../printerSettings/printerSettings553.bin"/><Relationship Id="rId16" Type="http://schemas.openxmlformats.org/officeDocument/2006/relationships/customProperty" Target="../customProperty39.bin"/><Relationship Id="rId1" Type="http://schemas.openxmlformats.org/officeDocument/2006/relationships/printerSettings" Target="../printerSettings/printerSettings552.bin"/><Relationship Id="rId6" Type="http://schemas.openxmlformats.org/officeDocument/2006/relationships/printerSettings" Target="../printerSettings/printerSettings557.bin"/><Relationship Id="rId11" Type="http://schemas.openxmlformats.org/officeDocument/2006/relationships/printerSettings" Target="../printerSettings/printerSettings562.bin"/><Relationship Id="rId5" Type="http://schemas.openxmlformats.org/officeDocument/2006/relationships/printerSettings" Target="../printerSettings/printerSettings556.bin"/><Relationship Id="rId15" Type="http://schemas.openxmlformats.org/officeDocument/2006/relationships/printerSettings" Target="../printerSettings/printerSettings566.bin"/><Relationship Id="rId10" Type="http://schemas.openxmlformats.org/officeDocument/2006/relationships/printerSettings" Target="../printerSettings/printerSettings561.bin"/><Relationship Id="rId4" Type="http://schemas.openxmlformats.org/officeDocument/2006/relationships/printerSettings" Target="../printerSettings/printerSettings555.bin"/><Relationship Id="rId9" Type="http://schemas.openxmlformats.org/officeDocument/2006/relationships/printerSettings" Target="../printerSettings/printerSettings560.bin"/><Relationship Id="rId14" Type="http://schemas.openxmlformats.org/officeDocument/2006/relationships/printerSettings" Target="../printerSettings/printerSettings565.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8.bin"/><Relationship Id="rId13" Type="http://schemas.openxmlformats.org/officeDocument/2006/relationships/printerSettings" Target="../printerSettings/printerSettings43.bin"/><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12" Type="http://schemas.openxmlformats.org/officeDocument/2006/relationships/printerSettings" Target="../printerSettings/printerSettings42.bin"/><Relationship Id="rId2" Type="http://schemas.openxmlformats.org/officeDocument/2006/relationships/printerSettings" Target="../printerSettings/printerSettings32.bin"/><Relationship Id="rId16" Type="http://schemas.openxmlformats.org/officeDocument/2006/relationships/customProperty" Target="../customProperty4.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11" Type="http://schemas.openxmlformats.org/officeDocument/2006/relationships/printerSettings" Target="../printerSettings/printerSettings41.bin"/><Relationship Id="rId5" Type="http://schemas.openxmlformats.org/officeDocument/2006/relationships/printerSettings" Target="../printerSettings/printerSettings35.bin"/><Relationship Id="rId15" Type="http://schemas.openxmlformats.org/officeDocument/2006/relationships/printerSettings" Target="../printerSettings/printerSettings45.bin"/><Relationship Id="rId10" Type="http://schemas.openxmlformats.org/officeDocument/2006/relationships/printerSettings" Target="../printerSettings/printerSettings40.bin"/><Relationship Id="rId4" Type="http://schemas.openxmlformats.org/officeDocument/2006/relationships/printerSettings" Target="../printerSettings/printerSettings34.bin"/><Relationship Id="rId9" Type="http://schemas.openxmlformats.org/officeDocument/2006/relationships/printerSettings" Target="../printerSettings/printerSettings39.bin"/><Relationship Id="rId14" Type="http://schemas.openxmlformats.org/officeDocument/2006/relationships/printerSettings" Target="../printerSettings/printerSettings44.bin"/></Relationships>
</file>

<file path=xl/worksheets/_rels/sheet40.xml.rels><?xml version="1.0" encoding="UTF-8" standalone="yes"?>
<Relationships xmlns="http://schemas.openxmlformats.org/package/2006/relationships"><Relationship Id="rId8" Type="http://schemas.openxmlformats.org/officeDocument/2006/relationships/printerSettings" Target="../printerSettings/printerSettings574.bin"/><Relationship Id="rId13" Type="http://schemas.openxmlformats.org/officeDocument/2006/relationships/printerSettings" Target="../printerSettings/printerSettings579.bin"/><Relationship Id="rId3" Type="http://schemas.openxmlformats.org/officeDocument/2006/relationships/printerSettings" Target="../printerSettings/printerSettings569.bin"/><Relationship Id="rId7" Type="http://schemas.openxmlformats.org/officeDocument/2006/relationships/printerSettings" Target="../printerSettings/printerSettings573.bin"/><Relationship Id="rId12" Type="http://schemas.openxmlformats.org/officeDocument/2006/relationships/printerSettings" Target="../printerSettings/printerSettings578.bin"/><Relationship Id="rId2" Type="http://schemas.openxmlformats.org/officeDocument/2006/relationships/printerSettings" Target="../printerSettings/printerSettings568.bin"/><Relationship Id="rId16" Type="http://schemas.openxmlformats.org/officeDocument/2006/relationships/customProperty" Target="../customProperty40.bin"/><Relationship Id="rId1" Type="http://schemas.openxmlformats.org/officeDocument/2006/relationships/printerSettings" Target="../printerSettings/printerSettings567.bin"/><Relationship Id="rId6" Type="http://schemas.openxmlformats.org/officeDocument/2006/relationships/printerSettings" Target="../printerSettings/printerSettings572.bin"/><Relationship Id="rId11" Type="http://schemas.openxmlformats.org/officeDocument/2006/relationships/printerSettings" Target="../printerSettings/printerSettings577.bin"/><Relationship Id="rId5" Type="http://schemas.openxmlformats.org/officeDocument/2006/relationships/printerSettings" Target="../printerSettings/printerSettings571.bin"/><Relationship Id="rId15" Type="http://schemas.openxmlformats.org/officeDocument/2006/relationships/printerSettings" Target="../printerSettings/printerSettings581.bin"/><Relationship Id="rId10" Type="http://schemas.openxmlformats.org/officeDocument/2006/relationships/printerSettings" Target="../printerSettings/printerSettings576.bin"/><Relationship Id="rId4" Type="http://schemas.openxmlformats.org/officeDocument/2006/relationships/printerSettings" Target="../printerSettings/printerSettings570.bin"/><Relationship Id="rId9" Type="http://schemas.openxmlformats.org/officeDocument/2006/relationships/printerSettings" Target="../printerSettings/printerSettings575.bin"/><Relationship Id="rId14" Type="http://schemas.openxmlformats.org/officeDocument/2006/relationships/printerSettings" Target="../printerSettings/printerSettings580.bin"/></Relationships>
</file>

<file path=xl/worksheets/_rels/sheet41.xml.rels><?xml version="1.0" encoding="UTF-8" standalone="yes"?>
<Relationships xmlns="http://schemas.openxmlformats.org/package/2006/relationships"><Relationship Id="rId8" Type="http://schemas.openxmlformats.org/officeDocument/2006/relationships/printerSettings" Target="../printerSettings/printerSettings589.bin"/><Relationship Id="rId13" Type="http://schemas.openxmlformats.org/officeDocument/2006/relationships/printerSettings" Target="../printerSettings/printerSettings594.bin"/><Relationship Id="rId3" Type="http://schemas.openxmlformats.org/officeDocument/2006/relationships/printerSettings" Target="../printerSettings/printerSettings584.bin"/><Relationship Id="rId7" Type="http://schemas.openxmlformats.org/officeDocument/2006/relationships/printerSettings" Target="../printerSettings/printerSettings588.bin"/><Relationship Id="rId12" Type="http://schemas.openxmlformats.org/officeDocument/2006/relationships/printerSettings" Target="../printerSettings/printerSettings593.bin"/><Relationship Id="rId2" Type="http://schemas.openxmlformats.org/officeDocument/2006/relationships/printerSettings" Target="../printerSettings/printerSettings583.bin"/><Relationship Id="rId16" Type="http://schemas.openxmlformats.org/officeDocument/2006/relationships/customProperty" Target="../customProperty41.bin"/><Relationship Id="rId1" Type="http://schemas.openxmlformats.org/officeDocument/2006/relationships/printerSettings" Target="../printerSettings/printerSettings582.bin"/><Relationship Id="rId6" Type="http://schemas.openxmlformats.org/officeDocument/2006/relationships/printerSettings" Target="../printerSettings/printerSettings587.bin"/><Relationship Id="rId11" Type="http://schemas.openxmlformats.org/officeDocument/2006/relationships/printerSettings" Target="../printerSettings/printerSettings592.bin"/><Relationship Id="rId5" Type="http://schemas.openxmlformats.org/officeDocument/2006/relationships/printerSettings" Target="../printerSettings/printerSettings586.bin"/><Relationship Id="rId15" Type="http://schemas.openxmlformats.org/officeDocument/2006/relationships/printerSettings" Target="../printerSettings/printerSettings596.bin"/><Relationship Id="rId10" Type="http://schemas.openxmlformats.org/officeDocument/2006/relationships/printerSettings" Target="../printerSettings/printerSettings591.bin"/><Relationship Id="rId4" Type="http://schemas.openxmlformats.org/officeDocument/2006/relationships/printerSettings" Target="../printerSettings/printerSettings585.bin"/><Relationship Id="rId9" Type="http://schemas.openxmlformats.org/officeDocument/2006/relationships/printerSettings" Target="../printerSettings/printerSettings590.bin"/><Relationship Id="rId14" Type="http://schemas.openxmlformats.org/officeDocument/2006/relationships/printerSettings" Target="../printerSettings/printerSettings595.bin"/></Relationships>
</file>

<file path=xl/worksheets/_rels/sheet42.xml.rels><?xml version="1.0" encoding="UTF-8" standalone="yes"?>
<Relationships xmlns="http://schemas.openxmlformats.org/package/2006/relationships"><Relationship Id="rId8" Type="http://schemas.openxmlformats.org/officeDocument/2006/relationships/printerSettings" Target="../printerSettings/printerSettings604.bin"/><Relationship Id="rId13" Type="http://schemas.openxmlformats.org/officeDocument/2006/relationships/printerSettings" Target="../printerSettings/printerSettings609.bin"/><Relationship Id="rId3" Type="http://schemas.openxmlformats.org/officeDocument/2006/relationships/printerSettings" Target="../printerSettings/printerSettings599.bin"/><Relationship Id="rId7" Type="http://schemas.openxmlformats.org/officeDocument/2006/relationships/printerSettings" Target="../printerSettings/printerSettings603.bin"/><Relationship Id="rId12" Type="http://schemas.openxmlformats.org/officeDocument/2006/relationships/printerSettings" Target="../printerSettings/printerSettings608.bin"/><Relationship Id="rId2" Type="http://schemas.openxmlformats.org/officeDocument/2006/relationships/printerSettings" Target="../printerSettings/printerSettings598.bin"/><Relationship Id="rId16" Type="http://schemas.openxmlformats.org/officeDocument/2006/relationships/customProperty" Target="../customProperty42.bin"/><Relationship Id="rId1" Type="http://schemas.openxmlformats.org/officeDocument/2006/relationships/printerSettings" Target="../printerSettings/printerSettings597.bin"/><Relationship Id="rId6" Type="http://schemas.openxmlformats.org/officeDocument/2006/relationships/printerSettings" Target="../printerSettings/printerSettings602.bin"/><Relationship Id="rId11" Type="http://schemas.openxmlformats.org/officeDocument/2006/relationships/printerSettings" Target="../printerSettings/printerSettings607.bin"/><Relationship Id="rId5" Type="http://schemas.openxmlformats.org/officeDocument/2006/relationships/printerSettings" Target="../printerSettings/printerSettings601.bin"/><Relationship Id="rId15" Type="http://schemas.openxmlformats.org/officeDocument/2006/relationships/printerSettings" Target="../printerSettings/printerSettings611.bin"/><Relationship Id="rId10" Type="http://schemas.openxmlformats.org/officeDocument/2006/relationships/printerSettings" Target="../printerSettings/printerSettings606.bin"/><Relationship Id="rId4" Type="http://schemas.openxmlformats.org/officeDocument/2006/relationships/printerSettings" Target="../printerSettings/printerSettings600.bin"/><Relationship Id="rId9" Type="http://schemas.openxmlformats.org/officeDocument/2006/relationships/printerSettings" Target="../printerSettings/printerSettings605.bin"/><Relationship Id="rId14" Type="http://schemas.openxmlformats.org/officeDocument/2006/relationships/printerSettings" Target="../printerSettings/printerSettings610.bin"/></Relationships>
</file>

<file path=xl/worksheets/_rels/sheet43.xml.rels><?xml version="1.0" encoding="UTF-8" standalone="yes"?>
<Relationships xmlns="http://schemas.openxmlformats.org/package/2006/relationships"><Relationship Id="rId8" Type="http://schemas.openxmlformats.org/officeDocument/2006/relationships/printerSettings" Target="../printerSettings/printerSettings619.bin"/><Relationship Id="rId13" Type="http://schemas.openxmlformats.org/officeDocument/2006/relationships/printerSettings" Target="../printerSettings/printerSettings624.bin"/><Relationship Id="rId3" Type="http://schemas.openxmlformats.org/officeDocument/2006/relationships/printerSettings" Target="../printerSettings/printerSettings614.bin"/><Relationship Id="rId7" Type="http://schemas.openxmlformats.org/officeDocument/2006/relationships/printerSettings" Target="../printerSettings/printerSettings618.bin"/><Relationship Id="rId12" Type="http://schemas.openxmlformats.org/officeDocument/2006/relationships/printerSettings" Target="../printerSettings/printerSettings623.bin"/><Relationship Id="rId2" Type="http://schemas.openxmlformats.org/officeDocument/2006/relationships/printerSettings" Target="../printerSettings/printerSettings613.bin"/><Relationship Id="rId16" Type="http://schemas.openxmlformats.org/officeDocument/2006/relationships/customProperty" Target="../customProperty43.bin"/><Relationship Id="rId1" Type="http://schemas.openxmlformats.org/officeDocument/2006/relationships/printerSettings" Target="../printerSettings/printerSettings612.bin"/><Relationship Id="rId6" Type="http://schemas.openxmlformats.org/officeDocument/2006/relationships/printerSettings" Target="../printerSettings/printerSettings617.bin"/><Relationship Id="rId11" Type="http://schemas.openxmlformats.org/officeDocument/2006/relationships/printerSettings" Target="../printerSettings/printerSettings622.bin"/><Relationship Id="rId5" Type="http://schemas.openxmlformats.org/officeDocument/2006/relationships/printerSettings" Target="../printerSettings/printerSettings616.bin"/><Relationship Id="rId15" Type="http://schemas.openxmlformats.org/officeDocument/2006/relationships/printerSettings" Target="../printerSettings/printerSettings626.bin"/><Relationship Id="rId10" Type="http://schemas.openxmlformats.org/officeDocument/2006/relationships/printerSettings" Target="../printerSettings/printerSettings621.bin"/><Relationship Id="rId4" Type="http://schemas.openxmlformats.org/officeDocument/2006/relationships/printerSettings" Target="../printerSettings/printerSettings615.bin"/><Relationship Id="rId9" Type="http://schemas.openxmlformats.org/officeDocument/2006/relationships/printerSettings" Target="../printerSettings/printerSettings620.bin"/><Relationship Id="rId14" Type="http://schemas.openxmlformats.org/officeDocument/2006/relationships/printerSettings" Target="../printerSettings/printerSettings625.bin"/></Relationships>
</file>

<file path=xl/worksheets/_rels/sheet44.xml.rels><?xml version="1.0" encoding="UTF-8" standalone="yes"?>
<Relationships xmlns="http://schemas.openxmlformats.org/package/2006/relationships"><Relationship Id="rId8" Type="http://schemas.openxmlformats.org/officeDocument/2006/relationships/printerSettings" Target="../printerSettings/printerSettings634.bin"/><Relationship Id="rId13" Type="http://schemas.openxmlformats.org/officeDocument/2006/relationships/printerSettings" Target="../printerSettings/printerSettings639.bin"/><Relationship Id="rId3" Type="http://schemas.openxmlformats.org/officeDocument/2006/relationships/printerSettings" Target="../printerSettings/printerSettings629.bin"/><Relationship Id="rId7" Type="http://schemas.openxmlformats.org/officeDocument/2006/relationships/printerSettings" Target="../printerSettings/printerSettings633.bin"/><Relationship Id="rId12" Type="http://schemas.openxmlformats.org/officeDocument/2006/relationships/printerSettings" Target="../printerSettings/printerSettings638.bin"/><Relationship Id="rId2" Type="http://schemas.openxmlformats.org/officeDocument/2006/relationships/printerSettings" Target="../printerSettings/printerSettings628.bin"/><Relationship Id="rId16" Type="http://schemas.openxmlformats.org/officeDocument/2006/relationships/customProperty" Target="../customProperty44.bin"/><Relationship Id="rId1" Type="http://schemas.openxmlformats.org/officeDocument/2006/relationships/printerSettings" Target="../printerSettings/printerSettings627.bin"/><Relationship Id="rId6" Type="http://schemas.openxmlformats.org/officeDocument/2006/relationships/printerSettings" Target="../printerSettings/printerSettings632.bin"/><Relationship Id="rId11" Type="http://schemas.openxmlformats.org/officeDocument/2006/relationships/printerSettings" Target="../printerSettings/printerSettings637.bin"/><Relationship Id="rId5" Type="http://schemas.openxmlformats.org/officeDocument/2006/relationships/printerSettings" Target="../printerSettings/printerSettings631.bin"/><Relationship Id="rId15" Type="http://schemas.openxmlformats.org/officeDocument/2006/relationships/printerSettings" Target="../printerSettings/printerSettings641.bin"/><Relationship Id="rId10" Type="http://schemas.openxmlformats.org/officeDocument/2006/relationships/printerSettings" Target="../printerSettings/printerSettings636.bin"/><Relationship Id="rId4" Type="http://schemas.openxmlformats.org/officeDocument/2006/relationships/printerSettings" Target="../printerSettings/printerSettings630.bin"/><Relationship Id="rId9" Type="http://schemas.openxmlformats.org/officeDocument/2006/relationships/printerSettings" Target="../printerSettings/printerSettings635.bin"/><Relationship Id="rId14" Type="http://schemas.openxmlformats.org/officeDocument/2006/relationships/printerSettings" Target="../printerSettings/printerSettings640.bin"/></Relationships>
</file>

<file path=xl/worksheets/_rels/sheet45.xml.rels><?xml version="1.0" encoding="UTF-8" standalone="yes"?>
<Relationships xmlns="http://schemas.openxmlformats.org/package/2006/relationships"><Relationship Id="rId8" Type="http://schemas.openxmlformats.org/officeDocument/2006/relationships/printerSettings" Target="../printerSettings/printerSettings649.bin"/><Relationship Id="rId13" Type="http://schemas.openxmlformats.org/officeDocument/2006/relationships/printerSettings" Target="../printerSettings/printerSettings654.bin"/><Relationship Id="rId3" Type="http://schemas.openxmlformats.org/officeDocument/2006/relationships/printerSettings" Target="../printerSettings/printerSettings644.bin"/><Relationship Id="rId7" Type="http://schemas.openxmlformats.org/officeDocument/2006/relationships/printerSettings" Target="../printerSettings/printerSettings648.bin"/><Relationship Id="rId12" Type="http://schemas.openxmlformats.org/officeDocument/2006/relationships/printerSettings" Target="../printerSettings/printerSettings653.bin"/><Relationship Id="rId2" Type="http://schemas.openxmlformats.org/officeDocument/2006/relationships/printerSettings" Target="../printerSettings/printerSettings643.bin"/><Relationship Id="rId16" Type="http://schemas.openxmlformats.org/officeDocument/2006/relationships/customProperty" Target="../customProperty45.bin"/><Relationship Id="rId1" Type="http://schemas.openxmlformats.org/officeDocument/2006/relationships/printerSettings" Target="../printerSettings/printerSettings642.bin"/><Relationship Id="rId6" Type="http://schemas.openxmlformats.org/officeDocument/2006/relationships/printerSettings" Target="../printerSettings/printerSettings647.bin"/><Relationship Id="rId11" Type="http://schemas.openxmlformats.org/officeDocument/2006/relationships/printerSettings" Target="../printerSettings/printerSettings652.bin"/><Relationship Id="rId5" Type="http://schemas.openxmlformats.org/officeDocument/2006/relationships/printerSettings" Target="../printerSettings/printerSettings646.bin"/><Relationship Id="rId15" Type="http://schemas.openxmlformats.org/officeDocument/2006/relationships/printerSettings" Target="../printerSettings/printerSettings656.bin"/><Relationship Id="rId10" Type="http://schemas.openxmlformats.org/officeDocument/2006/relationships/printerSettings" Target="../printerSettings/printerSettings651.bin"/><Relationship Id="rId4" Type="http://schemas.openxmlformats.org/officeDocument/2006/relationships/printerSettings" Target="../printerSettings/printerSettings645.bin"/><Relationship Id="rId9" Type="http://schemas.openxmlformats.org/officeDocument/2006/relationships/printerSettings" Target="../printerSettings/printerSettings650.bin"/><Relationship Id="rId14" Type="http://schemas.openxmlformats.org/officeDocument/2006/relationships/printerSettings" Target="../printerSettings/printerSettings655.bin"/></Relationships>
</file>

<file path=xl/worksheets/_rels/sheet46.xml.rels><?xml version="1.0" encoding="UTF-8" standalone="yes"?>
<Relationships xmlns="http://schemas.openxmlformats.org/package/2006/relationships"><Relationship Id="rId8" Type="http://schemas.openxmlformats.org/officeDocument/2006/relationships/printerSettings" Target="../printerSettings/printerSettings664.bin"/><Relationship Id="rId13" Type="http://schemas.openxmlformats.org/officeDocument/2006/relationships/printerSettings" Target="../printerSettings/printerSettings669.bin"/><Relationship Id="rId3" Type="http://schemas.openxmlformats.org/officeDocument/2006/relationships/printerSettings" Target="../printerSettings/printerSettings659.bin"/><Relationship Id="rId7" Type="http://schemas.openxmlformats.org/officeDocument/2006/relationships/printerSettings" Target="../printerSettings/printerSettings663.bin"/><Relationship Id="rId12" Type="http://schemas.openxmlformats.org/officeDocument/2006/relationships/printerSettings" Target="../printerSettings/printerSettings668.bin"/><Relationship Id="rId2" Type="http://schemas.openxmlformats.org/officeDocument/2006/relationships/printerSettings" Target="../printerSettings/printerSettings658.bin"/><Relationship Id="rId16" Type="http://schemas.openxmlformats.org/officeDocument/2006/relationships/customProperty" Target="../customProperty46.bin"/><Relationship Id="rId1" Type="http://schemas.openxmlformats.org/officeDocument/2006/relationships/printerSettings" Target="../printerSettings/printerSettings657.bin"/><Relationship Id="rId6" Type="http://schemas.openxmlformats.org/officeDocument/2006/relationships/printerSettings" Target="../printerSettings/printerSettings662.bin"/><Relationship Id="rId11" Type="http://schemas.openxmlformats.org/officeDocument/2006/relationships/printerSettings" Target="../printerSettings/printerSettings667.bin"/><Relationship Id="rId5" Type="http://schemas.openxmlformats.org/officeDocument/2006/relationships/printerSettings" Target="../printerSettings/printerSettings661.bin"/><Relationship Id="rId15" Type="http://schemas.openxmlformats.org/officeDocument/2006/relationships/printerSettings" Target="../printerSettings/printerSettings671.bin"/><Relationship Id="rId10" Type="http://schemas.openxmlformats.org/officeDocument/2006/relationships/printerSettings" Target="../printerSettings/printerSettings666.bin"/><Relationship Id="rId4" Type="http://schemas.openxmlformats.org/officeDocument/2006/relationships/printerSettings" Target="../printerSettings/printerSettings660.bin"/><Relationship Id="rId9" Type="http://schemas.openxmlformats.org/officeDocument/2006/relationships/printerSettings" Target="../printerSettings/printerSettings665.bin"/><Relationship Id="rId14" Type="http://schemas.openxmlformats.org/officeDocument/2006/relationships/printerSettings" Target="../printerSettings/printerSettings670.bin"/></Relationships>
</file>

<file path=xl/worksheets/_rels/sheet47.xml.rels><?xml version="1.0" encoding="UTF-8" standalone="yes"?>
<Relationships xmlns="http://schemas.openxmlformats.org/package/2006/relationships"><Relationship Id="rId8" Type="http://schemas.openxmlformats.org/officeDocument/2006/relationships/printerSettings" Target="../printerSettings/printerSettings679.bin"/><Relationship Id="rId13" Type="http://schemas.openxmlformats.org/officeDocument/2006/relationships/printerSettings" Target="../printerSettings/printerSettings684.bin"/><Relationship Id="rId3" Type="http://schemas.openxmlformats.org/officeDocument/2006/relationships/printerSettings" Target="../printerSettings/printerSettings674.bin"/><Relationship Id="rId7" Type="http://schemas.openxmlformats.org/officeDocument/2006/relationships/printerSettings" Target="../printerSettings/printerSettings678.bin"/><Relationship Id="rId12" Type="http://schemas.openxmlformats.org/officeDocument/2006/relationships/printerSettings" Target="../printerSettings/printerSettings683.bin"/><Relationship Id="rId2" Type="http://schemas.openxmlformats.org/officeDocument/2006/relationships/printerSettings" Target="../printerSettings/printerSettings673.bin"/><Relationship Id="rId16" Type="http://schemas.openxmlformats.org/officeDocument/2006/relationships/customProperty" Target="../customProperty47.bin"/><Relationship Id="rId1" Type="http://schemas.openxmlformats.org/officeDocument/2006/relationships/printerSettings" Target="../printerSettings/printerSettings672.bin"/><Relationship Id="rId6" Type="http://schemas.openxmlformats.org/officeDocument/2006/relationships/printerSettings" Target="../printerSettings/printerSettings677.bin"/><Relationship Id="rId11" Type="http://schemas.openxmlformats.org/officeDocument/2006/relationships/printerSettings" Target="../printerSettings/printerSettings682.bin"/><Relationship Id="rId5" Type="http://schemas.openxmlformats.org/officeDocument/2006/relationships/printerSettings" Target="../printerSettings/printerSettings676.bin"/><Relationship Id="rId15" Type="http://schemas.openxmlformats.org/officeDocument/2006/relationships/printerSettings" Target="../printerSettings/printerSettings686.bin"/><Relationship Id="rId10" Type="http://schemas.openxmlformats.org/officeDocument/2006/relationships/printerSettings" Target="../printerSettings/printerSettings681.bin"/><Relationship Id="rId4" Type="http://schemas.openxmlformats.org/officeDocument/2006/relationships/printerSettings" Target="../printerSettings/printerSettings675.bin"/><Relationship Id="rId9" Type="http://schemas.openxmlformats.org/officeDocument/2006/relationships/printerSettings" Target="../printerSettings/printerSettings680.bin"/><Relationship Id="rId14" Type="http://schemas.openxmlformats.org/officeDocument/2006/relationships/printerSettings" Target="../printerSettings/printerSettings685.bin"/></Relationships>
</file>

<file path=xl/worksheets/_rels/sheet48.xml.rels><?xml version="1.0" encoding="UTF-8" standalone="yes"?>
<Relationships xmlns="http://schemas.openxmlformats.org/package/2006/relationships"><Relationship Id="rId8" Type="http://schemas.openxmlformats.org/officeDocument/2006/relationships/printerSettings" Target="../printerSettings/printerSettings694.bin"/><Relationship Id="rId13" Type="http://schemas.openxmlformats.org/officeDocument/2006/relationships/printerSettings" Target="../printerSettings/printerSettings699.bin"/><Relationship Id="rId3" Type="http://schemas.openxmlformats.org/officeDocument/2006/relationships/printerSettings" Target="../printerSettings/printerSettings689.bin"/><Relationship Id="rId7" Type="http://schemas.openxmlformats.org/officeDocument/2006/relationships/printerSettings" Target="../printerSettings/printerSettings693.bin"/><Relationship Id="rId12" Type="http://schemas.openxmlformats.org/officeDocument/2006/relationships/printerSettings" Target="../printerSettings/printerSettings698.bin"/><Relationship Id="rId2" Type="http://schemas.openxmlformats.org/officeDocument/2006/relationships/printerSettings" Target="../printerSettings/printerSettings688.bin"/><Relationship Id="rId16" Type="http://schemas.openxmlformats.org/officeDocument/2006/relationships/customProperty" Target="../customProperty48.bin"/><Relationship Id="rId1" Type="http://schemas.openxmlformats.org/officeDocument/2006/relationships/printerSettings" Target="../printerSettings/printerSettings687.bin"/><Relationship Id="rId6" Type="http://schemas.openxmlformats.org/officeDocument/2006/relationships/printerSettings" Target="../printerSettings/printerSettings692.bin"/><Relationship Id="rId11" Type="http://schemas.openxmlformats.org/officeDocument/2006/relationships/printerSettings" Target="../printerSettings/printerSettings697.bin"/><Relationship Id="rId5" Type="http://schemas.openxmlformats.org/officeDocument/2006/relationships/printerSettings" Target="../printerSettings/printerSettings691.bin"/><Relationship Id="rId15" Type="http://schemas.openxmlformats.org/officeDocument/2006/relationships/printerSettings" Target="../printerSettings/printerSettings701.bin"/><Relationship Id="rId10" Type="http://schemas.openxmlformats.org/officeDocument/2006/relationships/printerSettings" Target="../printerSettings/printerSettings696.bin"/><Relationship Id="rId4" Type="http://schemas.openxmlformats.org/officeDocument/2006/relationships/printerSettings" Target="../printerSettings/printerSettings690.bin"/><Relationship Id="rId9" Type="http://schemas.openxmlformats.org/officeDocument/2006/relationships/printerSettings" Target="../printerSettings/printerSettings695.bin"/><Relationship Id="rId14" Type="http://schemas.openxmlformats.org/officeDocument/2006/relationships/printerSettings" Target="../printerSettings/printerSettings700.bin"/></Relationships>
</file>

<file path=xl/worksheets/_rels/sheet49.xml.rels><?xml version="1.0" encoding="UTF-8" standalone="yes"?>
<Relationships xmlns="http://schemas.openxmlformats.org/package/2006/relationships"><Relationship Id="rId8" Type="http://schemas.openxmlformats.org/officeDocument/2006/relationships/printerSettings" Target="../printerSettings/printerSettings709.bin"/><Relationship Id="rId13" Type="http://schemas.openxmlformats.org/officeDocument/2006/relationships/printerSettings" Target="../printerSettings/printerSettings714.bin"/><Relationship Id="rId3" Type="http://schemas.openxmlformats.org/officeDocument/2006/relationships/printerSettings" Target="../printerSettings/printerSettings704.bin"/><Relationship Id="rId7" Type="http://schemas.openxmlformats.org/officeDocument/2006/relationships/printerSettings" Target="../printerSettings/printerSettings708.bin"/><Relationship Id="rId12" Type="http://schemas.openxmlformats.org/officeDocument/2006/relationships/printerSettings" Target="../printerSettings/printerSettings713.bin"/><Relationship Id="rId2" Type="http://schemas.openxmlformats.org/officeDocument/2006/relationships/printerSettings" Target="../printerSettings/printerSettings703.bin"/><Relationship Id="rId16" Type="http://schemas.openxmlformats.org/officeDocument/2006/relationships/customProperty" Target="../customProperty49.bin"/><Relationship Id="rId1" Type="http://schemas.openxmlformats.org/officeDocument/2006/relationships/printerSettings" Target="../printerSettings/printerSettings702.bin"/><Relationship Id="rId6" Type="http://schemas.openxmlformats.org/officeDocument/2006/relationships/printerSettings" Target="../printerSettings/printerSettings707.bin"/><Relationship Id="rId11" Type="http://schemas.openxmlformats.org/officeDocument/2006/relationships/printerSettings" Target="../printerSettings/printerSettings712.bin"/><Relationship Id="rId5" Type="http://schemas.openxmlformats.org/officeDocument/2006/relationships/printerSettings" Target="../printerSettings/printerSettings706.bin"/><Relationship Id="rId15" Type="http://schemas.openxmlformats.org/officeDocument/2006/relationships/printerSettings" Target="../printerSettings/printerSettings716.bin"/><Relationship Id="rId10" Type="http://schemas.openxmlformats.org/officeDocument/2006/relationships/printerSettings" Target="../printerSettings/printerSettings711.bin"/><Relationship Id="rId4" Type="http://schemas.openxmlformats.org/officeDocument/2006/relationships/printerSettings" Target="../printerSettings/printerSettings705.bin"/><Relationship Id="rId9" Type="http://schemas.openxmlformats.org/officeDocument/2006/relationships/printerSettings" Target="../printerSettings/printerSettings710.bin"/><Relationship Id="rId14" Type="http://schemas.openxmlformats.org/officeDocument/2006/relationships/printerSettings" Target="../printerSettings/printerSettings715.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3.bin"/><Relationship Id="rId13" Type="http://schemas.openxmlformats.org/officeDocument/2006/relationships/printerSettings" Target="../printerSettings/printerSettings58.bin"/><Relationship Id="rId3" Type="http://schemas.openxmlformats.org/officeDocument/2006/relationships/printerSettings" Target="../printerSettings/printerSettings48.bin"/><Relationship Id="rId7" Type="http://schemas.openxmlformats.org/officeDocument/2006/relationships/printerSettings" Target="../printerSettings/printerSettings52.bin"/><Relationship Id="rId12" Type="http://schemas.openxmlformats.org/officeDocument/2006/relationships/printerSettings" Target="../printerSettings/printerSettings57.bin"/><Relationship Id="rId2" Type="http://schemas.openxmlformats.org/officeDocument/2006/relationships/printerSettings" Target="../printerSettings/printerSettings47.bin"/><Relationship Id="rId16" Type="http://schemas.openxmlformats.org/officeDocument/2006/relationships/customProperty" Target="../customProperty5.bin"/><Relationship Id="rId1" Type="http://schemas.openxmlformats.org/officeDocument/2006/relationships/printerSettings" Target="../printerSettings/printerSettings46.bin"/><Relationship Id="rId6" Type="http://schemas.openxmlformats.org/officeDocument/2006/relationships/printerSettings" Target="../printerSettings/printerSettings51.bin"/><Relationship Id="rId11" Type="http://schemas.openxmlformats.org/officeDocument/2006/relationships/printerSettings" Target="../printerSettings/printerSettings56.bin"/><Relationship Id="rId5" Type="http://schemas.openxmlformats.org/officeDocument/2006/relationships/printerSettings" Target="../printerSettings/printerSettings50.bin"/><Relationship Id="rId15" Type="http://schemas.openxmlformats.org/officeDocument/2006/relationships/printerSettings" Target="../printerSettings/printerSettings60.bin"/><Relationship Id="rId10" Type="http://schemas.openxmlformats.org/officeDocument/2006/relationships/printerSettings" Target="../printerSettings/printerSettings55.bin"/><Relationship Id="rId4" Type="http://schemas.openxmlformats.org/officeDocument/2006/relationships/printerSettings" Target="../printerSettings/printerSettings49.bin"/><Relationship Id="rId9" Type="http://schemas.openxmlformats.org/officeDocument/2006/relationships/printerSettings" Target="../printerSettings/printerSettings54.bin"/><Relationship Id="rId14" Type="http://schemas.openxmlformats.org/officeDocument/2006/relationships/printerSettings" Target="../printerSettings/printerSettings59.bin"/></Relationships>
</file>

<file path=xl/worksheets/_rels/sheet50.xml.rels><?xml version="1.0" encoding="UTF-8" standalone="yes"?>
<Relationships xmlns="http://schemas.openxmlformats.org/package/2006/relationships"><Relationship Id="rId8" Type="http://schemas.openxmlformats.org/officeDocument/2006/relationships/printerSettings" Target="../printerSettings/printerSettings724.bin"/><Relationship Id="rId13" Type="http://schemas.openxmlformats.org/officeDocument/2006/relationships/printerSettings" Target="../printerSettings/printerSettings729.bin"/><Relationship Id="rId3" Type="http://schemas.openxmlformats.org/officeDocument/2006/relationships/printerSettings" Target="../printerSettings/printerSettings719.bin"/><Relationship Id="rId7" Type="http://schemas.openxmlformats.org/officeDocument/2006/relationships/printerSettings" Target="../printerSettings/printerSettings723.bin"/><Relationship Id="rId12" Type="http://schemas.openxmlformats.org/officeDocument/2006/relationships/printerSettings" Target="../printerSettings/printerSettings728.bin"/><Relationship Id="rId2" Type="http://schemas.openxmlformats.org/officeDocument/2006/relationships/printerSettings" Target="../printerSettings/printerSettings718.bin"/><Relationship Id="rId16" Type="http://schemas.openxmlformats.org/officeDocument/2006/relationships/customProperty" Target="../customProperty50.bin"/><Relationship Id="rId1" Type="http://schemas.openxmlformats.org/officeDocument/2006/relationships/printerSettings" Target="../printerSettings/printerSettings717.bin"/><Relationship Id="rId6" Type="http://schemas.openxmlformats.org/officeDocument/2006/relationships/printerSettings" Target="../printerSettings/printerSettings722.bin"/><Relationship Id="rId11" Type="http://schemas.openxmlformats.org/officeDocument/2006/relationships/printerSettings" Target="../printerSettings/printerSettings727.bin"/><Relationship Id="rId5" Type="http://schemas.openxmlformats.org/officeDocument/2006/relationships/printerSettings" Target="../printerSettings/printerSettings721.bin"/><Relationship Id="rId15" Type="http://schemas.openxmlformats.org/officeDocument/2006/relationships/printerSettings" Target="../printerSettings/printerSettings731.bin"/><Relationship Id="rId10" Type="http://schemas.openxmlformats.org/officeDocument/2006/relationships/printerSettings" Target="../printerSettings/printerSettings726.bin"/><Relationship Id="rId4" Type="http://schemas.openxmlformats.org/officeDocument/2006/relationships/printerSettings" Target="../printerSettings/printerSettings720.bin"/><Relationship Id="rId9" Type="http://schemas.openxmlformats.org/officeDocument/2006/relationships/printerSettings" Target="../printerSettings/printerSettings725.bin"/><Relationship Id="rId14" Type="http://schemas.openxmlformats.org/officeDocument/2006/relationships/printerSettings" Target="../printerSettings/printerSettings730.bin"/></Relationships>
</file>

<file path=xl/worksheets/_rels/sheet51.xml.rels><?xml version="1.0" encoding="UTF-8" standalone="yes"?>
<Relationships xmlns="http://schemas.openxmlformats.org/package/2006/relationships"><Relationship Id="rId8" Type="http://schemas.openxmlformats.org/officeDocument/2006/relationships/printerSettings" Target="../printerSettings/printerSettings739.bin"/><Relationship Id="rId13" Type="http://schemas.openxmlformats.org/officeDocument/2006/relationships/printerSettings" Target="../printerSettings/printerSettings744.bin"/><Relationship Id="rId3" Type="http://schemas.openxmlformats.org/officeDocument/2006/relationships/printerSettings" Target="../printerSettings/printerSettings734.bin"/><Relationship Id="rId7" Type="http://schemas.openxmlformats.org/officeDocument/2006/relationships/printerSettings" Target="../printerSettings/printerSettings738.bin"/><Relationship Id="rId12" Type="http://schemas.openxmlformats.org/officeDocument/2006/relationships/printerSettings" Target="../printerSettings/printerSettings743.bin"/><Relationship Id="rId2" Type="http://schemas.openxmlformats.org/officeDocument/2006/relationships/printerSettings" Target="../printerSettings/printerSettings733.bin"/><Relationship Id="rId16" Type="http://schemas.openxmlformats.org/officeDocument/2006/relationships/customProperty" Target="../customProperty51.bin"/><Relationship Id="rId1" Type="http://schemas.openxmlformats.org/officeDocument/2006/relationships/printerSettings" Target="../printerSettings/printerSettings732.bin"/><Relationship Id="rId6" Type="http://schemas.openxmlformats.org/officeDocument/2006/relationships/printerSettings" Target="../printerSettings/printerSettings737.bin"/><Relationship Id="rId11" Type="http://schemas.openxmlformats.org/officeDocument/2006/relationships/printerSettings" Target="../printerSettings/printerSettings742.bin"/><Relationship Id="rId5" Type="http://schemas.openxmlformats.org/officeDocument/2006/relationships/printerSettings" Target="../printerSettings/printerSettings736.bin"/><Relationship Id="rId15" Type="http://schemas.openxmlformats.org/officeDocument/2006/relationships/printerSettings" Target="../printerSettings/printerSettings746.bin"/><Relationship Id="rId10" Type="http://schemas.openxmlformats.org/officeDocument/2006/relationships/printerSettings" Target="../printerSettings/printerSettings741.bin"/><Relationship Id="rId4" Type="http://schemas.openxmlformats.org/officeDocument/2006/relationships/printerSettings" Target="../printerSettings/printerSettings735.bin"/><Relationship Id="rId9" Type="http://schemas.openxmlformats.org/officeDocument/2006/relationships/printerSettings" Target="../printerSettings/printerSettings740.bin"/><Relationship Id="rId14" Type="http://schemas.openxmlformats.org/officeDocument/2006/relationships/printerSettings" Target="../printerSettings/printerSettings745.bin"/></Relationships>
</file>

<file path=xl/worksheets/_rels/sheet52.xml.rels><?xml version="1.0" encoding="UTF-8" standalone="yes"?>
<Relationships xmlns="http://schemas.openxmlformats.org/package/2006/relationships"><Relationship Id="rId8" Type="http://schemas.openxmlformats.org/officeDocument/2006/relationships/printerSettings" Target="../printerSettings/printerSettings754.bin"/><Relationship Id="rId13" Type="http://schemas.openxmlformats.org/officeDocument/2006/relationships/printerSettings" Target="../printerSettings/printerSettings759.bin"/><Relationship Id="rId3" Type="http://schemas.openxmlformats.org/officeDocument/2006/relationships/printerSettings" Target="../printerSettings/printerSettings749.bin"/><Relationship Id="rId7" Type="http://schemas.openxmlformats.org/officeDocument/2006/relationships/printerSettings" Target="../printerSettings/printerSettings753.bin"/><Relationship Id="rId12" Type="http://schemas.openxmlformats.org/officeDocument/2006/relationships/printerSettings" Target="../printerSettings/printerSettings758.bin"/><Relationship Id="rId2" Type="http://schemas.openxmlformats.org/officeDocument/2006/relationships/printerSettings" Target="../printerSettings/printerSettings748.bin"/><Relationship Id="rId16" Type="http://schemas.openxmlformats.org/officeDocument/2006/relationships/customProperty" Target="../customProperty52.bin"/><Relationship Id="rId1" Type="http://schemas.openxmlformats.org/officeDocument/2006/relationships/printerSettings" Target="../printerSettings/printerSettings747.bin"/><Relationship Id="rId6" Type="http://schemas.openxmlformats.org/officeDocument/2006/relationships/printerSettings" Target="../printerSettings/printerSettings752.bin"/><Relationship Id="rId11" Type="http://schemas.openxmlformats.org/officeDocument/2006/relationships/printerSettings" Target="../printerSettings/printerSettings757.bin"/><Relationship Id="rId5" Type="http://schemas.openxmlformats.org/officeDocument/2006/relationships/printerSettings" Target="../printerSettings/printerSettings751.bin"/><Relationship Id="rId15" Type="http://schemas.openxmlformats.org/officeDocument/2006/relationships/printerSettings" Target="../printerSettings/printerSettings761.bin"/><Relationship Id="rId10" Type="http://schemas.openxmlformats.org/officeDocument/2006/relationships/printerSettings" Target="../printerSettings/printerSettings756.bin"/><Relationship Id="rId4" Type="http://schemas.openxmlformats.org/officeDocument/2006/relationships/printerSettings" Target="../printerSettings/printerSettings750.bin"/><Relationship Id="rId9" Type="http://schemas.openxmlformats.org/officeDocument/2006/relationships/printerSettings" Target="../printerSettings/printerSettings755.bin"/><Relationship Id="rId14" Type="http://schemas.openxmlformats.org/officeDocument/2006/relationships/printerSettings" Target="../printerSettings/printerSettings760.bin"/></Relationships>
</file>

<file path=xl/worksheets/_rels/sheet53.xml.rels><?xml version="1.0" encoding="UTF-8" standalone="yes"?>
<Relationships xmlns="http://schemas.openxmlformats.org/package/2006/relationships"><Relationship Id="rId8" Type="http://schemas.openxmlformats.org/officeDocument/2006/relationships/printerSettings" Target="../printerSettings/printerSettings769.bin"/><Relationship Id="rId13" Type="http://schemas.openxmlformats.org/officeDocument/2006/relationships/printerSettings" Target="../printerSettings/printerSettings774.bin"/><Relationship Id="rId3" Type="http://schemas.openxmlformats.org/officeDocument/2006/relationships/printerSettings" Target="../printerSettings/printerSettings764.bin"/><Relationship Id="rId7" Type="http://schemas.openxmlformats.org/officeDocument/2006/relationships/printerSettings" Target="../printerSettings/printerSettings768.bin"/><Relationship Id="rId12" Type="http://schemas.openxmlformats.org/officeDocument/2006/relationships/printerSettings" Target="../printerSettings/printerSettings773.bin"/><Relationship Id="rId2" Type="http://schemas.openxmlformats.org/officeDocument/2006/relationships/printerSettings" Target="../printerSettings/printerSettings763.bin"/><Relationship Id="rId16" Type="http://schemas.openxmlformats.org/officeDocument/2006/relationships/customProperty" Target="../customProperty53.bin"/><Relationship Id="rId1" Type="http://schemas.openxmlformats.org/officeDocument/2006/relationships/printerSettings" Target="../printerSettings/printerSettings762.bin"/><Relationship Id="rId6" Type="http://schemas.openxmlformats.org/officeDocument/2006/relationships/printerSettings" Target="../printerSettings/printerSettings767.bin"/><Relationship Id="rId11" Type="http://schemas.openxmlformats.org/officeDocument/2006/relationships/printerSettings" Target="../printerSettings/printerSettings772.bin"/><Relationship Id="rId5" Type="http://schemas.openxmlformats.org/officeDocument/2006/relationships/printerSettings" Target="../printerSettings/printerSettings766.bin"/><Relationship Id="rId15" Type="http://schemas.openxmlformats.org/officeDocument/2006/relationships/printerSettings" Target="../printerSettings/printerSettings776.bin"/><Relationship Id="rId10" Type="http://schemas.openxmlformats.org/officeDocument/2006/relationships/printerSettings" Target="../printerSettings/printerSettings771.bin"/><Relationship Id="rId4" Type="http://schemas.openxmlformats.org/officeDocument/2006/relationships/printerSettings" Target="../printerSettings/printerSettings765.bin"/><Relationship Id="rId9" Type="http://schemas.openxmlformats.org/officeDocument/2006/relationships/printerSettings" Target="../printerSettings/printerSettings770.bin"/><Relationship Id="rId14" Type="http://schemas.openxmlformats.org/officeDocument/2006/relationships/printerSettings" Target="../printerSettings/printerSettings775.bin"/></Relationships>
</file>

<file path=xl/worksheets/_rels/sheet54.xml.rels><?xml version="1.0" encoding="UTF-8" standalone="yes"?>
<Relationships xmlns="http://schemas.openxmlformats.org/package/2006/relationships"><Relationship Id="rId8" Type="http://schemas.openxmlformats.org/officeDocument/2006/relationships/printerSettings" Target="../printerSettings/printerSettings784.bin"/><Relationship Id="rId13" Type="http://schemas.openxmlformats.org/officeDocument/2006/relationships/printerSettings" Target="../printerSettings/printerSettings789.bin"/><Relationship Id="rId3" Type="http://schemas.openxmlformats.org/officeDocument/2006/relationships/printerSettings" Target="../printerSettings/printerSettings779.bin"/><Relationship Id="rId7" Type="http://schemas.openxmlformats.org/officeDocument/2006/relationships/printerSettings" Target="../printerSettings/printerSettings783.bin"/><Relationship Id="rId12" Type="http://schemas.openxmlformats.org/officeDocument/2006/relationships/printerSettings" Target="../printerSettings/printerSettings788.bin"/><Relationship Id="rId2" Type="http://schemas.openxmlformats.org/officeDocument/2006/relationships/printerSettings" Target="../printerSettings/printerSettings778.bin"/><Relationship Id="rId16" Type="http://schemas.openxmlformats.org/officeDocument/2006/relationships/customProperty" Target="../customProperty54.bin"/><Relationship Id="rId1" Type="http://schemas.openxmlformats.org/officeDocument/2006/relationships/printerSettings" Target="../printerSettings/printerSettings777.bin"/><Relationship Id="rId6" Type="http://schemas.openxmlformats.org/officeDocument/2006/relationships/printerSettings" Target="../printerSettings/printerSettings782.bin"/><Relationship Id="rId11" Type="http://schemas.openxmlformats.org/officeDocument/2006/relationships/printerSettings" Target="../printerSettings/printerSettings787.bin"/><Relationship Id="rId5" Type="http://schemas.openxmlformats.org/officeDocument/2006/relationships/printerSettings" Target="../printerSettings/printerSettings781.bin"/><Relationship Id="rId15" Type="http://schemas.openxmlformats.org/officeDocument/2006/relationships/printerSettings" Target="../printerSettings/printerSettings791.bin"/><Relationship Id="rId10" Type="http://schemas.openxmlformats.org/officeDocument/2006/relationships/printerSettings" Target="../printerSettings/printerSettings786.bin"/><Relationship Id="rId4" Type="http://schemas.openxmlformats.org/officeDocument/2006/relationships/printerSettings" Target="../printerSettings/printerSettings780.bin"/><Relationship Id="rId9" Type="http://schemas.openxmlformats.org/officeDocument/2006/relationships/printerSettings" Target="../printerSettings/printerSettings785.bin"/><Relationship Id="rId14" Type="http://schemas.openxmlformats.org/officeDocument/2006/relationships/printerSettings" Target="../printerSettings/printerSettings790.bin"/></Relationships>
</file>

<file path=xl/worksheets/_rels/sheet55.xml.rels><?xml version="1.0" encoding="UTF-8" standalone="yes"?>
<Relationships xmlns="http://schemas.openxmlformats.org/package/2006/relationships"><Relationship Id="rId8" Type="http://schemas.openxmlformats.org/officeDocument/2006/relationships/printerSettings" Target="../printerSettings/printerSettings799.bin"/><Relationship Id="rId13" Type="http://schemas.openxmlformats.org/officeDocument/2006/relationships/printerSettings" Target="../printerSettings/printerSettings804.bin"/><Relationship Id="rId3" Type="http://schemas.openxmlformats.org/officeDocument/2006/relationships/printerSettings" Target="../printerSettings/printerSettings794.bin"/><Relationship Id="rId7" Type="http://schemas.openxmlformats.org/officeDocument/2006/relationships/printerSettings" Target="../printerSettings/printerSettings798.bin"/><Relationship Id="rId12" Type="http://schemas.openxmlformats.org/officeDocument/2006/relationships/printerSettings" Target="../printerSettings/printerSettings803.bin"/><Relationship Id="rId2" Type="http://schemas.openxmlformats.org/officeDocument/2006/relationships/printerSettings" Target="../printerSettings/printerSettings793.bin"/><Relationship Id="rId1" Type="http://schemas.openxmlformats.org/officeDocument/2006/relationships/printerSettings" Target="../printerSettings/printerSettings792.bin"/><Relationship Id="rId6" Type="http://schemas.openxmlformats.org/officeDocument/2006/relationships/printerSettings" Target="../printerSettings/printerSettings797.bin"/><Relationship Id="rId11" Type="http://schemas.openxmlformats.org/officeDocument/2006/relationships/printerSettings" Target="../printerSettings/printerSettings802.bin"/><Relationship Id="rId5" Type="http://schemas.openxmlformats.org/officeDocument/2006/relationships/printerSettings" Target="../printerSettings/printerSettings796.bin"/><Relationship Id="rId15" Type="http://schemas.openxmlformats.org/officeDocument/2006/relationships/customProperty" Target="../customProperty55.bin"/><Relationship Id="rId10" Type="http://schemas.openxmlformats.org/officeDocument/2006/relationships/printerSettings" Target="../printerSettings/printerSettings801.bin"/><Relationship Id="rId4" Type="http://schemas.openxmlformats.org/officeDocument/2006/relationships/printerSettings" Target="../printerSettings/printerSettings795.bin"/><Relationship Id="rId9" Type="http://schemas.openxmlformats.org/officeDocument/2006/relationships/printerSettings" Target="../printerSettings/printerSettings800.bin"/><Relationship Id="rId14" Type="http://schemas.openxmlformats.org/officeDocument/2006/relationships/printerSettings" Target="../printerSettings/printerSettings805.bin"/></Relationships>
</file>

<file path=xl/worksheets/_rels/sheet56.xml.rels><?xml version="1.0" encoding="UTF-8" standalone="yes"?>
<Relationships xmlns="http://schemas.openxmlformats.org/package/2006/relationships"><Relationship Id="rId8" Type="http://schemas.openxmlformats.org/officeDocument/2006/relationships/printerSettings" Target="../printerSettings/printerSettings813.bin"/><Relationship Id="rId13" Type="http://schemas.openxmlformats.org/officeDocument/2006/relationships/printerSettings" Target="../printerSettings/printerSettings818.bin"/><Relationship Id="rId3" Type="http://schemas.openxmlformats.org/officeDocument/2006/relationships/printerSettings" Target="../printerSettings/printerSettings808.bin"/><Relationship Id="rId7" Type="http://schemas.openxmlformats.org/officeDocument/2006/relationships/printerSettings" Target="../printerSettings/printerSettings812.bin"/><Relationship Id="rId12" Type="http://schemas.openxmlformats.org/officeDocument/2006/relationships/printerSettings" Target="../printerSettings/printerSettings817.bin"/><Relationship Id="rId2" Type="http://schemas.openxmlformats.org/officeDocument/2006/relationships/printerSettings" Target="../printerSettings/printerSettings807.bin"/><Relationship Id="rId16" Type="http://schemas.openxmlformats.org/officeDocument/2006/relationships/customProperty" Target="../customProperty56.bin"/><Relationship Id="rId1" Type="http://schemas.openxmlformats.org/officeDocument/2006/relationships/printerSettings" Target="../printerSettings/printerSettings806.bin"/><Relationship Id="rId6" Type="http://schemas.openxmlformats.org/officeDocument/2006/relationships/printerSettings" Target="../printerSettings/printerSettings811.bin"/><Relationship Id="rId11" Type="http://schemas.openxmlformats.org/officeDocument/2006/relationships/printerSettings" Target="../printerSettings/printerSettings816.bin"/><Relationship Id="rId5" Type="http://schemas.openxmlformats.org/officeDocument/2006/relationships/printerSettings" Target="../printerSettings/printerSettings810.bin"/><Relationship Id="rId15" Type="http://schemas.openxmlformats.org/officeDocument/2006/relationships/printerSettings" Target="../printerSettings/printerSettings820.bin"/><Relationship Id="rId10" Type="http://schemas.openxmlformats.org/officeDocument/2006/relationships/printerSettings" Target="../printerSettings/printerSettings815.bin"/><Relationship Id="rId4" Type="http://schemas.openxmlformats.org/officeDocument/2006/relationships/printerSettings" Target="../printerSettings/printerSettings809.bin"/><Relationship Id="rId9" Type="http://schemas.openxmlformats.org/officeDocument/2006/relationships/printerSettings" Target="../printerSettings/printerSettings814.bin"/><Relationship Id="rId14" Type="http://schemas.openxmlformats.org/officeDocument/2006/relationships/printerSettings" Target="../printerSettings/printerSettings819.bin"/></Relationships>
</file>

<file path=xl/worksheets/_rels/sheet57.xml.rels><?xml version="1.0" encoding="UTF-8" standalone="yes"?>
<Relationships xmlns="http://schemas.openxmlformats.org/package/2006/relationships"><Relationship Id="rId8" Type="http://schemas.openxmlformats.org/officeDocument/2006/relationships/printerSettings" Target="../printerSettings/printerSettings828.bin"/><Relationship Id="rId13" Type="http://schemas.openxmlformats.org/officeDocument/2006/relationships/printerSettings" Target="../printerSettings/printerSettings833.bin"/><Relationship Id="rId3" Type="http://schemas.openxmlformats.org/officeDocument/2006/relationships/printerSettings" Target="../printerSettings/printerSettings823.bin"/><Relationship Id="rId7" Type="http://schemas.openxmlformats.org/officeDocument/2006/relationships/printerSettings" Target="../printerSettings/printerSettings827.bin"/><Relationship Id="rId12" Type="http://schemas.openxmlformats.org/officeDocument/2006/relationships/printerSettings" Target="../printerSettings/printerSettings832.bin"/><Relationship Id="rId2" Type="http://schemas.openxmlformats.org/officeDocument/2006/relationships/printerSettings" Target="../printerSettings/printerSettings822.bin"/><Relationship Id="rId16" Type="http://schemas.openxmlformats.org/officeDocument/2006/relationships/customProperty" Target="../customProperty57.bin"/><Relationship Id="rId1" Type="http://schemas.openxmlformats.org/officeDocument/2006/relationships/printerSettings" Target="../printerSettings/printerSettings821.bin"/><Relationship Id="rId6" Type="http://schemas.openxmlformats.org/officeDocument/2006/relationships/printerSettings" Target="../printerSettings/printerSettings826.bin"/><Relationship Id="rId11" Type="http://schemas.openxmlformats.org/officeDocument/2006/relationships/printerSettings" Target="../printerSettings/printerSettings831.bin"/><Relationship Id="rId5" Type="http://schemas.openxmlformats.org/officeDocument/2006/relationships/printerSettings" Target="../printerSettings/printerSettings825.bin"/><Relationship Id="rId15" Type="http://schemas.openxmlformats.org/officeDocument/2006/relationships/printerSettings" Target="../printerSettings/printerSettings835.bin"/><Relationship Id="rId10" Type="http://schemas.openxmlformats.org/officeDocument/2006/relationships/printerSettings" Target="../printerSettings/printerSettings830.bin"/><Relationship Id="rId4" Type="http://schemas.openxmlformats.org/officeDocument/2006/relationships/printerSettings" Target="../printerSettings/printerSettings824.bin"/><Relationship Id="rId9" Type="http://schemas.openxmlformats.org/officeDocument/2006/relationships/printerSettings" Target="../printerSettings/printerSettings829.bin"/><Relationship Id="rId14" Type="http://schemas.openxmlformats.org/officeDocument/2006/relationships/printerSettings" Target="../printerSettings/printerSettings834.bin"/></Relationships>
</file>

<file path=xl/worksheets/_rels/sheet58.xml.rels><?xml version="1.0" encoding="UTF-8" standalone="yes"?>
<Relationships xmlns="http://schemas.openxmlformats.org/package/2006/relationships"><Relationship Id="rId8" Type="http://schemas.openxmlformats.org/officeDocument/2006/relationships/printerSettings" Target="../printerSettings/printerSettings843.bin"/><Relationship Id="rId13" Type="http://schemas.openxmlformats.org/officeDocument/2006/relationships/printerSettings" Target="../printerSettings/printerSettings848.bin"/><Relationship Id="rId3" Type="http://schemas.openxmlformats.org/officeDocument/2006/relationships/printerSettings" Target="../printerSettings/printerSettings838.bin"/><Relationship Id="rId7" Type="http://schemas.openxmlformats.org/officeDocument/2006/relationships/printerSettings" Target="../printerSettings/printerSettings842.bin"/><Relationship Id="rId12" Type="http://schemas.openxmlformats.org/officeDocument/2006/relationships/printerSettings" Target="../printerSettings/printerSettings847.bin"/><Relationship Id="rId2" Type="http://schemas.openxmlformats.org/officeDocument/2006/relationships/printerSettings" Target="../printerSettings/printerSettings837.bin"/><Relationship Id="rId16" Type="http://schemas.openxmlformats.org/officeDocument/2006/relationships/customProperty" Target="../customProperty58.bin"/><Relationship Id="rId1" Type="http://schemas.openxmlformats.org/officeDocument/2006/relationships/printerSettings" Target="../printerSettings/printerSettings836.bin"/><Relationship Id="rId6" Type="http://schemas.openxmlformats.org/officeDocument/2006/relationships/printerSettings" Target="../printerSettings/printerSettings841.bin"/><Relationship Id="rId11" Type="http://schemas.openxmlformats.org/officeDocument/2006/relationships/printerSettings" Target="../printerSettings/printerSettings846.bin"/><Relationship Id="rId5" Type="http://schemas.openxmlformats.org/officeDocument/2006/relationships/printerSettings" Target="../printerSettings/printerSettings840.bin"/><Relationship Id="rId15" Type="http://schemas.openxmlformats.org/officeDocument/2006/relationships/printerSettings" Target="../printerSettings/printerSettings850.bin"/><Relationship Id="rId10" Type="http://schemas.openxmlformats.org/officeDocument/2006/relationships/printerSettings" Target="../printerSettings/printerSettings845.bin"/><Relationship Id="rId4" Type="http://schemas.openxmlformats.org/officeDocument/2006/relationships/printerSettings" Target="../printerSettings/printerSettings839.bin"/><Relationship Id="rId9" Type="http://schemas.openxmlformats.org/officeDocument/2006/relationships/printerSettings" Target="../printerSettings/printerSettings844.bin"/><Relationship Id="rId14" Type="http://schemas.openxmlformats.org/officeDocument/2006/relationships/printerSettings" Target="../printerSettings/printerSettings849.bin"/></Relationships>
</file>

<file path=xl/worksheets/_rels/sheet59.xml.rels><?xml version="1.0" encoding="UTF-8" standalone="yes"?>
<Relationships xmlns="http://schemas.openxmlformats.org/package/2006/relationships"><Relationship Id="rId8" Type="http://schemas.openxmlformats.org/officeDocument/2006/relationships/printerSettings" Target="../printerSettings/printerSettings858.bin"/><Relationship Id="rId13" Type="http://schemas.openxmlformats.org/officeDocument/2006/relationships/printerSettings" Target="../printerSettings/printerSettings863.bin"/><Relationship Id="rId3" Type="http://schemas.openxmlformats.org/officeDocument/2006/relationships/printerSettings" Target="../printerSettings/printerSettings853.bin"/><Relationship Id="rId7" Type="http://schemas.openxmlformats.org/officeDocument/2006/relationships/printerSettings" Target="../printerSettings/printerSettings857.bin"/><Relationship Id="rId12" Type="http://schemas.openxmlformats.org/officeDocument/2006/relationships/printerSettings" Target="../printerSettings/printerSettings862.bin"/><Relationship Id="rId2" Type="http://schemas.openxmlformats.org/officeDocument/2006/relationships/printerSettings" Target="../printerSettings/printerSettings852.bin"/><Relationship Id="rId16" Type="http://schemas.openxmlformats.org/officeDocument/2006/relationships/customProperty" Target="../customProperty59.bin"/><Relationship Id="rId1" Type="http://schemas.openxmlformats.org/officeDocument/2006/relationships/printerSettings" Target="../printerSettings/printerSettings851.bin"/><Relationship Id="rId6" Type="http://schemas.openxmlformats.org/officeDocument/2006/relationships/printerSettings" Target="../printerSettings/printerSettings856.bin"/><Relationship Id="rId11" Type="http://schemas.openxmlformats.org/officeDocument/2006/relationships/printerSettings" Target="../printerSettings/printerSettings861.bin"/><Relationship Id="rId5" Type="http://schemas.openxmlformats.org/officeDocument/2006/relationships/printerSettings" Target="../printerSettings/printerSettings855.bin"/><Relationship Id="rId15" Type="http://schemas.openxmlformats.org/officeDocument/2006/relationships/printerSettings" Target="../printerSettings/printerSettings865.bin"/><Relationship Id="rId10" Type="http://schemas.openxmlformats.org/officeDocument/2006/relationships/printerSettings" Target="../printerSettings/printerSettings860.bin"/><Relationship Id="rId4" Type="http://schemas.openxmlformats.org/officeDocument/2006/relationships/printerSettings" Target="../printerSettings/printerSettings854.bin"/><Relationship Id="rId9" Type="http://schemas.openxmlformats.org/officeDocument/2006/relationships/printerSettings" Target="../printerSettings/printerSettings859.bin"/><Relationship Id="rId14" Type="http://schemas.openxmlformats.org/officeDocument/2006/relationships/printerSettings" Target="../printerSettings/printerSettings864.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8.bin"/><Relationship Id="rId13" Type="http://schemas.openxmlformats.org/officeDocument/2006/relationships/printerSettings" Target="../printerSettings/printerSettings73.bin"/><Relationship Id="rId3" Type="http://schemas.openxmlformats.org/officeDocument/2006/relationships/printerSettings" Target="../printerSettings/printerSettings63.bin"/><Relationship Id="rId7" Type="http://schemas.openxmlformats.org/officeDocument/2006/relationships/printerSettings" Target="../printerSettings/printerSettings67.bin"/><Relationship Id="rId12" Type="http://schemas.openxmlformats.org/officeDocument/2006/relationships/printerSettings" Target="../printerSettings/printerSettings72.bin"/><Relationship Id="rId2" Type="http://schemas.openxmlformats.org/officeDocument/2006/relationships/printerSettings" Target="../printerSettings/printerSettings62.bin"/><Relationship Id="rId16" Type="http://schemas.openxmlformats.org/officeDocument/2006/relationships/customProperty" Target="../customProperty6.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11" Type="http://schemas.openxmlformats.org/officeDocument/2006/relationships/printerSettings" Target="../printerSettings/printerSettings71.bin"/><Relationship Id="rId5" Type="http://schemas.openxmlformats.org/officeDocument/2006/relationships/printerSettings" Target="../printerSettings/printerSettings65.bin"/><Relationship Id="rId15" Type="http://schemas.openxmlformats.org/officeDocument/2006/relationships/printerSettings" Target="../printerSettings/printerSettings75.bin"/><Relationship Id="rId10" Type="http://schemas.openxmlformats.org/officeDocument/2006/relationships/printerSettings" Target="../printerSettings/printerSettings70.bin"/><Relationship Id="rId4" Type="http://schemas.openxmlformats.org/officeDocument/2006/relationships/printerSettings" Target="../printerSettings/printerSettings64.bin"/><Relationship Id="rId9" Type="http://schemas.openxmlformats.org/officeDocument/2006/relationships/printerSettings" Target="../printerSettings/printerSettings69.bin"/><Relationship Id="rId14" Type="http://schemas.openxmlformats.org/officeDocument/2006/relationships/printerSettings" Target="../printerSettings/printerSettings74.bin"/></Relationships>
</file>

<file path=xl/worksheets/_rels/sheet60.xml.rels><?xml version="1.0" encoding="UTF-8" standalone="yes"?>
<Relationships xmlns="http://schemas.openxmlformats.org/package/2006/relationships"><Relationship Id="rId8" Type="http://schemas.openxmlformats.org/officeDocument/2006/relationships/printerSettings" Target="../printerSettings/printerSettings873.bin"/><Relationship Id="rId13" Type="http://schemas.openxmlformats.org/officeDocument/2006/relationships/printerSettings" Target="../printerSettings/printerSettings878.bin"/><Relationship Id="rId3" Type="http://schemas.openxmlformats.org/officeDocument/2006/relationships/printerSettings" Target="../printerSettings/printerSettings868.bin"/><Relationship Id="rId7" Type="http://schemas.openxmlformats.org/officeDocument/2006/relationships/printerSettings" Target="../printerSettings/printerSettings872.bin"/><Relationship Id="rId12" Type="http://schemas.openxmlformats.org/officeDocument/2006/relationships/printerSettings" Target="../printerSettings/printerSettings877.bin"/><Relationship Id="rId2" Type="http://schemas.openxmlformats.org/officeDocument/2006/relationships/printerSettings" Target="../printerSettings/printerSettings867.bin"/><Relationship Id="rId16" Type="http://schemas.openxmlformats.org/officeDocument/2006/relationships/customProperty" Target="../customProperty60.bin"/><Relationship Id="rId1" Type="http://schemas.openxmlformats.org/officeDocument/2006/relationships/printerSettings" Target="../printerSettings/printerSettings866.bin"/><Relationship Id="rId6" Type="http://schemas.openxmlformats.org/officeDocument/2006/relationships/printerSettings" Target="../printerSettings/printerSettings871.bin"/><Relationship Id="rId11" Type="http://schemas.openxmlformats.org/officeDocument/2006/relationships/printerSettings" Target="../printerSettings/printerSettings876.bin"/><Relationship Id="rId5" Type="http://schemas.openxmlformats.org/officeDocument/2006/relationships/printerSettings" Target="../printerSettings/printerSettings870.bin"/><Relationship Id="rId15" Type="http://schemas.openxmlformats.org/officeDocument/2006/relationships/printerSettings" Target="../printerSettings/printerSettings880.bin"/><Relationship Id="rId10" Type="http://schemas.openxmlformats.org/officeDocument/2006/relationships/printerSettings" Target="../printerSettings/printerSettings875.bin"/><Relationship Id="rId4" Type="http://schemas.openxmlformats.org/officeDocument/2006/relationships/printerSettings" Target="../printerSettings/printerSettings869.bin"/><Relationship Id="rId9" Type="http://schemas.openxmlformats.org/officeDocument/2006/relationships/printerSettings" Target="../printerSettings/printerSettings874.bin"/><Relationship Id="rId14" Type="http://schemas.openxmlformats.org/officeDocument/2006/relationships/printerSettings" Target="../printerSettings/printerSettings879.bin"/></Relationships>
</file>

<file path=xl/worksheets/_rels/sheet61.xml.rels><?xml version="1.0" encoding="UTF-8" standalone="yes"?>
<Relationships xmlns="http://schemas.openxmlformats.org/package/2006/relationships"><Relationship Id="rId8" Type="http://schemas.openxmlformats.org/officeDocument/2006/relationships/printerSettings" Target="../printerSettings/printerSettings888.bin"/><Relationship Id="rId13" Type="http://schemas.openxmlformats.org/officeDocument/2006/relationships/printerSettings" Target="../printerSettings/printerSettings893.bin"/><Relationship Id="rId3" Type="http://schemas.openxmlformats.org/officeDocument/2006/relationships/printerSettings" Target="../printerSettings/printerSettings883.bin"/><Relationship Id="rId7" Type="http://schemas.openxmlformats.org/officeDocument/2006/relationships/printerSettings" Target="../printerSettings/printerSettings887.bin"/><Relationship Id="rId12" Type="http://schemas.openxmlformats.org/officeDocument/2006/relationships/printerSettings" Target="../printerSettings/printerSettings892.bin"/><Relationship Id="rId2" Type="http://schemas.openxmlformats.org/officeDocument/2006/relationships/printerSettings" Target="../printerSettings/printerSettings882.bin"/><Relationship Id="rId16" Type="http://schemas.openxmlformats.org/officeDocument/2006/relationships/customProperty" Target="../customProperty61.bin"/><Relationship Id="rId1" Type="http://schemas.openxmlformats.org/officeDocument/2006/relationships/printerSettings" Target="../printerSettings/printerSettings881.bin"/><Relationship Id="rId6" Type="http://schemas.openxmlformats.org/officeDocument/2006/relationships/printerSettings" Target="../printerSettings/printerSettings886.bin"/><Relationship Id="rId11" Type="http://schemas.openxmlformats.org/officeDocument/2006/relationships/printerSettings" Target="../printerSettings/printerSettings891.bin"/><Relationship Id="rId5" Type="http://schemas.openxmlformats.org/officeDocument/2006/relationships/printerSettings" Target="../printerSettings/printerSettings885.bin"/><Relationship Id="rId15" Type="http://schemas.openxmlformats.org/officeDocument/2006/relationships/printerSettings" Target="../printerSettings/printerSettings895.bin"/><Relationship Id="rId10" Type="http://schemas.openxmlformats.org/officeDocument/2006/relationships/printerSettings" Target="../printerSettings/printerSettings890.bin"/><Relationship Id="rId4" Type="http://schemas.openxmlformats.org/officeDocument/2006/relationships/printerSettings" Target="../printerSettings/printerSettings884.bin"/><Relationship Id="rId9" Type="http://schemas.openxmlformats.org/officeDocument/2006/relationships/printerSettings" Target="../printerSettings/printerSettings889.bin"/><Relationship Id="rId14" Type="http://schemas.openxmlformats.org/officeDocument/2006/relationships/printerSettings" Target="../printerSettings/printerSettings894.bin"/></Relationships>
</file>

<file path=xl/worksheets/_rels/sheet62.xml.rels><?xml version="1.0" encoding="UTF-8" standalone="yes"?>
<Relationships xmlns="http://schemas.openxmlformats.org/package/2006/relationships"><Relationship Id="rId8" Type="http://schemas.openxmlformats.org/officeDocument/2006/relationships/printerSettings" Target="../printerSettings/printerSettings903.bin"/><Relationship Id="rId13" Type="http://schemas.openxmlformats.org/officeDocument/2006/relationships/printerSettings" Target="../printerSettings/printerSettings908.bin"/><Relationship Id="rId3" Type="http://schemas.openxmlformats.org/officeDocument/2006/relationships/printerSettings" Target="../printerSettings/printerSettings898.bin"/><Relationship Id="rId7" Type="http://schemas.openxmlformats.org/officeDocument/2006/relationships/printerSettings" Target="../printerSettings/printerSettings902.bin"/><Relationship Id="rId12" Type="http://schemas.openxmlformats.org/officeDocument/2006/relationships/printerSettings" Target="../printerSettings/printerSettings907.bin"/><Relationship Id="rId2" Type="http://schemas.openxmlformats.org/officeDocument/2006/relationships/printerSettings" Target="../printerSettings/printerSettings897.bin"/><Relationship Id="rId16" Type="http://schemas.openxmlformats.org/officeDocument/2006/relationships/customProperty" Target="../customProperty62.bin"/><Relationship Id="rId1" Type="http://schemas.openxmlformats.org/officeDocument/2006/relationships/printerSettings" Target="../printerSettings/printerSettings896.bin"/><Relationship Id="rId6" Type="http://schemas.openxmlformats.org/officeDocument/2006/relationships/printerSettings" Target="../printerSettings/printerSettings901.bin"/><Relationship Id="rId11" Type="http://schemas.openxmlformats.org/officeDocument/2006/relationships/printerSettings" Target="../printerSettings/printerSettings906.bin"/><Relationship Id="rId5" Type="http://schemas.openxmlformats.org/officeDocument/2006/relationships/printerSettings" Target="../printerSettings/printerSettings900.bin"/><Relationship Id="rId15" Type="http://schemas.openxmlformats.org/officeDocument/2006/relationships/printerSettings" Target="../printerSettings/printerSettings910.bin"/><Relationship Id="rId10" Type="http://schemas.openxmlformats.org/officeDocument/2006/relationships/printerSettings" Target="../printerSettings/printerSettings905.bin"/><Relationship Id="rId4" Type="http://schemas.openxmlformats.org/officeDocument/2006/relationships/printerSettings" Target="../printerSettings/printerSettings899.bin"/><Relationship Id="rId9" Type="http://schemas.openxmlformats.org/officeDocument/2006/relationships/printerSettings" Target="../printerSettings/printerSettings904.bin"/><Relationship Id="rId14" Type="http://schemas.openxmlformats.org/officeDocument/2006/relationships/printerSettings" Target="../printerSettings/printerSettings909.bin"/></Relationships>
</file>

<file path=xl/worksheets/_rels/sheet63.xml.rels><?xml version="1.0" encoding="UTF-8" standalone="yes"?>
<Relationships xmlns="http://schemas.openxmlformats.org/package/2006/relationships"><Relationship Id="rId8" Type="http://schemas.openxmlformats.org/officeDocument/2006/relationships/printerSettings" Target="../printerSettings/printerSettings918.bin"/><Relationship Id="rId13" Type="http://schemas.openxmlformats.org/officeDocument/2006/relationships/printerSettings" Target="../printerSettings/printerSettings923.bin"/><Relationship Id="rId3" Type="http://schemas.openxmlformats.org/officeDocument/2006/relationships/printerSettings" Target="../printerSettings/printerSettings913.bin"/><Relationship Id="rId7" Type="http://schemas.openxmlformats.org/officeDocument/2006/relationships/printerSettings" Target="../printerSettings/printerSettings917.bin"/><Relationship Id="rId12" Type="http://schemas.openxmlformats.org/officeDocument/2006/relationships/printerSettings" Target="../printerSettings/printerSettings922.bin"/><Relationship Id="rId2" Type="http://schemas.openxmlformats.org/officeDocument/2006/relationships/printerSettings" Target="../printerSettings/printerSettings912.bin"/><Relationship Id="rId16" Type="http://schemas.openxmlformats.org/officeDocument/2006/relationships/customProperty" Target="../customProperty63.bin"/><Relationship Id="rId1" Type="http://schemas.openxmlformats.org/officeDocument/2006/relationships/printerSettings" Target="../printerSettings/printerSettings911.bin"/><Relationship Id="rId6" Type="http://schemas.openxmlformats.org/officeDocument/2006/relationships/printerSettings" Target="../printerSettings/printerSettings916.bin"/><Relationship Id="rId11" Type="http://schemas.openxmlformats.org/officeDocument/2006/relationships/printerSettings" Target="../printerSettings/printerSettings921.bin"/><Relationship Id="rId5" Type="http://schemas.openxmlformats.org/officeDocument/2006/relationships/printerSettings" Target="../printerSettings/printerSettings915.bin"/><Relationship Id="rId15" Type="http://schemas.openxmlformats.org/officeDocument/2006/relationships/printerSettings" Target="../printerSettings/printerSettings925.bin"/><Relationship Id="rId10" Type="http://schemas.openxmlformats.org/officeDocument/2006/relationships/printerSettings" Target="../printerSettings/printerSettings920.bin"/><Relationship Id="rId4" Type="http://schemas.openxmlformats.org/officeDocument/2006/relationships/printerSettings" Target="../printerSettings/printerSettings914.bin"/><Relationship Id="rId9" Type="http://schemas.openxmlformats.org/officeDocument/2006/relationships/printerSettings" Target="../printerSettings/printerSettings919.bin"/><Relationship Id="rId14" Type="http://schemas.openxmlformats.org/officeDocument/2006/relationships/printerSettings" Target="../printerSettings/printerSettings924.bin"/></Relationships>
</file>

<file path=xl/worksheets/_rels/sheet64.xml.rels><?xml version="1.0" encoding="UTF-8" standalone="yes"?>
<Relationships xmlns="http://schemas.openxmlformats.org/package/2006/relationships"><Relationship Id="rId8" Type="http://schemas.openxmlformats.org/officeDocument/2006/relationships/printerSettings" Target="../printerSettings/printerSettings933.bin"/><Relationship Id="rId13" Type="http://schemas.openxmlformats.org/officeDocument/2006/relationships/printerSettings" Target="../printerSettings/printerSettings938.bin"/><Relationship Id="rId3" Type="http://schemas.openxmlformats.org/officeDocument/2006/relationships/printerSettings" Target="../printerSettings/printerSettings928.bin"/><Relationship Id="rId7" Type="http://schemas.openxmlformats.org/officeDocument/2006/relationships/printerSettings" Target="../printerSettings/printerSettings932.bin"/><Relationship Id="rId12" Type="http://schemas.openxmlformats.org/officeDocument/2006/relationships/printerSettings" Target="../printerSettings/printerSettings937.bin"/><Relationship Id="rId2" Type="http://schemas.openxmlformats.org/officeDocument/2006/relationships/printerSettings" Target="../printerSettings/printerSettings927.bin"/><Relationship Id="rId16" Type="http://schemas.openxmlformats.org/officeDocument/2006/relationships/customProperty" Target="../customProperty64.bin"/><Relationship Id="rId1" Type="http://schemas.openxmlformats.org/officeDocument/2006/relationships/printerSettings" Target="../printerSettings/printerSettings926.bin"/><Relationship Id="rId6" Type="http://schemas.openxmlformats.org/officeDocument/2006/relationships/printerSettings" Target="../printerSettings/printerSettings931.bin"/><Relationship Id="rId11" Type="http://schemas.openxmlformats.org/officeDocument/2006/relationships/printerSettings" Target="../printerSettings/printerSettings936.bin"/><Relationship Id="rId5" Type="http://schemas.openxmlformats.org/officeDocument/2006/relationships/printerSettings" Target="../printerSettings/printerSettings930.bin"/><Relationship Id="rId15" Type="http://schemas.openxmlformats.org/officeDocument/2006/relationships/printerSettings" Target="../printerSettings/printerSettings940.bin"/><Relationship Id="rId10" Type="http://schemas.openxmlformats.org/officeDocument/2006/relationships/printerSettings" Target="../printerSettings/printerSettings935.bin"/><Relationship Id="rId4" Type="http://schemas.openxmlformats.org/officeDocument/2006/relationships/printerSettings" Target="../printerSettings/printerSettings929.bin"/><Relationship Id="rId9" Type="http://schemas.openxmlformats.org/officeDocument/2006/relationships/printerSettings" Target="../printerSettings/printerSettings934.bin"/><Relationship Id="rId14" Type="http://schemas.openxmlformats.org/officeDocument/2006/relationships/printerSettings" Target="../printerSettings/printerSettings939.bin"/></Relationships>
</file>

<file path=xl/worksheets/_rels/sheet65.xml.rels><?xml version="1.0" encoding="UTF-8" standalone="yes"?>
<Relationships xmlns="http://schemas.openxmlformats.org/package/2006/relationships"><Relationship Id="rId8" Type="http://schemas.openxmlformats.org/officeDocument/2006/relationships/printerSettings" Target="../printerSettings/printerSettings948.bin"/><Relationship Id="rId13" Type="http://schemas.openxmlformats.org/officeDocument/2006/relationships/printerSettings" Target="../printerSettings/printerSettings953.bin"/><Relationship Id="rId3" Type="http://schemas.openxmlformats.org/officeDocument/2006/relationships/printerSettings" Target="../printerSettings/printerSettings943.bin"/><Relationship Id="rId7" Type="http://schemas.openxmlformats.org/officeDocument/2006/relationships/printerSettings" Target="../printerSettings/printerSettings947.bin"/><Relationship Id="rId12" Type="http://schemas.openxmlformats.org/officeDocument/2006/relationships/printerSettings" Target="../printerSettings/printerSettings952.bin"/><Relationship Id="rId2" Type="http://schemas.openxmlformats.org/officeDocument/2006/relationships/printerSettings" Target="../printerSettings/printerSettings942.bin"/><Relationship Id="rId16" Type="http://schemas.openxmlformats.org/officeDocument/2006/relationships/customProperty" Target="../customProperty65.bin"/><Relationship Id="rId1" Type="http://schemas.openxmlformats.org/officeDocument/2006/relationships/printerSettings" Target="../printerSettings/printerSettings941.bin"/><Relationship Id="rId6" Type="http://schemas.openxmlformats.org/officeDocument/2006/relationships/printerSettings" Target="../printerSettings/printerSettings946.bin"/><Relationship Id="rId11" Type="http://schemas.openxmlformats.org/officeDocument/2006/relationships/printerSettings" Target="../printerSettings/printerSettings951.bin"/><Relationship Id="rId5" Type="http://schemas.openxmlformats.org/officeDocument/2006/relationships/printerSettings" Target="../printerSettings/printerSettings945.bin"/><Relationship Id="rId15" Type="http://schemas.openxmlformats.org/officeDocument/2006/relationships/printerSettings" Target="../printerSettings/printerSettings955.bin"/><Relationship Id="rId10" Type="http://schemas.openxmlformats.org/officeDocument/2006/relationships/printerSettings" Target="../printerSettings/printerSettings950.bin"/><Relationship Id="rId4" Type="http://schemas.openxmlformats.org/officeDocument/2006/relationships/printerSettings" Target="../printerSettings/printerSettings944.bin"/><Relationship Id="rId9" Type="http://schemas.openxmlformats.org/officeDocument/2006/relationships/printerSettings" Target="../printerSettings/printerSettings949.bin"/><Relationship Id="rId14" Type="http://schemas.openxmlformats.org/officeDocument/2006/relationships/printerSettings" Target="../printerSettings/printerSettings954.bin"/></Relationships>
</file>

<file path=xl/worksheets/_rels/sheet66.xml.rels><?xml version="1.0" encoding="UTF-8" standalone="yes"?>
<Relationships xmlns="http://schemas.openxmlformats.org/package/2006/relationships"><Relationship Id="rId8" Type="http://schemas.openxmlformats.org/officeDocument/2006/relationships/printerSettings" Target="../printerSettings/printerSettings963.bin"/><Relationship Id="rId13" Type="http://schemas.openxmlformats.org/officeDocument/2006/relationships/printerSettings" Target="../printerSettings/printerSettings968.bin"/><Relationship Id="rId3" Type="http://schemas.openxmlformats.org/officeDocument/2006/relationships/printerSettings" Target="../printerSettings/printerSettings958.bin"/><Relationship Id="rId7" Type="http://schemas.openxmlformats.org/officeDocument/2006/relationships/printerSettings" Target="../printerSettings/printerSettings962.bin"/><Relationship Id="rId12" Type="http://schemas.openxmlformats.org/officeDocument/2006/relationships/printerSettings" Target="../printerSettings/printerSettings967.bin"/><Relationship Id="rId2" Type="http://schemas.openxmlformats.org/officeDocument/2006/relationships/printerSettings" Target="../printerSettings/printerSettings957.bin"/><Relationship Id="rId16" Type="http://schemas.openxmlformats.org/officeDocument/2006/relationships/customProperty" Target="../customProperty66.bin"/><Relationship Id="rId1" Type="http://schemas.openxmlformats.org/officeDocument/2006/relationships/printerSettings" Target="../printerSettings/printerSettings956.bin"/><Relationship Id="rId6" Type="http://schemas.openxmlformats.org/officeDocument/2006/relationships/printerSettings" Target="../printerSettings/printerSettings961.bin"/><Relationship Id="rId11" Type="http://schemas.openxmlformats.org/officeDocument/2006/relationships/printerSettings" Target="../printerSettings/printerSettings966.bin"/><Relationship Id="rId5" Type="http://schemas.openxmlformats.org/officeDocument/2006/relationships/printerSettings" Target="../printerSettings/printerSettings960.bin"/><Relationship Id="rId15" Type="http://schemas.openxmlformats.org/officeDocument/2006/relationships/printerSettings" Target="../printerSettings/printerSettings970.bin"/><Relationship Id="rId10" Type="http://schemas.openxmlformats.org/officeDocument/2006/relationships/printerSettings" Target="../printerSettings/printerSettings965.bin"/><Relationship Id="rId4" Type="http://schemas.openxmlformats.org/officeDocument/2006/relationships/printerSettings" Target="../printerSettings/printerSettings959.bin"/><Relationship Id="rId9" Type="http://schemas.openxmlformats.org/officeDocument/2006/relationships/printerSettings" Target="../printerSettings/printerSettings964.bin"/><Relationship Id="rId14" Type="http://schemas.openxmlformats.org/officeDocument/2006/relationships/printerSettings" Target="../printerSettings/printerSettings969.bin"/></Relationships>
</file>

<file path=xl/worksheets/_rels/sheet67.xml.rels><?xml version="1.0" encoding="UTF-8" standalone="yes"?>
<Relationships xmlns="http://schemas.openxmlformats.org/package/2006/relationships"><Relationship Id="rId8" Type="http://schemas.openxmlformats.org/officeDocument/2006/relationships/printerSettings" Target="../printerSettings/printerSettings978.bin"/><Relationship Id="rId13" Type="http://schemas.openxmlformats.org/officeDocument/2006/relationships/printerSettings" Target="../printerSettings/printerSettings983.bin"/><Relationship Id="rId3" Type="http://schemas.openxmlformats.org/officeDocument/2006/relationships/printerSettings" Target="../printerSettings/printerSettings973.bin"/><Relationship Id="rId7" Type="http://schemas.openxmlformats.org/officeDocument/2006/relationships/printerSettings" Target="../printerSettings/printerSettings977.bin"/><Relationship Id="rId12" Type="http://schemas.openxmlformats.org/officeDocument/2006/relationships/printerSettings" Target="../printerSettings/printerSettings982.bin"/><Relationship Id="rId2" Type="http://schemas.openxmlformats.org/officeDocument/2006/relationships/printerSettings" Target="../printerSettings/printerSettings972.bin"/><Relationship Id="rId16" Type="http://schemas.openxmlformats.org/officeDocument/2006/relationships/customProperty" Target="../customProperty67.bin"/><Relationship Id="rId1" Type="http://schemas.openxmlformats.org/officeDocument/2006/relationships/printerSettings" Target="../printerSettings/printerSettings971.bin"/><Relationship Id="rId6" Type="http://schemas.openxmlformats.org/officeDocument/2006/relationships/printerSettings" Target="../printerSettings/printerSettings976.bin"/><Relationship Id="rId11" Type="http://schemas.openxmlformats.org/officeDocument/2006/relationships/printerSettings" Target="../printerSettings/printerSettings981.bin"/><Relationship Id="rId5" Type="http://schemas.openxmlformats.org/officeDocument/2006/relationships/printerSettings" Target="../printerSettings/printerSettings975.bin"/><Relationship Id="rId15" Type="http://schemas.openxmlformats.org/officeDocument/2006/relationships/printerSettings" Target="../printerSettings/printerSettings985.bin"/><Relationship Id="rId10" Type="http://schemas.openxmlformats.org/officeDocument/2006/relationships/printerSettings" Target="../printerSettings/printerSettings980.bin"/><Relationship Id="rId4" Type="http://schemas.openxmlformats.org/officeDocument/2006/relationships/printerSettings" Target="../printerSettings/printerSettings974.bin"/><Relationship Id="rId9" Type="http://schemas.openxmlformats.org/officeDocument/2006/relationships/printerSettings" Target="../printerSettings/printerSettings979.bin"/><Relationship Id="rId14" Type="http://schemas.openxmlformats.org/officeDocument/2006/relationships/printerSettings" Target="../printerSettings/printerSettings984.bin"/></Relationships>
</file>

<file path=xl/worksheets/_rels/sheet68.xml.rels><?xml version="1.0" encoding="UTF-8" standalone="yes"?>
<Relationships xmlns="http://schemas.openxmlformats.org/package/2006/relationships"><Relationship Id="rId8" Type="http://schemas.openxmlformats.org/officeDocument/2006/relationships/printerSettings" Target="../printerSettings/printerSettings993.bin"/><Relationship Id="rId13" Type="http://schemas.openxmlformats.org/officeDocument/2006/relationships/printerSettings" Target="../printerSettings/printerSettings998.bin"/><Relationship Id="rId3" Type="http://schemas.openxmlformats.org/officeDocument/2006/relationships/printerSettings" Target="../printerSettings/printerSettings988.bin"/><Relationship Id="rId7" Type="http://schemas.openxmlformats.org/officeDocument/2006/relationships/printerSettings" Target="../printerSettings/printerSettings992.bin"/><Relationship Id="rId12" Type="http://schemas.openxmlformats.org/officeDocument/2006/relationships/printerSettings" Target="../printerSettings/printerSettings997.bin"/><Relationship Id="rId2" Type="http://schemas.openxmlformats.org/officeDocument/2006/relationships/printerSettings" Target="../printerSettings/printerSettings987.bin"/><Relationship Id="rId16" Type="http://schemas.openxmlformats.org/officeDocument/2006/relationships/customProperty" Target="../customProperty68.bin"/><Relationship Id="rId1" Type="http://schemas.openxmlformats.org/officeDocument/2006/relationships/printerSettings" Target="../printerSettings/printerSettings986.bin"/><Relationship Id="rId6" Type="http://schemas.openxmlformats.org/officeDocument/2006/relationships/printerSettings" Target="../printerSettings/printerSettings991.bin"/><Relationship Id="rId11" Type="http://schemas.openxmlformats.org/officeDocument/2006/relationships/printerSettings" Target="../printerSettings/printerSettings996.bin"/><Relationship Id="rId5" Type="http://schemas.openxmlformats.org/officeDocument/2006/relationships/printerSettings" Target="../printerSettings/printerSettings990.bin"/><Relationship Id="rId15" Type="http://schemas.openxmlformats.org/officeDocument/2006/relationships/printerSettings" Target="../printerSettings/printerSettings1000.bin"/><Relationship Id="rId10" Type="http://schemas.openxmlformats.org/officeDocument/2006/relationships/printerSettings" Target="../printerSettings/printerSettings995.bin"/><Relationship Id="rId4" Type="http://schemas.openxmlformats.org/officeDocument/2006/relationships/printerSettings" Target="../printerSettings/printerSettings989.bin"/><Relationship Id="rId9" Type="http://schemas.openxmlformats.org/officeDocument/2006/relationships/printerSettings" Target="../printerSettings/printerSettings994.bin"/><Relationship Id="rId14" Type="http://schemas.openxmlformats.org/officeDocument/2006/relationships/printerSettings" Target="../printerSettings/printerSettings999.bin"/></Relationships>
</file>

<file path=xl/worksheets/_rels/sheet69.xml.rels><?xml version="1.0" encoding="UTF-8" standalone="yes"?>
<Relationships xmlns="http://schemas.openxmlformats.org/package/2006/relationships"><Relationship Id="rId8" Type="http://schemas.openxmlformats.org/officeDocument/2006/relationships/printerSettings" Target="../printerSettings/printerSettings1008.bin"/><Relationship Id="rId13" Type="http://schemas.openxmlformats.org/officeDocument/2006/relationships/printerSettings" Target="../printerSettings/printerSettings1013.bin"/><Relationship Id="rId3" Type="http://schemas.openxmlformats.org/officeDocument/2006/relationships/printerSettings" Target="../printerSettings/printerSettings1003.bin"/><Relationship Id="rId7" Type="http://schemas.openxmlformats.org/officeDocument/2006/relationships/printerSettings" Target="../printerSettings/printerSettings1007.bin"/><Relationship Id="rId12" Type="http://schemas.openxmlformats.org/officeDocument/2006/relationships/printerSettings" Target="../printerSettings/printerSettings1012.bin"/><Relationship Id="rId2" Type="http://schemas.openxmlformats.org/officeDocument/2006/relationships/printerSettings" Target="../printerSettings/printerSettings1002.bin"/><Relationship Id="rId16" Type="http://schemas.openxmlformats.org/officeDocument/2006/relationships/customProperty" Target="../customProperty69.bin"/><Relationship Id="rId1" Type="http://schemas.openxmlformats.org/officeDocument/2006/relationships/printerSettings" Target="../printerSettings/printerSettings1001.bin"/><Relationship Id="rId6" Type="http://schemas.openxmlformats.org/officeDocument/2006/relationships/printerSettings" Target="../printerSettings/printerSettings1006.bin"/><Relationship Id="rId11" Type="http://schemas.openxmlformats.org/officeDocument/2006/relationships/printerSettings" Target="../printerSettings/printerSettings1011.bin"/><Relationship Id="rId5" Type="http://schemas.openxmlformats.org/officeDocument/2006/relationships/printerSettings" Target="../printerSettings/printerSettings1005.bin"/><Relationship Id="rId15" Type="http://schemas.openxmlformats.org/officeDocument/2006/relationships/printerSettings" Target="../printerSettings/printerSettings1015.bin"/><Relationship Id="rId10" Type="http://schemas.openxmlformats.org/officeDocument/2006/relationships/printerSettings" Target="../printerSettings/printerSettings1010.bin"/><Relationship Id="rId4" Type="http://schemas.openxmlformats.org/officeDocument/2006/relationships/printerSettings" Target="../printerSettings/printerSettings1004.bin"/><Relationship Id="rId9" Type="http://schemas.openxmlformats.org/officeDocument/2006/relationships/printerSettings" Target="../printerSettings/printerSettings1009.bin"/><Relationship Id="rId14" Type="http://schemas.openxmlformats.org/officeDocument/2006/relationships/printerSettings" Target="../printerSettings/printerSettings101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83.bin"/><Relationship Id="rId13" Type="http://schemas.openxmlformats.org/officeDocument/2006/relationships/printerSettings" Target="../printerSettings/printerSettings88.bin"/><Relationship Id="rId3" Type="http://schemas.openxmlformats.org/officeDocument/2006/relationships/printerSettings" Target="../printerSettings/printerSettings78.bin"/><Relationship Id="rId7" Type="http://schemas.openxmlformats.org/officeDocument/2006/relationships/printerSettings" Target="../printerSettings/printerSettings82.bin"/><Relationship Id="rId12" Type="http://schemas.openxmlformats.org/officeDocument/2006/relationships/printerSettings" Target="../printerSettings/printerSettings87.bin"/><Relationship Id="rId2" Type="http://schemas.openxmlformats.org/officeDocument/2006/relationships/printerSettings" Target="../printerSettings/printerSettings77.bin"/><Relationship Id="rId16" Type="http://schemas.openxmlformats.org/officeDocument/2006/relationships/customProperty" Target="../customProperty7.bin"/><Relationship Id="rId1" Type="http://schemas.openxmlformats.org/officeDocument/2006/relationships/printerSettings" Target="../printerSettings/printerSettings76.bin"/><Relationship Id="rId6" Type="http://schemas.openxmlformats.org/officeDocument/2006/relationships/printerSettings" Target="../printerSettings/printerSettings81.bin"/><Relationship Id="rId11" Type="http://schemas.openxmlformats.org/officeDocument/2006/relationships/printerSettings" Target="../printerSettings/printerSettings86.bin"/><Relationship Id="rId5" Type="http://schemas.openxmlformats.org/officeDocument/2006/relationships/printerSettings" Target="../printerSettings/printerSettings80.bin"/><Relationship Id="rId15" Type="http://schemas.openxmlformats.org/officeDocument/2006/relationships/printerSettings" Target="../printerSettings/printerSettings90.bin"/><Relationship Id="rId10" Type="http://schemas.openxmlformats.org/officeDocument/2006/relationships/printerSettings" Target="../printerSettings/printerSettings85.bin"/><Relationship Id="rId4" Type="http://schemas.openxmlformats.org/officeDocument/2006/relationships/printerSettings" Target="../printerSettings/printerSettings79.bin"/><Relationship Id="rId9" Type="http://schemas.openxmlformats.org/officeDocument/2006/relationships/printerSettings" Target="../printerSettings/printerSettings84.bin"/><Relationship Id="rId14" Type="http://schemas.openxmlformats.org/officeDocument/2006/relationships/printerSettings" Target="../printerSettings/printerSettings89.bin"/></Relationships>
</file>

<file path=xl/worksheets/_rels/sheet70.xml.rels><?xml version="1.0" encoding="UTF-8" standalone="yes"?>
<Relationships xmlns="http://schemas.openxmlformats.org/package/2006/relationships"><Relationship Id="rId8" Type="http://schemas.openxmlformats.org/officeDocument/2006/relationships/printerSettings" Target="../printerSettings/printerSettings1023.bin"/><Relationship Id="rId13" Type="http://schemas.openxmlformats.org/officeDocument/2006/relationships/printerSettings" Target="../printerSettings/printerSettings1028.bin"/><Relationship Id="rId3" Type="http://schemas.openxmlformats.org/officeDocument/2006/relationships/printerSettings" Target="../printerSettings/printerSettings1018.bin"/><Relationship Id="rId7" Type="http://schemas.openxmlformats.org/officeDocument/2006/relationships/printerSettings" Target="../printerSettings/printerSettings1022.bin"/><Relationship Id="rId12" Type="http://schemas.openxmlformats.org/officeDocument/2006/relationships/printerSettings" Target="../printerSettings/printerSettings1027.bin"/><Relationship Id="rId2" Type="http://schemas.openxmlformats.org/officeDocument/2006/relationships/printerSettings" Target="../printerSettings/printerSettings1017.bin"/><Relationship Id="rId16" Type="http://schemas.openxmlformats.org/officeDocument/2006/relationships/customProperty" Target="../customProperty70.bin"/><Relationship Id="rId1" Type="http://schemas.openxmlformats.org/officeDocument/2006/relationships/printerSettings" Target="../printerSettings/printerSettings1016.bin"/><Relationship Id="rId6" Type="http://schemas.openxmlformats.org/officeDocument/2006/relationships/printerSettings" Target="../printerSettings/printerSettings1021.bin"/><Relationship Id="rId11" Type="http://schemas.openxmlformats.org/officeDocument/2006/relationships/printerSettings" Target="../printerSettings/printerSettings1026.bin"/><Relationship Id="rId5" Type="http://schemas.openxmlformats.org/officeDocument/2006/relationships/printerSettings" Target="../printerSettings/printerSettings1020.bin"/><Relationship Id="rId15" Type="http://schemas.openxmlformats.org/officeDocument/2006/relationships/printerSettings" Target="../printerSettings/printerSettings1030.bin"/><Relationship Id="rId10" Type="http://schemas.openxmlformats.org/officeDocument/2006/relationships/printerSettings" Target="../printerSettings/printerSettings1025.bin"/><Relationship Id="rId4" Type="http://schemas.openxmlformats.org/officeDocument/2006/relationships/printerSettings" Target="../printerSettings/printerSettings1019.bin"/><Relationship Id="rId9" Type="http://schemas.openxmlformats.org/officeDocument/2006/relationships/printerSettings" Target="../printerSettings/printerSettings1024.bin"/><Relationship Id="rId14" Type="http://schemas.openxmlformats.org/officeDocument/2006/relationships/printerSettings" Target="../printerSettings/printerSettings1029.bin"/></Relationships>
</file>

<file path=xl/worksheets/_rels/sheet71.xml.rels><?xml version="1.0" encoding="UTF-8" standalone="yes"?>
<Relationships xmlns="http://schemas.openxmlformats.org/package/2006/relationships"><Relationship Id="rId8" Type="http://schemas.openxmlformats.org/officeDocument/2006/relationships/printerSettings" Target="../printerSettings/printerSettings1038.bin"/><Relationship Id="rId13" Type="http://schemas.openxmlformats.org/officeDocument/2006/relationships/printerSettings" Target="../printerSettings/printerSettings1043.bin"/><Relationship Id="rId3" Type="http://schemas.openxmlformats.org/officeDocument/2006/relationships/printerSettings" Target="../printerSettings/printerSettings1033.bin"/><Relationship Id="rId7" Type="http://schemas.openxmlformats.org/officeDocument/2006/relationships/printerSettings" Target="../printerSettings/printerSettings1037.bin"/><Relationship Id="rId12" Type="http://schemas.openxmlformats.org/officeDocument/2006/relationships/printerSettings" Target="../printerSettings/printerSettings1042.bin"/><Relationship Id="rId2" Type="http://schemas.openxmlformats.org/officeDocument/2006/relationships/printerSettings" Target="../printerSettings/printerSettings1032.bin"/><Relationship Id="rId16" Type="http://schemas.openxmlformats.org/officeDocument/2006/relationships/customProperty" Target="../customProperty71.bin"/><Relationship Id="rId1" Type="http://schemas.openxmlformats.org/officeDocument/2006/relationships/printerSettings" Target="../printerSettings/printerSettings1031.bin"/><Relationship Id="rId6" Type="http://schemas.openxmlformats.org/officeDocument/2006/relationships/printerSettings" Target="../printerSettings/printerSettings1036.bin"/><Relationship Id="rId11" Type="http://schemas.openxmlformats.org/officeDocument/2006/relationships/printerSettings" Target="../printerSettings/printerSettings1041.bin"/><Relationship Id="rId5" Type="http://schemas.openxmlformats.org/officeDocument/2006/relationships/printerSettings" Target="../printerSettings/printerSettings1035.bin"/><Relationship Id="rId15" Type="http://schemas.openxmlformats.org/officeDocument/2006/relationships/printerSettings" Target="../printerSettings/printerSettings1045.bin"/><Relationship Id="rId10" Type="http://schemas.openxmlformats.org/officeDocument/2006/relationships/printerSettings" Target="../printerSettings/printerSettings1040.bin"/><Relationship Id="rId4" Type="http://schemas.openxmlformats.org/officeDocument/2006/relationships/printerSettings" Target="../printerSettings/printerSettings1034.bin"/><Relationship Id="rId9" Type="http://schemas.openxmlformats.org/officeDocument/2006/relationships/printerSettings" Target="../printerSettings/printerSettings1039.bin"/><Relationship Id="rId14" Type="http://schemas.openxmlformats.org/officeDocument/2006/relationships/printerSettings" Target="../printerSettings/printerSettings1044.bin"/></Relationships>
</file>

<file path=xl/worksheets/_rels/sheet72.xml.rels><?xml version="1.0" encoding="UTF-8" standalone="yes"?>
<Relationships xmlns="http://schemas.openxmlformats.org/package/2006/relationships"><Relationship Id="rId8" Type="http://schemas.openxmlformats.org/officeDocument/2006/relationships/printerSettings" Target="../printerSettings/printerSettings1053.bin"/><Relationship Id="rId13" Type="http://schemas.openxmlformats.org/officeDocument/2006/relationships/printerSettings" Target="../printerSettings/printerSettings1058.bin"/><Relationship Id="rId3" Type="http://schemas.openxmlformats.org/officeDocument/2006/relationships/printerSettings" Target="../printerSettings/printerSettings1048.bin"/><Relationship Id="rId7" Type="http://schemas.openxmlformats.org/officeDocument/2006/relationships/printerSettings" Target="../printerSettings/printerSettings1052.bin"/><Relationship Id="rId12" Type="http://schemas.openxmlformats.org/officeDocument/2006/relationships/printerSettings" Target="../printerSettings/printerSettings1057.bin"/><Relationship Id="rId2" Type="http://schemas.openxmlformats.org/officeDocument/2006/relationships/printerSettings" Target="../printerSettings/printerSettings1047.bin"/><Relationship Id="rId16" Type="http://schemas.openxmlformats.org/officeDocument/2006/relationships/customProperty" Target="../customProperty72.bin"/><Relationship Id="rId1" Type="http://schemas.openxmlformats.org/officeDocument/2006/relationships/printerSettings" Target="../printerSettings/printerSettings1046.bin"/><Relationship Id="rId6" Type="http://schemas.openxmlformats.org/officeDocument/2006/relationships/printerSettings" Target="../printerSettings/printerSettings1051.bin"/><Relationship Id="rId11" Type="http://schemas.openxmlformats.org/officeDocument/2006/relationships/printerSettings" Target="../printerSettings/printerSettings1056.bin"/><Relationship Id="rId5" Type="http://schemas.openxmlformats.org/officeDocument/2006/relationships/printerSettings" Target="../printerSettings/printerSettings1050.bin"/><Relationship Id="rId15" Type="http://schemas.openxmlformats.org/officeDocument/2006/relationships/printerSettings" Target="../printerSettings/printerSettings1060.bin"/><Relationship Id="rId10" Type="http://schemas.openxmlformats.org/officeDocument/2006/relationships/printerSettings" Target="../printerSettings/printerSettings1055.bin"/><Relationship Id="rId4" Type="http://schemas.openxmlformats.org/officeDocument/2006/relationships/printerSettings" Target="../printerSettings/printerSettings1049.bin"/><Relationship Id="rId9" Type="http://schemas.openxmlformats.org/officeDocument/2006/relationships/printerSettings" Target="../printerSettings/printerSettings1054.bin"/><Relationship Id="rId14" Type="http://schemas.openxmlformats.org/officeDocument/2006/relationships/printerSettings" Target="../printerSettings/printerSettings1059.bin"/></Relationships>
</file>

<file path=xl/worksheets/_rels/sheet73.xml.rels><?xml version="1.0" encoding="UTF-8" standalone="yes"?>
<Relationships xmlns="http://schemas.openxmlformats.org/package/2006/relationships"><Relationship Id="rId8" Type="http://schemas.openxmlformats.org/officeDocument/2006/relationships/printerSettings" Target="../printerSettings/printerSettings1068.bin"/><Relationship Id="rId13" Type="http://schemas.openxmlformats.org/officeDocument/2006/relationships/printerSettings" Target="../printerSettings/printerSettings1073.bin"/><Relationship Id="rId3" Type="http://schemas.openxmlformats.org/officeDocument/2006/relationships/printerSettings" Target="../printerSettings/printerSettings1063.bin"/><Relationship Id="rId7" Type="http://schemas.openxmlformats.org/officeDocument/2006/relationships/printerSettings" Target="../printerSettings/printerSettings1067.bin"/><Relationship Id="rId12" Type="http://schemas.openxmlformats.org/officeDocument/2006/relationships/printerSettings" Target="../printerSettings/printerSettings1072.bin"/><Relationship Id="rId2" Type="http://schemas.openxmlformats.org/officeDocument/2006/relationships/printerSettings" Target="../printerSettings/printerSettings1062.bin"/><Relationship Id="rId16" Type="http://schemas.openxmlformats.org/officeDocument/2006/relationships/customProperty" Target="../customProperty73.bin"/><Relationship Id="rId1" Type="http://schemas.openxmlformats.org/officeDocument/2006/relationships/printerSettings" Target="../printerSettings/printerSettings1061.bin"/><Relationship Id="rId6" Type="http://schemas.openxmlformats.org/officeDocument/2006/relationships/printerSettings" Target="../printerSettings/printerSettings1066.bin"/><Relationship Id="rId11" Type="http://schemas.openxmlformats.org/officeDocument/2006/relationships/printerSettings" Target="../printerSettings/printerSettings1071.bin"/><Relationship Id="rId5" Type="http://schemas.openxmlformats.org/officeDocument/2006/relationships/printerSettings" Target="../printerSettings/printerSettings1065.bin"/><Relationship Id="rId15" Type="http://schemas.openxmlformats.org/officeDocument/2006/relationships/printerSettings" Target="../printerSettings/printerSettings1075.bin"/><Relationship Id="rId10" Type="http://schemas.openxmlformats.org/officeDocument/2006/relationships/printerSettings" Target="../printerSettings/printerSettings1070.bin"/><Relationship Id="rId4" Type="http://schemas.openxmlformats.org/officeDocument/2006/relationships/printerSettings" Target="../printerSettings/printerSettings1064.bin"/><Relationship Id="rId9" Type="http://schemas.openxmlformats.org/officeDocument/2006/relationships/printerSettings" Target="../printerSettings/printerSettings1069.bin"/><Relationship Id="rId14" Type="http://schemas.openxmlformats.org/officeDocument/2006/relationships/printerSettings" Target="../printerSettings/printerSettings1074.bin"/></Relationships>
</file>

<file path=xl/worksheets/_rels/sheet74.xml.rels><?xml version="1.0" encoding="UTF-8" standalone="yes"?>
<Relationships xmlns="http://schemas.openxmlformats.org/package/2006/relationships"><Relationship Id="rId8" Type="http://schemas.openxmlformats.org/officeDocument/2006/relationships/printerSettings" Target="../printerSettings/printerSettings1083.bin"/><Relationship Id="rId13" Type="http://schemas.openxmlformats.org/officeDocument/2006/relationships/printerSettings" Target="../printerSettings/printerSettings1088.bin"/><Relationship Id="rId3" Type="http://schemas.openxmlformats.org/officeDocument/2006/relationships/printerSettings" Target="../printerSettings/printerSettings1078.bin"/><Relationship Id="rId7" Type="http://schemas.openxmlformats.org/officeDocument/2006/relationships/printerSettings" Target="../printerSettings/printerSettings1082.bin"/><Relationship Id="rId12" Type="http://schemas.openxmlformats.org/officeDocument/2006/relationships/printerSettings" Target="../printerSettings/printerSettings1087.bin"/><Relationship Id="rId2" Type="http://schemas.openxmlformats.org/officeDocument/2006/relationships/printerSettings" Target="../printerSettings/printerSettings1077.bin"/><Relationship Id="rId16" Type="http://schemas.openxmlformats.org/officeDocument/2006/relationships/customProperty" Target="../customProperty74.bin"/><Relationship Id="rId1" Type="http://schemas.openxmlformats.org/officeDocument/2006/relationships/printerSettings" Target="../printerSettings/printerSettings1076.bin"/><Relationship Id="rId6" Type="http://schemas.openxmlformats.org/officeDocument/2006/relationships/printerSettings" Target="../printerSettings/printerSettings1081.bin"/><Relationship Id="rId11" Type="http://schemas.openxmlformats.org/officeDocument/2006/relationships/printerSettings" Target="../printerSettings/printerSettings1086.bin"/><Relationship Id="rId5" Type="http://schemas.openxmlformats.org/officeDocument/2006/relationships/printerSettings" Target="../printerSettings/printerSettings1080.bin"/><Relationship Id="rId15" Type="http://schemas.openxmlformats.org/officeDocument/2006/relationships/printerSettings" Target="../printerSettings/printerSettings1090.bin"/><Relationship Id="rId10" Type="http://schemas.openxmlformats.org/officeDocument/2006/relationships/printerSettings" Target="../printerSettings/printerSettings1085.bin"/><Relationship Id="rId4" Type="http://schemas.openxmlformats.org/officeDocument/2006/relationships/printerSettings" Target="../printerSettings/printerSettings1079.bin"/><Relationship Id="rId9" Type="http://schemas.openxmlformats.org/officeDocument/2006/relationships/printerSettings" Target="../printerSettings/printerSettings1084.bin"/><Relationship Id="rId14" Type="http://schemas.openxmlformats.org/officeDocument/2006/relationships/printerSettings" Target="../printerSettings/printerSettings1089.bin"/></Relationships>
</file>

<file path=xl/worksheets/_rels/sheet75.xml.rels><?xml version="1.0" encoding="UTF-8" standalone="yes"?>
<Relationships xmlns="http://schemas.openxmlformats.org/package/2006/relationships"><Relationship Id="rId8" Type="http://schemas.openxmlformats.org/officeDocument/2006/relationships/printerSettings" Target="../printerSettings/printerSettings1098.bin"/><Relationship Id="rId13" Type="http://schemas.openxmlformats.org/officeDocument/2006/relationships/printerSettings" Target="../printerSettings/printerSettings1103.bin"/><Relationship Id="rId3" Type="http://schemas.openxmlformats.org/officeDocument/2006/relationships/printerSettings" Target="../printerSettings/printerSettings1093.bin"/><Relationship Id="rId7" Type="http://schemas.openxmlformats.org/officeDocument/2006/relationships/printerSettings" Target="../printerSettings/printerSettings1097.bin"/><Relationship Id="rId12" Type="http://schemas.openxmlformats.org/officeDocument/2006/relationships/printerSettings" Target="../printerSettings/printerSettings1102.bin"/><Relationship Id="rId2" Type="http://schemas.openxmlformats.org/officeDocument/2006/relationships/printerSettings" Target="../printerSettings/printerSettings1092.bin"/><Relationship Id="rId16" Type="http://schemas.openxmlformats.org/officeDocument/2006/relationships/customProperty" Target="../customProperty75.bin"/><Relationship Id="rId1" Type="http://schemas.openxmlformats.org/officeDocument/2006/relationships/printerSettings" Target="../printerSettings/printerSettings1091.bin"/><Relationship Id="rId6" Type="http://schemas.openxmlformats.org/officeDocument/2006/relationships/printerSettings" Target="../printerSettings/printerSettings1096.bin"/><Relationship Id="rId11" Type="http://schemas.openxmlformats.org/officeDocument/2006/relationships/printerSettings" Target="../printerSettings/printerSettings1101.bin"/><Relationship Id="rId5" Type="http://schemas.openxmlformats.org/officeDocument/2006/relationships/printerSettings" Target="../printerSettings/printerSettings1095.bin"/><Relationship Id="rId15" Type="http://schemas.openxmlformats.org/officeDocument/2006/relationships/printerSettings" Target="../printerSettings/printerSettings1105.bin"/><Relationship Id="rId10" Type="http://schemas.openxmlformats.org/officeDocument/2006/relationships/printerSettings" Target="../printerSettings/printerSettings1100.bin"/><Relationship Id="rId4" Type="http://schemas.openxmlformats.org/officeDocument/2006/relationships/printerSettings" Target="../printerSettings/printerSettings1094.bin"/><Relationship Id="rId9" Type="http://schemas.openxmlformats.org/officeDocument/2006/relationships/printerSettings" Target="../printerSettings/printerSettings1099.bin"/><Relationship Id="rId14" Type="http://schemas.openxmlformats.org/officeDocument/2006/relationships/printerSettings" Target="../printerSettings/printerSettings1104.bin"/></Relationships>
</file>

<file path=xl/worksheets/_rels/sheet76.xml.rels><?xml version="1.0" encoding="UTF-8" standalone="yes"?>
<Relationships xmlns="http://schemas.openxmlformats.org/package/2006/relationships"><Relationship Id="rId8" Type="http://schemas.openxmlformats.org/officeDocument/2006/relationships/printerSettings" Target="../printerSettings/printerSettings1113.bin"/><Relationship Id="rId13" Type="http://schemas.openxmlformats.org/officeDocument/2006/relationships/customProperty" Target="../customProperty76.bin"/><Relationship Id="rId3" Type="http://schemas.openxmlformats.org/officeDocument/2006/relationships/printerSettings" Target="../printerSettings/printerSettings1108.bin"/><Relationship Id="rId7" Type="http://schemas.openxmlformats.org/officeDocument/2006/relationships/printerSettings" Target="../printerSettings/printerSettings1112.bin"/><Relationship Id="rId12" Type="http://schemas.openxmlformats.org/officeDocument/2006/relationships/printerSettings" Target="../printerSettings/printerSettings1117.bin"/><Relationship Id="rId2" Type="http://schemas.openxmlformats.org/officeDocument/2006/relationships/printerSettings" Target="../printerSettings/printerSettings1107.bin"/><Relationship Id="rId1" Type="http://schemas.openxmlformats.org/officeDocument/2006/relationships/printerSettings" Target="../printerSettings/printerSettings1106.bin"/><Relationship Id="rId6" Type="http://schemas.openxmlformats.org/officeDocument/2006/relationships/printerSettings" Target="../printerSettings/printerSettings1111.bin"/><Relationship Id="rId11" Type="http://schemas.openxmlformats.org/officeDocument/2006/relationships/printerSettings" Target="../printerSettings/printerSettings1116.bin"/><Relationship Id="rId5" Type="http://schemas.openxmlformats.org/officeDocument/2006/relationships/printerSettings" Target="../printerSettings/printerSettings1110.bin"/><Relationship Id="rId15" Type="http://schemas.openxmlformats.org/officeDocument/2006/relationships/comments" Target="../comments2.xml"/><Relationship Id="rId10" Type="http://schemas.openxmlformats.org/officeDocument/2006/relationships/printerSettings" Target="../printerSettings/printerSettings1115.bin"/><Relationship Id="rId4" Type="http://schemas.openxmlformats.org/officeDocument/2006/relationships/printerSettings" Target="../printerSettings/printerSettings1109.bin"/><Relationship Id="rId9" Type="http://schemas.openxmlformats.org/officeDocument/2006/relationships/printerSettings" Target="../printerSettings/printerSettings1114.bin"/><Relationship Id="rId14" Type="http://schemas.openxmlformats.org/officeDocument/2006/relationships/vmlDrawing" Target="../drawings/vmlDrawing3.vml"/></Relationships>
</file>

<file path=xl/worksheets/_rels/sheet77.xml.rels><?xml version="1.0" encoding="UTF-8" standalone="yes"?>
<Relationships xmlns="http://schemas.openxmlformats.org/package/2006/relationships"><Relationship Id="rId8" Type="http://schemas.openxmlformats.org/officeDocument/2006/relationships/printerSettings" Target="../printerSettings/printerSettings1125.bin"/><Relationship Id="rId13" Type="http://schemas.openxmlformats.org/officeDocument/2006/relationships/customProperty" Target="../customProperty77.bin"/><Relationship Id="rId3" Type="http://schemas.openxmlformats.org/officeDocument/2006/relationships/printerSettings" Target="../printerSettings/printerSettings1120.bin"/><Relationship Id="rId7" Type="http://schemas.openxmlformats.org/officeDocument/2006/relationships/printerSettings" Target="../printerSettings/printerSettings1124.bin"/><Relationship Id="rId12" Type="http://schemas.openxmlformats.org/officeDocument/2006/relationships/printerSettings" Target="../printerSettings/printerSettings1129.bin"/><Relationship Id="rId2" Type="http://schemas.openxmlformats.org/officeDocument/2006/relationships/printerSettings" Target="../printerSettings/printerSettings1119.bin"/><Relationship Id="rId1" Type="http://schemas.openxmlformats.org/officeDocument/2006/relationships/printerSettings" Target="../printerSettings/printerSettings1118.bin"/><Relationship Id="rId6" Type="http://schemas.openxmlformats.org/officeDocument/2006/relationships/printerSettings" Target="../printerSettings/printerSettings1123.bin"/><Relationship Id="rId11" Type="http://schemas.openxmlformats.org/officeDocument/2006/relationships/printerSettings" Target="../printerSettings/printerSettings1128.bin"/><Relationship Id="rId5" Type="http://schemas.openxmlformats.org/officeDocument/2006/relationships/printerSettings" Target="../printerSettings/printerSettings1122.bin"/><Relationship Id="rId10" Type="http://schemas.openxmlformats.org/officeDocument/2006/relationships/printerSettings" Target="../printerSettings/printerSettings1127.bin"/><Relationship Id="rId4" Type="http://schemas.openxmlformats.org/officeDocument/2006/relationships/printerSettings" Target="../printerSettings/printerSettings1121.bin"/><Relationship Id="rId9" Type="http://schemas.openxmlformats.org/officeDocument/2006/relationships/printerSettings" Target="../printerSettings/printerSettings1126.bin"/></Relationships>
</file>

<file path=xl/worksheets/_rels/sheet78.xml.rels><?xml version="1.0" encoding="UTF-8" standalone="yes"?>
<Relationships xmlns="http://schemas.openxmlformats.org/package/2006/relationships"><Relationship Id="rId8" Type="http://schemas.openxmlformats.org/officeDocument/2006/relationships/printerSettings" Target="../printerSettings/printerSettings1137.bin"/><Relationship Id="rId13" Type="http://schemas.openxmlformats.org/officeDocument/2006/relationships/printerSettings" Target="../printerSettings/printerSettings1142.bin"/><Relationship Id="rId3" Type="http://schemas.openxmlformats.org/officeDocument/2006/relationships/printerSettings" Target="../printerSettings/printerSettings1132.bin"/><Relationship Id="rId7" Type="http://schemas.openxmlformats.org/officeDocument/2006/relationships/printerSettings" Target="../printerSettings/printerSettings1136.bin"/><Relationship Id="rId12" Type="http://schemas.openxmlformats.org/officeDocument/2006/relationships/printerSettings" Target="../printerSettings/printerSettings1141.bin"/><Relationship Id="rId2" Type="http://schemas.openxmlformats.org/officeDocument/2006/relationships/printerSettings" Target="../printerSettings/printerSettings1131.bin"/><Relationship Id="rId16" Type="http://schemas.openxmlformats.org/officeDocument/2006/relationships/customProperty" Target="../customProperty78.bin"/><Relationship Id="rId1" Type="http://schemas.openxmlformats.org/officeDocument/2006/relationships/printerSettings" Target="../printerSettings/printerSettings1130.bin"/><Relationship Id="rId6" Type="http://schemas.openxmlformats.org/officeDocument/2006/relationships/printerSettings" Target="../printerSettings/printerSettings1135.bin"/><Relationship Id="rId11" Type="http://schemas.openxmlformats.org/officeDocument/2006/relationships/printerSettings" Target="../printerSettings/printerSettings1140.bin"/><Relationship Id="rId5" Type="http://schemas.openxmlformats.org/officeDocument/2006/relationships/printerSettings" Target="../printerSettings/printerSettings1134.bin"/><Relationship Id="rId15" Type="http://schemas.openxmlformats.org/officeDocument/2006/relationships/printerSettings" Target="../printerSettings/printerSettings1144.bin"/><Relationship Id="rId10" Type="http://schemas.openxmlformats.org/officeDocument/2006/relationships/printerSettings" Target="../printerSettings/printerSettings1139.bin"/><Relationship Id="rId4" Type="http://schemas.openxmlformats.org/officeDocument/2006/relationships/printerSettings" Target="../printerSettings/printerSettings1133.bin"/><Relationship Id="rId9" Type="http://schemas.openxmlformats.org/officeDocument/2006/relationships/printerSettings" Target="../printerSettings/printerSettings1138.bin"/><Relationship Id="rId14" Type="http://schemas.openxmlformats.org/officeDocument/2006/relationships/printerSettings" Target="../printerSettings/printerSettings1143.bin"/></Relationships>
</file>

<file path=xl/worksheets/_rels/sheet79.xml.rels><?xml version="1.0" encoding="UTF-8" standalone="yes"?>
<Relationships xmlns="http://schemas.openxmlformats.org/package/2006/relationships"><Relationship Id="rId8" Type="http://schemas.openxmlformats.org/officeDocument/2006/relationships/printerSettings" Target="../printerSettings/printerSettings1152.bin"/><Relationship Id="rId13" Type="http://schemas.openxmlformats.org/officeDocument/2006/relationships/printerSettings" Target="../printerSettings/printerSettings1157.bin"/><Relationship Id="rId3" Type="http://schemas.openxmlformats.org/officeDocument/2006/relationships/printerSettings" Target="../printerSettings/printerSettings1147.bin"/><Relationship Id="rId7" Type="http://schemas.openxmlformats.org/officeDocument/2006/relationships/printerSettings" Target="../printerSettings/printerSettings1151.bin"/><Relationship Id="rId12" Type="http://schemas.openxmlformats.org/officeDocument/2006/relationships/printerSettings" Target="../printerSettings/printerSettings1156.bin"/><Relationship Id="rId2" Type="http://schemas.openxmlformats.org/officeDocument/2006/relationships/printerSettings" Target="../printerSettings/printerSettings1146.bin"/><Relationship Id="rId16" Type="http://schemas.openxmlformats.org/officeDocument/2006/relationships/customProperty" Target="../customProperty79.bin"/><Relationship Id="rId1" Type="http://schemas.openxmlformats.org/officeDocument/2006/relationships/printerSettings" Target="../printerSettings/printerSettings1145.bin"/><Relationship Id="rId6" Type="http://schemas.openxmlformats.org/officeDocument/2006/relationships/printerSettings" Target="../printerSettings/printerSettings1150.bin"/><Relationship Id="rId11" Type="http://schemas.openxmlformats.org/officeDocument/2006/relationships/printerSettings" Target="../printerSettings/printerSettings1155.bin"/><Relationship Id="rId5" Type="http://schemas.openxmlformats.org/officeDocument/2006/relationships/printerSettings" Target="../printerSettings/printerSettings1149.bin"/><Relationship Id="rId15" Type="http://schemas.openxmlformats.org/officeDocument/2006/relationships/printerSettings" Target="../printerSettings/printerSettings1159.bin"/><Relationship Id="rId10" Type="http://schemas.openxmlformats.org/officeDocument/2006/relationships/printerSettings" Target="../printerSettings/printerSettings1154.bin"/><Relationship Id="rId4" Type="http://schemas.openxmlformats.org/officeDocument/2006/relationships/printerSettings" Target="../printerSettings/printerSettings1148.bin"/><Relationship Id="rId9" Type="http://schemas.openxmlformats.org/officeDocument/2006/relationships/printerSettings" Target="../printerSettings/printerSettings1153.bin"/><Relationship Id="rId14" Type="http://schemas.openxmlformats.org/officeDocument/2006/relationships/printerSettings" Target="../printerSettings/printerSettings1158.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98.bin"/><Relationship Id="rId13" Type="http://schemas.openxmlformats.org/officeDocument/2006/relationships/printerSettings" Target="../printerSettings/printerSettings103.bin"/><Relationship Id="rId3" Type="http://schemas.openxmlformats.org/officeDocument/2006/relationships/printerSettings" Target="../printerSettings/printerSettings93.bin"/><Relationship Id="rId7" Type="http://schemas.openxmlformats.org/officeDocument/2006/relationships/printerSettings" Target="../printerSettings/printerSettings97.bin"/><Relationship Id="rId12" Type="http://schemas.openxmlformats.org/officeDocument/2006/relationships/printerSettings" Target="../printerSettings/printerSettings102.bin"/><Relationship Id="rId2" Type="http://schemas.openxmlformats.org/officeDocument/2006/relationships/printerSettings" Target="../printerSettings/printerSettings92.bin"/><Relationship Id="rId16" Type="http://schemas.openxmlformats.org/officeDocument/2006/relationships/customProperty" Target="../customProperty8.bin"/><Relationship Id="rId1" Type="http://schemas.openxmlformats.org/officeDocument/2006/relationships/printerSettings" Target="../printerSettings/printerSettings91.bin"/><Relationship Id="rId6" Type="http://schemas.openxmlformats.org/officeDocument/2006/relationships/printerSettings" Target="../printerSettings/printerSettings96.bin"/><Relationship Id="rId11" Type="http://schemas.openxmlformats.org/officeDocument/2006/relationships/printerSettings" Target="../printerSettings/printerSettings101.bin"/><Relationship Id="rId5" Type="http://schemas.openxmlformats.org/officeDocument/2006/relationships/printerSettings" Target="../printerSettings/printerSettings95.bin"/><Relationship Id="rId15" Type="http://schemas.openxmlformats.org/officeDocument/2006/relationships/printerSettings" Target="../printerSettings/printerSettings105.bin"/><Relationship Id="rId10" Type="http://schemas.openxmlformats.org/officeDocument/2006/relationships/printerSettings" Target="../printerSettings/printerSettings100.bin"/><Relationship Id="rId4" Type="http://schemas.openxmlformats.org/officeDocument/2006/relationships/printerSettings" Target="../printerSettings/printerSettings94.bin"/><Relationship Id="rId9" Type="http://schemas.openxmlformats.org/officeDocument/2006/relationships/printerSettings" Target="../printerSettings/printerSettings99.bin"/><Relationship Id="rId14" Type="http://schemas.openxmlformats.org/officeDocument/2006/relationships/printerSettings" Target="../printerSettings/printerSettings104.bin"/></Relationships>
</file>

<file path=xl/worksheets/_rels/sheet80.xml.rels><?xml version="1.0" encoding="UTF-8" standalone="yes"?>
<Relationships xmlns="http://schemas.openxmlformats.org/package/2006/relationships"><Relationship Id="rId8" Type="http://schemas.openxmlformats.org/officeDocument/2006/relationships/printerSettings" Target="../printerSettings/printerSettings1167.bin"/><Relationship Id="rId13" Type="http://schemas.openxmlformats.org/officeDocument/2006/relationships/printerSettings" Target="../printerSettings/printerSettings1172.bin"/><Relationship Id="rId3" Type="http://schemas.openxmlformats.org/officeDocument/2006/relationships/printerSettings" Target="../printerSettings/printerSettings1162.bin"/><Relationship Id="rId7" Type="http://schemas.openxmlformats.org/officeDocument/2006/relationships/printerSettings" Target="../printerSettings/printerSettings1166.bin"/><Relationship Id="rId12" Type="http://schemas.openxmlformats.org/officeDocument/2006/relationships/printerSettings" Target="../printerSettings/printerSettings1171.bin"/><Relationship Id="rId2" Type="http://schemas.openxmlformats.org/officeDocument/2006/relationships/printerSettings" Target="../printerSettings/printerSettings1161.bin"/><Relationship Id="rId16" Type="http://schemas.openxmlformats.org/officeDocument/2006/relationships/customProperty" Target="../customProperty80.bin"/><Relationship Id="rId1" Type="http://schemas.openxmlformats.org/officeDocument/2006/relationships/printerSettings" Target="../printerSettings/printerSettings1160.bin"/><Relationship Id="rId6" Type="http://schemas.openxmlformats.org/officeDocument/2006/relationships/printerSettings" Target="../printerSettings/printerSettings1165.bin"/><Relationship Id="rId11" Type="http://schemas.openxmlformats.org/officeDocument/2006/relationships/printerSettings" Target="../printerSettings/printerSettings1170.bin"/><Relationship Id="rId5" Type="http://schemas.openxmlformats.org/officeDocument/2006/relationships/printerSettings" Target="../printerSettings/printerSettings1164.bin"/><Relationship Id="rId15" Type="http://schemas.openxmlformats.org/officeDocument/2006/relationships/printerSettings" Target="../printerSettings/printerSettings1174.bin"/><Relationship Id="rId10" Type="http://schemas.openxmlformats.org/officeDocument/2006/relationships/printerSettings" Target="../printerSettings/printerSettings1169.bin"/><Relationship Id="rId4" Type="http://schemas.openxmlformats.org/officeDocument/2006/relationships/printerSettings" Target="../printerSettings/printerSettings1163.bin"/><Relationship Id="rId9" Type="http://schemas.openxmlformats.org/officeDocument/2006/relationships/printerSettings" Target="../printerSettings/printerSettings1168.bin"/><Relationship Id="rId14" Type="http://schemas.openxmlformats.org/officeDocument/2006/relationships/printerSettings" Target="../printerSettings/printerSettings1173.bin"/></Relationships>
</file>

<file path=xl/worksheets/_rels/sheet81.xml.rels><?xml version="1.0" encoding="UTF-8" standalone="yes"?>
<Relationships xmlns="http://schemas.openxmlformats.org/package/2006/relationships"><Relationship Id="rId8" Type="http://schemas.openxmlformats.org/officeDocument/2006/relationships/printerSettings" Target="../printerSettings/printerSettings1182.bin"/><Relationship Id="rId13" Type="http://schemas.openxmlformats.org/officeDocument/2006/relationships/printerSettings" Target="../printerSettings/printerSettings1187.bin"/><Relationship Id="rId3" Type="http://schemas.openxmlformats.org/officeDocument/2006/relationships/printerSettings" Target="../printerSettings/printerSettings1177.bin"/><Relationship Id="rId7" Type="http://schemas.openxmlformats.org/officeDocument/2006/relationships/printerSettings" Target="../printerSettings/printerSettings1181.bin"/><Relationship Id="rId12" Type="http://schemas.openxmlformats.org/officeDocument/2006/relationships/printerSettings" Target="../printerSettings/printerSettings1186.bin"/><Relationship Id="rId2" Type="http://schemas.openxmlformats.org/officeDocument/2006/relationships/printerSettings" Target="../printerSettings/printerSettings1176.bin"/><Relationship Id="rId16" Type="http://schemas.openxmlformats.org/officeDocument/2006/relationships/customProperty" Target="../customProperty81.bin"/><Relationship Id="rId1" Type="http://schemas.openxmlformats.org/officeDocument/2006/relationships/printerSettings" Target="../printerSettings/printerSettings1175.bin"/><Relationship Id="rId6" Type="http://schemas.openxmlformats.org/officeDocument/2006/relationships/printerSettings" Target="../printerSettings/printerSettings1180.bin"/><Relationship Id="rId11" Type="http://schemas.openxmlformats.org/officeDocument/2006/relationships/printerSettings" Target="../printerSettings/printerSettings1185.bin"/><Relationship Id="rId5" Type="http://schemas.openxmlformats.org/officeDocument/2006/relationships/printerSettings" Target="../printerSettings/printerSettings1179.bin"/><Relationship Id="rId15" Type="http://schemas.openxmlformats.org/officeDocument/2006/relationships/printerSettings" Target="../printerSettings/printerSettings1189.bin"/><Relationship Id="rId10" Type="http://schemas.openxmlformats.org/officeDocument/2006/relationships/printerSettings" Target="../printerSettings/printerSettings1184.bin"/><Relationship Id="rId4" Type="http://schemas.openxmlformats.org/officeDocument/2006/relationships/printerSettings" Target="../printerSettings/printerSettings1178.bin"/><Relationship Id="rId9" Type="http://schemas.openxmlformats.org/officeDocument/2006/relationships/printerSettings" Target="../printerSettings/printerSettings1183.bin"/><Relationship Id="rId14" Type="http://schemas.openxmlformats.org/officeDocument/2006/relationships/printerSettings" Target="../printerSettings/printerSettings1188.bin"/></Relationships>
</file>

<file path=xl/worksheets/_rels/sheet82.xml.rels><?xml version="1.0" encoding="UTF-8" standalone="yes"?>
<Relationships xmlns="http://schemas.openxmlformats.org/package/2006/relationships"><Relationship Id="rId8" Type="http://schemas.openxmlformats.org/officeDocument/2006/relationships/printerSettings" Target="../printerSettings/printerSettings1197.bin"/><Relationship Id="rId13" Type="http://schemas.openxmlformats.org/officeDocument/2006/relationships/printerSettings" Target="../printerSettings/printerSettings1202.bin"/><Relationship Id="rId3" Type="http://schemas.openxmlformats.org/officeDocument/2006/relationships/printerSettings" Target="../printerSettings/printerSettings1192.bin"/><Relationship Id="rId7" Type="http://schemas.openxmlformats.org/officeDocument/2006/relationships/printerSettings" Target="../printerSettings/printerSettings1196.bin"/><Relationship Id="rId12" Type="http://schemas.openxmlformats.org/officeDocument/2006/relationships/printerSettings" Target="../printerSettings/printerSettings1201.bin"/><Relationship Id="rId2" Type="http://schemas.openxmlformats.org/officeDocument/2006/relationships/printerSettings" Target="../printerSettings/printerSettings1191.bin"/><Relationship Id="rId16" Type="http://schemas.openxmlformats.org/officeDocument/2006/relationships/customProperty" Target="../customProperty82.bin"/><Relationship Id="rId1" Type="http://schemas.openxmlformats.org/officeDocument/2006/relationships/printerSettings" Target="../printerSettings/printerSettings1190.bin"/><Relationship Id="rId6" Type="http://schemas.openxmlformats.org/officeDocument/2006/relationships/printerSettings" Target="../printerSettings/printerSettings1195.bin"/><Relationship Id="rId11" Type="http://schemas.openxmlformats.org/officeDocument/2006/relationships/printerSettings" Target="../printerSettings/printerSettings1200.bin"/><Relationship Id="rId5" Type="http://schemas.openxmlformats.org/officeDocument/2006/relationships/printerSettings" Target="../printerSettings/printerSettings1194.bin"/><Relationship Id="rId15" Type="http://schemas.openxmlformats.org/officeDocument/2006/relationships/printerSettings" Target="../printerSettings/printerSettings1204.bin"/><Relationship Id="rId10" Type="http://schemas.openxmlformats.org/officeDocument/2006/relationships/printerSettings" Target="../printerSettings/printerSettings1199.bin"/><Relationship Id="rId4" Type="http://schemas.openxmlformats.org/officeDocument/2006/relationships/printerSettings" Target="../printerSettings/printerSettings1193.bin"/><Relationship Id="rId9" Type="http://schemas.openxmlformats.org/officeDocument/2006/relationships/printerSettings" Target="../printerSettings/printerSettings1198.bin"/><Relationship Id="rId14" Type="http://schemas.openxmlformats.org/officeDocument/2006/relationships/printerSettings" Target="../printerSettings/printerSettings1203.bin"/></Relationships>
</file>

<file path=xl/worksheets/_rels/sheet83.xml.rels><?xml version="1.0" encoding="UTF-8" standalone="yes"?>
<Relationships xmlns="http://schemas.openxmlformats.org/package/2006/relationships"><Relationship Id="rId8" Type="http://schemas.openxmlformats.org/officeDocument/2006/relationships/printerSettings" Target="../printerSettings/printerSettings1212.bin"/><Relationship Id="rId13" Type="http://schemas.openxmlformats.org/officeDocument/2006/relationships/customProperty" Target="../customProperty83.bin"/><Relationship Id="rId3" Type="http://schemas.openxmlformats.org/officeDocument/2006/relationships/printerSettings" Target="../printerSettings/printerSettings1207.bin"/><Relationship Id="rId7" Type="http://schemas.openxmlformats.org/officeDocument/2006/relationships/printerSettings" Target="../printerSettings/printerSettings1211.bin"/><Relationship Id="rId12" Type="http://schemas.openxmlformats.org/officeDocument/2006/relationships/printerSettings" Target="../printerSettings/printerSettings1216.bin"/><Relationship Id="rId2" Type="http://schemas.openxmlformats.org/officeDocument/2006/relationships/printerSettings" Target="../printerSettings/printerSettings1206.bin"/><Relationship Id="rId1" Type="http://schemas.openxmlformats.org/officeDocument/2006/relationships/printerSettings" Target="../printerSettings/printerSettings1205.bin"/><Relationship Id="rId6" Type="http://schemas.openxmlformats.org/officeDocument/2006/relationships/printerSettings" Target="../printerSettings/printerSettings1210.bin"/><Relationship Id="rId11" Type="http://schemas.openxmlformats.org/officeDocument/2006/relationships/printerSettings" Target="../printerSettings/printerSettings1215.bin"/><Relationship Id="rId5" Type="http://schemas.openxmlformats.org/officeDocument/2006/relationships/printerSettings" Target="../printerSettings/printerSettings1209.bin"/><Relationship Id="rId10" Type="http://schemas.openxmlformats.org/officeDocument/2006/relationships/printerSettings" Target="../printerSettings/printerSettings1214.bin"/><Relationship Id="rId4" Type="http://schemas.openxmlformats.org/officeDocument/2006/relationships/printerSettings" Target="../printerSettings/printerSettings1208.bin"/><Relationship Id="rId9" Type="http://schemas.openxmlformats.org/officeDocument/2006/relationships/printerSettings" Target="../printerSettings/printerSettings1213.bin"/></Relationships>
</file>

<file path=xl/worksheets/_rels/sheet84.xml.rels><?xml version="1.0" encoding="UTF-8" standalone="yes"?>
<Relationships xmlns="http://schemas.openxmlformats.org/package/2006/relationships"><Relationship Id="rId8" Type="http://schemas.openxmlformats.org/officeDocument/2006/relationships/printerSettings" Target="../printerSettings/printerSettings1224.bin"/><Relationship Id="rId13" Type="http://schemas.openxmlformats.org/officeDocument/2006/relationships/printerSettings" Target="../printerSettings/printerSettings1229.bin"/><Relationship Id="rId3" Type="http://schemas.openxmlformats.org/officeDocument/2006/relationships/printerSettings" Target="../printerSettings/printerSettings1219.bin"/><Relationship Id="rId7" Type="http://schemas.openxmlformats.org/officeDocument/2006/relationships/printerSettings" Target="../printerSettings/printerSettings1223.bin"/><Relationship Id="rId12" Type="http://schemas.openxmlformats.org/officeDocument/2006/relationships/printerSettings" Target="../printerSettings/printerSettings1228.bin"/><Relationship Id="rId2" Type="http://schemas.openxmlformats.org/officeDocument/2006/relationships/printerSettings" Target="../printerSettings/printerSettings1218.bin"/><Relationship Id="rId16" Type="http://schemas.openxmlformats.org/officeDocument/2006/relationships/customProperty" Target="../customProperty84.bin"/><Relationship Id="rId1" Type="http://schemas.openxmlformats.org/officeDocument/2006/relationships/printerSettings" Target="../printerSettings/printerSettings1217.bin"/><Relationship Id="rId6" Type="http://schemas.openxmlformats.org/officeDocument/2006/relationships/printerSettings" Target="../printerSettings/printerSettings1222.bin"/><Relationship Id="rId11" Type="http://schemas.openxmlformats.org/officeDocument/2006/relationships/printerSettings" Target="../printerSettings/printerSettings1227.bin"/><Relationship Id="rId5" Type="http://schemas.openxmlformats.org/officeDocument/2006/relationships/printerSettings" Target="../printerSettings/printerSettings1221.bin"/><Relationship Id="rId15" Type="http://schemas.openxmlformats.org/officeDocument/2006/relationships/printerSettings" Target="../printerSettings/printerSettings1231.bin"/><Relationship Id="rId10" Type="http://schemas.openxmlformats.org/officeDocument/2006/relationships/printerSettings" Target="../printerSettings/printerSettings1226.bin"/><Relationship Id="rId4" Type="http://schemas.openxmlformats.org/officeDocument/2006/relationships/printerSettings" Target="../printerSettings/printerSettings1220.bin"/><Relationship Id="rId9" Type="http://schemas.openxmlformats.org/officeDocument/2006/relationships/printerSettings" Target="../printerSettings/printerSettings1225.bin"/><Relationship Id="rId14" Type="http://schemas.openxmlformats.org/officeDocument/2006/relationships/printerSettings" Target="../printerSettings/printerSettings1230.bin"/></Relationships>
</file>

<file path=xl/worksheets/_rels/sheet85.xml.rels><?xml version="1.0" encoding="UTF-8" standalone="yes"?>
<Relationships xmlns="http://schemas.openxmlformats.org/package/2006/relationships"><Relationship Id="rId8" Type="http://schemas.openxmlformats.org/officeDocument/2006/relationships/printerSettings" Target="../printerSettings/printerSettings1239.bin"/><Relationship Id="rId13" Type="http://schemas.openxmlformats.org/officeDocument/2006/relationships/printerSettings" Target="../printerSettings/printerSettings1244.bin"/><Relationship Id="rId3" Type="http://schemas.openxmlformats.org/officeDocument/2006/relationships/printerSettings" Target="../printerSettings/printerSettings1234.bin"/><Relationship Id="rId7" Type="http://schemas.openxmlformats.org/officeDocument/2006/relationships/printerSettings" Target="../printerSettings/printerSettings1238.bin"/><Relationship Id="rId12" Type="http://schemas.openxmlformats.org/officeDocument/2006/relationships/printerSettings" Target="../printerSettings/printerSettings1243.bin"/><Relationship Id="rId2" Type="http://schemas.openxmlformats.org/officeDocument/2006/relationships/printerSettings" Target="../printerSettings/printerSettings1233.bin"/><Relationship Id="rId16" Type="http://schemas.openxmlformats.org/officeDocument/2006/relationships/customProperty" Target="../customProperty85.bin"/><Relationship Id="rId1" Type="http://schemas.openxmlformats.org/officeDocument/2006/relationships/printerSettings" Target="../printerSettings/printerSettings1232.bin"/><Relationship Id="rId6" Type="http://schemas.openxmlformats.org/officeDocument/2006/relationships/printerSettings" Target="../printerSettings/printerSettings1237.bin"/><Relationship Id="rId11" Type="http://schemas.openxmlformats.org/officeDocument/2006/relationships/printerSettings" Target="../printerSettings/printerSettings1242.bin"/><Relationship Id="rId5" Type="http://schemas.openxmlformats.org/officeDocument/2006/relationships/printerSettings" Target="../printerSettings/printerSettings1236.bin"/><Relationship Id="rId15" Type="http://schemas.openxmlformats.org/officeDocument/2006/relationships/printerSettings" Target="../printerSettings/printerSettings1246.bin"/><Relationship Id="rId10" Type="http://schemas.openxmlformats.org/officeDocument/2006/relationships/printerSettings" Target="../printerSettings/printerSettings1241.bin"/><Relationship Id="rId4" Type="http://schemas.openxmlformats.org/officeDocument/2006/relationships/printerSettings" Target="../printerSettings/printerSettings1235.bin"/><Relationship Id="rId9" Type="http://schemas.openxmlformats.org/officeDocument/2006/relationships/printerSettings" Target="../printerSettings/printerSettings1240.bin"/><Relationship Id="rId14" Type="http://schemas.openxmlformats.org/officeDocument/2006/relationships/printerSettings" Target="../printerSettings/printerSettings1245.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13.bin"/><Relationship Id="rId13" Type="http://schemas.openxmlformats.org/officeDocument/2006/relationships/customProperty" Target="../customProperty9.bin"/><Relationship Id="rId3" Type="http://schemas.openxmlformats.org/officeDocument/2006/relationships/printerSettings" Target="../printerSettings/printerSettings108.bin"/><Relationship Id="rId7" Type="http://schemas.openxmlformats.org/officeDocument/2006/relationships/printerSettings" Target="../printerSettings/printerSettings112.bin"/><Relationship Id="rId12" Type="http://schemas.openxmlformats.org/officeDocument/2006/relationships/printerSettings" Target="../printerSettings/printerSettings117.bin"/><Relationship Id="rId2" Type="http://schemas.openxmlformats.org/officeDocument/2006/relationships/printerSettings" Target="../printerSettings/printerSettings107.bin"/><Relationship Id="rId1" Type="http://schemas.openxmlformats.org/officeDocument/2006/relationships/printerSettings" Target="../printerSettings/printerSettings106.bin"/><Relationship Id="rId6" Type="http://schemas.openxmlformats.org/officeDocument/2006/relationships/printerSettings" Target="../printerSettings/printerSettings111.bin"/><Relationship Id="rId11" Type="http://schemas.openxmlformats.org/officeDocument/2006/relationships/printerSettings" Target="../printerSettings/printerSettings116.bin"/><Relationship Id="rId5" Type="http://schemas.openxmlformats.org/officeDocument/2006/relationships/printerSettings" Target="../printerSettings/printerSettings110.bin"/><Relationship Id="rId10" Type="http://schemas.openxmlformats.org/officeDocument/2006/relationships/printerSettings" Target="../printerSettings/printerSettings115.bin"/><Relationship Id="rId4" Type="http://schemas.openxmlformats.org/officeDocument/2006/relationships/printerSettings" Target="../printerSettings/printerSettings109.bin"/><Relationship Id="rId9" Type="http://schemas.openxmlformats.org/officeDocument/2006/relationships/printerSettings" Target="../printerSettings/printerSettings114.bin"/></Relationships>
</file>

<file path=xl/worksheets/sheet1.xml><?xml version="1.0" encoding="utf-8"?>
<worksheet xmlns="http://schemas.openxmlformats.org/spreadsheetml/2006/main" xmlns:r="http://schemas.openxmlformats.org/officeDocument/2006/relationships">
  <dimension ref="A1"/>
  <sheetViews>
    <sheetView zoomScale="70" zoomScaleNormal="70" workbookViewId="0">
      <selection activeCell="C10" sqref="C10"/>
    </sheetView>
  </sheetViews>
  <sheetFormatPr defaultRowHeight="15"/>
  <sheetData/>
  <customSheetViews>
    <customSheetView guid="{1BA452AD-1A45-4D9C-9666-ADFFA6F2F567}">
      <pageMargins left="0.75" right="0.75" top="1" bottom="1" header="0.5" footer="0.5"/>
      <headerFooter alignWithMargins="0"/>
    </customSheetView>
    <customSheetView guid="{EEF7ABD6-0F96-4791-B749-C06F707E7673}" showRuler="0">
      <selection activeCell="C104" sqref="C104"/>
      <pageMargins left="0.75" right="0.75" top="1" bottom="1" header="0.5" footer="0.5"/>
      <headerFooter alignWithMargins="0"/>
    </customSheetView>
    <customSheetView guid="{4826FCC0-BDD6-4B2C-ACC6-ACE271DDF0E3}" showRuler="0" topLeftCell="A22">
      <selection activeCell="C104" sqref="C104"/>
      <pageMargins left="0.75" right="0.75" top="1" bottom="1" header="0.5" footer="0.5"/>
      <headerFooter alignWithMargins="0"/>
    </customSheetView>
    <customSheetView guid="{EF376D10-23D6-4FE2-AB5B-4460D52CC93F}" showRuler="0">
      <selection activeCell="C104" sqref="C104"/>
      <pageMargins left="0.75" right="0.75" top="1" bottom="1" header="0.5" footer="0.5"/>
      <headerFooter alignWithMargins="0"/>
    </customSheetView>
    <customSheetView guid="{1C046605-15CE-44F1-BFCD-2CA8588E7ACF}" showRuler="0">
      <selection activeCell="C104" sqref="C104"/>
      <pageMargins left="0.75" right="0.75" top="1" bottom="1" header="0.5" footer="0.5"/>
      <headerFooter alignWithMargins="0"/>
    </customSheetView>
    <customSheetView guid="{3911D713-188C-46A1-A299-F21DD3B7A146}" showRuler="0">
      <selection activeCell="C104" sqref="C104"/>
      <pageMargins left="0.75" right="0.75" top="1" bottom="1" header="0.5" footer="0.5"/>
      <headerFooter alignWithMargins="0"/>
    </customSheetView>
    <customSheetView guid="{78BB1E60-60BE-4F56-9763-075185EFEFAB}">
      <pageMargins left="0.75" right="0.75" top="1" bottom="1" header="0.5" footer="0.5"/>
      <headerFooter alignWithMargins="0"/>
    </customSheetView>
    <customSheetView guid="{9C30803E-1E2D-4850-B0A5-591CA6F246A1}">
      <pageMargins left="0.75" right="0.75" top="1" bottom="1" header="0.5" footer="0.5"/>
      <headerFooter alignWithMargins="0"/>
    </customSheetView>
    <customSheetView guid="{3B1006FF-A2CA-49E7-9B25-DAC8815279AF}">
      <pageMargins left="0.75" right="0.75" top="1" bottom="1" header="0.5" footer="0.5"/>
      <headerFooter alignWithMargins="0"/>
    </customSheetView>
    <customSheetView guid="{FB1A60C8-E1F9-4DF0-8E0E-1C965F86027F}">
      <pageMargins left="0.75" right="0.75" top="1" bottom="1" header="0.5" footer="0.5"/>
      <headerFooter alignWithMargins="0"/>
    </customSheetView>
    <customSheetView guid="{C5B6D812-CBE6-46AA-99F7-02494E9802B4}" scale="70">
      <selection activeCell="C10" sqref="C10"/>
      <pageMargins left="0.75" right="0.75" top="1" bottom="1" header="0.5" footer="0.5"/>
      <headerFooter alignWithMargins="0"/>
    </customSheetView>
  </customSheetViews>
  <phoneticPr fontId="90" type="noConversion"/>
  <pageMargins left="0.75" right="0.75" top="1" bottom="1" header="0.5" footer="0.5"/>
  <headerFooter alignWithMargins="0"/>
  <customProperties>
    <customPr name="_pios_id" r:id="rId1"/>
  </customProperties>
</worksheet>
</file>

<file path=xl/worksheets/sheet10.xml><?xml version="1.0" encoding="utf-8"?>
<worksheet xmlns="http://schemas.openxmlformats.org/spreadsheetml/2006/main" xmlns:r="http://schemas.openxmlformats.org/officeDocument/2006/relationships">
  <sheetPr transitionEvaluation="1" codeName="Sheet10" enableFormatConditionsCalculation="0"/>
  <dimension ref="A1:H129"/>
  <sheetViews>
    <sheetView defaultGridColor="0" colorId="22" zoomScale="70" zoomScaleNormal="70" workbookViewId="0"/>
  </sheetViews>
  <sheetFormatPr defaultColWidth="9.77734375" defaultRowHeight="15"/>
  <cols>
    <col min="1" max="1" width="4.77734375" customWidth="1"/>
    <col min="2" max="2" width="36.77734375" customWidth="1"/>
    <col min="3" max="3" width="13.77734375" customWidth="1"/>
    <col min="4" max="4" width="13.5546875" customWidth="1"/>
    <col min="5" max="5" width="31.77734375" customWidth="1"/>
    <col min="6" max="6" width="18.77734375" customWidth="1"/>
  </cols>
  <sheetData>
    <row r="1" spans="1:6" ht="15.75" thickBot="1">
      <c r="A1" s="2367" t="str">
        <f>'Data sheet'!$A$59</f>
        <v>Annual Report of New York American Water Company, Inc. (f/k/a Long Island Water Corp)                                   Year Ended  December 31, 2013</v>
      </c>
      <c r="B1" s="1635"/>
      <c r="C1" s="230"/>
      <c r="D1" s="230"/>
      <c r="E1" s="230"/>
      <c r="F1" s="230"/>
    </row>
    <row r="2" spans="1:6">
      <c r="A2" s="173"/>
      <c r="B2" s="174"/>
      <c r="C2" s="174"/>
      <c r="D2" s="174"/>
      <c r="E2" s="174"/>
      <c r="F2" s="175"/>
    </row>
    <row r="3" spans="1:6" ht="15.75">
      <c r="A3" s="176" t="s">
        <v>4359</v>
      </c>
      <c r="B3" s="177"/>
      <c r="C3" s="177"/>
      <c r="D3" s="177"/>
      <c r="E3" s="177"/>
      <c r="F3" s="178"/>
    </row>
    <row r="4" spans="1:6">
      <c r="A4" s="179"/>
      <c r="B4" s="180"/>
      <c r="C4" s="180"/>
      <c r="D4" s="180"/>
      <c r="E4" s="180"/>
      <c r="F4" s="181"/>
    </row>
    <row r="5" spans="1:6" ht="17.25" customHeight="1">
      <c r="A5" s="182"/>
      <c r="B5" s="177"/>
      <c r="C5" s="177"/>
      <c r="D5" s="177"/>
      <c r="E5" s="177"/>
      <c r="F5" s="178"/>
    </row>
    <row r="6" spans="1:6">
      <c r="A6" s="183"/>
      <c r="B6" s="856" t="s">
        <v>4360</v>
      </c>
      <c r="C6" s="857"/>
      <c r="D6" s="858" t="s">
        <v>4361</v>
      </c>
      <c r="E6" s="857"/>
      <c r="F6" s="185"/>
    </row>
    <row r="7" spans="1:6">
      <c r="A7" s="183"/>
      <c r="B7" s="856" t="s">
        <v>2432</v>
      </c>
      <c r="C7" s="859"/>
      <c r="D7" s="858" t="s">
        <v>2433</v>
      </c>
      <c r="E7" s="857"/>
      <c r="F7" s="185"/>
    </row>
    <row r="8" spans="1:6">
      <c r="A8" s="183"/>
      <c r="B8" s="856" t="s">
        <v>2434</v>
      </c>
      <c r="C8" s="859"/>
      <c r="D8" s="858" t="s">
        <v>2435</v>
      </c>
      <c r="E8" s="857"/>
      <c r="F8" s="185"/>
    </row>
    <row r="9" spans="1:6">
      <c r="A9" s="183"/>
      <c r="B9" s="856" t="s">
        <v>2436</v>
      </c>
      <c r="C9" s="859"/>
      <c r="D9" s="858" t="s">
        <v>4130</v>
      </c>
      <c r="E9" s="857"/>
      <c r="F9" s="185"/>
    </row>
    <row r="10" spans="1:6">
      <c r="A10" s="183"/>
      <c r="B10" s="856" t="s">
        <v>4131</v>
      </c>
      <c r="C10" s="859"/>
      <c r="D10" s="858" t="s">
        <v>3248</v>
      </c>
      <c r="E10" s="857"/>
      <c r="F10" s="185"/>
    </row>
    <row r="11" spans="1:6">
      <c r="A11" s="183"/>
      <c r="B11" s="856" t="s">
        <v>17</v>
      </c>
      <c r="C11" s="859"/>
      <c r="D11" s="858" t="s">
        <v>18</v>
      </c>
      <c r="E11" s="857"/>
      <c r="F11" s="185"/>
    </row>
    <row r="12" spans="1:6">
      <c r="A12" s="183"/>
      <c r="B12" s="856" t="s">
        <v>19</v>
      </c>
      <c r="C12" s="859"/>
      <c r="D12" s="858" t="s">
        <v>20</v>
      </c>
      <c r="E12" s="857"/>
      <c r="F12" s="185"/>
    </row>
    <row r="13" spans="1:6">
      <c r="A13" s="183"/>
      <c r="B13" s="856" t="s">
        <v>62</v>
      </c>
      <c r="C13" s="859"/>
      <c r="D13" s="858" t="s">
        <v>63</v>
      </c>
      <c r="E13" s="857"/>
      <c r="F13" s="185"/>
    </row>
    <row r="14" spans="1:6">
      <c r="A14" s="183"/>
      <c r="B14" s="856" t="s">
        <v>64</v>
      </c>
      <c r="C14" s="859"/>
      <c r="D14" s="858" t="s">
        <v>4559</v>
      </c>
      <c r="E14" s="857"/>
      <c r="F14" s="185"/>
    </row>
    <row r="15" spans="1:6">
      <c r="A15" s="183"/>
      <c r="B15" s="856" t="s">
        <v>4560</v>
      </c>
      <c r="C15" s="859"/>
      <c r="D15" s="858" t="s">
        <v>3930</v>
      </c>
      <c r="E15" s="857"/>
      <c r="F15" s="185"/>
    </row>
    <row r="16" spans="1:6">
      <c r="A16" s="183"/>
      <c r="B16" s="856" t="s">
        <v>1765</v>
      </c>
      <c r="C16" s="859"/>
      <c r="D16" s="858" t="s">
        <v>1835</v>
      </c>
      <c r="E16" s="857"/>
      <c r="F16" s="185"/>
    </row>
    <row r="17" spans="1:8">
      <c r="A17" s="182"/>
      <c r="B17" s="856" t="s">
        <v>1836</v>
      </c>
      <c r="C17" s="859"/>
      <c r="D17" s="858" t="s">
        <v>182</v>
      </c>
      <c r="E17" s="857"/>
      <c r="F17" s="185"/>
    </row>
    <row r="18" spans="1:8">
      <c r="A18" s="182"/>
      <c r="B18" s="856" t="s">
        <v>3575</v>
      </c>
      <c r="C18" s="859"/>
      <c r="D18" s="858" t="s">
        <v>183</v>
      </c>
      <c r="E18" s="857"/>
      <c r="F18" s="185"/>
    </row>
    <row r="19" spans="1:8">
      <c r="A19" s="182"/>
      <c r="B19" s="856" t="s">
        <v>2450</v>
      </c>
      <c r="C19" s="859"/>
      <c r="D19" s="858" t="s">
        <v>1921</v>
      </c>
      <c r="E19" s="857"/>
      <c r="F19" s="185"/>
    </row>
    <row r="20" spans="1:8">
      <c r="A20" s="183"/>
      <c r="B20" s="856" t="s">
        <v>2698</v>
      </c>
      <c r="C20" s="859"/>
      <c r="D20" s="858" t="s">
        <v>1002</v>
      </c>
      <c r="E20" s="857"/>
      <c r="F20" s="185"/>
    </row>
    <row r="21" spans="1:8">
      <c r="A21" s="183"/>
      <c r="B21" s="856" t="s">
        <v>1003</v>
      </c>
      <c r="C21" s="859"/>
      <c r="D21" s="858" t="s">
        <v>3138</v>
      </c>
      <c r="E21" s="857"/>
      <c r="F21" s="185"/>
    </row>
    <row r="22" spans="1:8">
      <c r="A22" s="183"/>
      <c r="B22" s="856" t="s">
        <v>3139</v>
      </c>
      <c r="C22" s="859"/>
      <c r="D22" s="858" t="s">
        <v>1757</v>
      </c>
      <c r="E22" s="857"/>
      <c r="F22" s="185"/>
    </row>
    <row r="23" spans="1:8">
      <c r="A23" s="183"/>
      <c r="B23" s="856" t="s">
        <v>2849</v>
      </c>
      <c r="C23" s="859"/>
      <c r="D23" s="858" t="s">
        <v>3871</v>
      </c>
      <c r="E23" s="857"/>
      <c r="F23" s="185"/>
    </row>
    <row r="24" spans="1:8">
      <c r="A24" s="183"/>
      <c r="B24" s="856" t="s">
        <v>3872</v>
      </c>
      <c r="C24" s="859"/>
      <c r="D24" s="858" t="s">
        <v>4349</v>
      </c>
      <c r="E24" s="857"/>
      <c r="F24" s="185"/>
    </row>
    <row r="25" spans="1:8">
      <c r="A25" s="183"/>
      <c r="B25" s="856" t="s">
        <v>1336</v>
      </c>
      <c r="C25" s="859"/>
      <c r="D25" s="858" t="s">
        <v>2579</v>
      </c>
      <c r="E25" s="857"/>
      <c r="F25" s="185"/>
    </row>
    <row r="26" spans="1:8">
      <c r="A26" s="183"/>
      <c r="B26" s="856" t="s">
        <v>2580</v>
      </c>
      <c r="C26" s="859"/>
      <c r="D26" s="858" t="s">
        <v>2581</v>
      </c>
      <c r="E26" s="857"/>
      <c r="F26" s="185"/>
    </row>
    <row r="27" spans="1:8">
      <c r="A27" s="187"/>
      <c r="B27" s="860"/>
      <c r="C27" s="861"/>
      <c r="D27" s="862"/>
      <c r="E27" s="862"/>
      <c r="F27" s="190"/>
    </row>
    <row r="28" spans="1:8">
      <c r="A28" s="183"/>
      <c r="B28" s="858" t="s">
        <v>897</v>
      </c>
      <c r="C28" s="863"/>
      <c r="D28" s="858" t="s">
        <v>2112</v>
      </c>
      <c r="E28" s="864"/>
      <c r="F28" s="865" t="s">
        <v>2116</v>
      </c>
    </row>
    <row r="29" spans="1:8">
      <c r="A29" s="183"/>
      <c r="B29" s="858" t="s">
        <v>1515</v>
      </c>
      <c r="C29" s="863"/>
      <c r="D29" s="858" t="s">
        <v>362</v>
      </c>
      <c r="E29" s="864"/>
      <c r="F29" s="865" t="s">
        <v>363</v>
      </c>
    </row>
    <row r="30" spans="1:8">
      <c r="A30" s="183"/>
      <c r="B30" s="858"/>
      <c r="C30" s="863"/>
      <c r="D30" s="858" t="s">
        <v>364</v>
      </c>
      <c r="E30" s="864"/>
      <c r="F30" s="865"/>
    </row>
    <row r="31" spans="1:8">
      <c r="A31" s="183"/>
      <c r="B31" s="858"/>
      <c r="C31" s="863"/>
      <c r="D31" s="858" t="s">
        <v>2707</v>
      </c>
      <c r="E31" s="864"/>
      <c r="F31" s="2639">
        <v>41395</v>
      </c>
      <c r="H31" s="230"/>
    </row>
    <row r="32" spans="1:8">
      <c r="A32" s="183"/>
      <c r="B32" s="858"/>
      <c r="C32" s="863"/>
      <c r="D32" s="858" t="s">
        <v>4491</v>
      </c>
      <c r="E32" s="863"/>
      <c r="F32" s="866" t="s">
        <v>2169</v>
      </c>
    </row>
    <row r="33" spans="1:6">
      <c r="A33" s="183"/>
      <c r="B33" s="858" t="s">
        <v>1341</v>
      </c>
      <c r="C33" s="863"/>
      <c r="D33" s="858" t="s">
        <v>4492</v>
      </c>
      <c r="E33" s="1022">
        <v>225000</v>
      </c>
      <c r="F33" s="1024" t="s">
        <v>228</v>
      </c>
    </row>
    <row r="34" spans="1:6">
      <c r="A34" s="187"/>
      <c r="B34" s="862"/>
      <c r="C34" s="867"/>
      <c r="D34" s="861" t="s">
        <v>4493</v>
      </c>
      <c r="E34" s="1023">
        <v>225000</v>
      </c>
      <c r="F34" s="868"/>
    </row>
    <row r="35" spans="1:6">
      <c r="A35" s="191"/>
      <c r="B35" s="177"/>
      <c r="C35" s="192" t="s">
        <v>2715</v>
      </c>
      <c r="D35" s="177"/>
      <c r="E35" s="177"/>
      <c r="F35" s="178"/>
    </row>
    <row r="36" spans="1:6">
      <c r="A36" s="295" t="s">
        <v>1129</v>
      </c>
      <c r="B36" s="209"/>
      <c r="C36" s="855" t="s">
        <v>2716</v>
      </c>
      <c r="D36" s="193"/>
      <c r="E36" s="193"/>
      <c r="F36" s="194"/>
    </row>
    <row r="37" spans="1:6">
      <c r="A37" s="295" t="s">
        <v>3324</v>
      </c>
      <c r="B37" s="209" t="s">
        <v>2717</v>
      </c>
      <c r="C37" s="364" t="s">
        <v>3323</v>
      </c>
      <c r="D37" s="803" t="s">
        <v>2718</v>
      </c>
      <c r="E37" s="317" t="s">
        <v>2719</v>
      </c>
      <c r="F37" s="332"/>
    </row>
    <row r="38" spans="1:6">
      <c r="A38" s="191"/>
      <c r="B38" s="209" t="s">
        <v>2720</v>
      </c>
      <c r="C38" s="364" t="s">
        <v>2721</v>
      </c>
      <c r="D38" s="803" t="s">
        <v>3320</v>
      </c>
      <c r="E38" s="317" t="s">
        <v>3320</v>
      </c>
      <c r="F38" s="332" t="s">
        <v>3322</v>
      </c>
    </row>
    <row r="39" spans="1:6">
      <c r="A39" s="199"/>
      <c r="B39" s="852" t="s">
        <v>2722</v>
      </c>
      <c r="C39" s="366" t="s">
        <v>4033</v>
      </c>
      <c r="D39" s="812" t="s">
        <v>4034</v>
      </c>
      <c r="E39" s="378" t="s">
        <v>4035</v>
      </c>
      <c r="F39" s="330" t="s">
        <v>2277</v>
      </c>
    </row>
    <row r="40" spans="1:6">
      <c r="A40" s="296" t="s">
        <v>2702</v>
      </c>
      <c r="B40" s="852" t="s">
        <v>2723</v>
      </c>
      <c r="C40" s="1018">
        <v>225000</v>
      </c>
      <c r="D40" s="1019">
        <v>225000</v>
      </c>
      <c r="E40" s="193"/>
      <c r="F40" s="204"/>
    </row>
    <row r="41" spans="1:6">
      <c r="A41" s="296" t="s">
        <v>2703</v>
      </c>
      <c r="B41" s="852" t="s">
        <v>2724</v>
      </c>
      <c r="C41" s="1018"/>
      <c r="D41" s="1019"/>
      <c r="E41" s="193"/>
      <c r="F41" s="204"/>
    </row>
    <row r="42" spans="1:6">
      <c r="A42" s="295" t="s">
        <v>2704</v>
      </c>
      <c r="B42" s="209" t="s">
        <v>2725</v>
      </c>
      <c r="C42" s="1020"/>
      <c r="D42" s="1021"/>
      <c r="E42" s="195"/>
      <c r="F42" s="198"/>
    </row>
    <row r="43" spans="1:6">
      <c r="A43" s="205"/>
      <c r="B43" s="193" t="s">
        <v>2726</v>
      </c>
      <c r="C43" s="1018">
        <v>225000</v>
      </c>
      <c r="D43" s="1019">
        <v>225000</v>
      </c>
      <c r="E43" s="193"/>
      <c r="F43" s="204"/>
    </row>
    <row r="44" spans="1:6" ht="20.100000000000001" customHeight="1">
      <c r="A44" s="295" t="s">
        <v>2705</v>
      </c>
      <c r="B44" s="195"/>
      <c r="C44" s="196"/>
      <c r="D44" s="197"/>
      <c r="E44" s="195"/>
      <c r="F44" s="198"/>
    </row>
    <row r="45" spans="1:6" ht="20.100000000000001" customHeight="1">
      <c r="A45" s="295" t="s">
        <v>2706</v>
      </c>
      <c r="B45" s="195" t="s">
        <v>3016</v>
      </c>
      <c r="C45" s="196"/>
      <c r="D45" s="197"/>
      <c r="E45" s="195"/>
      <c r="F45" s="198"/>
    </row>
    <row r="46" spans="1:6" ht="20.100000000000001" customHeight="1">
      <c r="A46" s="295" t="s">
        <v>2024</v>
      </c>
      <c r="B46" s="195" t="s">
        <v>3017</v>
      </c>
      <c r="C46" s="196"/>
      <c r="D46" s="197"/>
      <c r="E46" s="195"/>
      <c r="F46" s="198"/>
    </row>
    <row r="47" spans="1:6" ht="20.100000000000001" customHeight="1">
      <c r="A47" s="295" t="s">
        <v>2025</v>
      </c>
      <c r="B47" s="195" t="s">
        <v>3018</v>
      </c>
      <c r="C47" s="196"/>
      <c r="D47" s="197"/>
      <c r="E47" s="195"/>
      <c r="F47" s="198"/>
    </row>
    <row r="48" spans="1:6" ht="20.100000000000001" customHeight="1">
      <c r="A48" s="295" t="s">
        <v>2026</v>
      </c>
      <c r="B48" s="195"/>
      <c r="C48" s="206"/>
      <c r="D48" s="207"/>
      <c r="E48" s="177"/>
      <c r="F48" s="208"/>
    </row>
    <row r="49" spans="1:6" ht="20.100000000000001" customHeight="1">
      <c r="A49" s="295" t="s">
        <v>2027</v>
      </c>
      <c r="B49" s="195"/>
      <c r="C49" s="196"/>
      <c r="D49" s="197"/>
      <c r="E49" s="195"/>
      <c r="F49" s="198"/>
    </row>
    <row r="50" spans="1:6" ht="20.100000000000001" customHeight="1">
      <c r="A50" s="295" t="s">
        <v>2028</v>
      </c>
      <c r="B50" s="195"/>
      <c r="C50" s="196"/>
      <c r="D50" s="197"/>
      <c r="E50" s="195"/>
      <c r="F50" s="198"/>
    </row>
    <row r="51" spans="1:6" ht="20.100000000000001" customHeight="1">
      <c r="A51" s="295" t="s">
        <v>2029</v>
      </c>
      <c r="B51" s="195" t="s">
        <v>5330</v>
      </c>
      <c r="C51" s="196"/>
      <c r="D51" s="197"/>
      <c r="E51" s="195"/>
      <c r="F51" s="198"/>
    </row>
    <row r="52" spans="1:6" ht="20.100000000000001" customHeight="1">
      <c r="A52" s="295" t="s">
        <v>2030</v>
      </c>
      <c r="B52" s="195"/>
      <c r="C52" s="196"/>
      <c r="D52" s="197"/>
      <c r="E52" s="195"/>
      <c r="F52" s="198"/>
    </row>
    <row r="53" spans="1:6" ht="20.100000000000001" customHeight="1">
      <c r="A53" s="295" t="s">
        <v>4121</v>
      </c>
      <c r="B53" s="209"/>
      <c r="C53" s="196"/>
      <c r="D53" s="197"/>
      <c r="E53" s="195"/>
      <c r="F53" s="198"/>
    </row>
    <row r="54" spans="1:6" ht="20.100000000000001" customHeight="1">
      <c r="A54" s="295" t="s">
        <v>4122</v>
      </c>
      <c r="B54" s="209"/>
      <c r="C54" s="196"/>
      <c r="D54" s="197"/>
      <c r="E54" s="195"/>
      <c r="F54" s="198"/>
    </row>
    <row r="55" spans="1:6" ht="20.100000000000001" customHeight="1" thickBot="1">
      <c r="A55" s="310" t="s">
        <v>4123</v>
      </c>
      <c r="B55" s="211"/>
      <c r="C55" s="212"/>
      <c r="D55" s="213"/>
      <c r="E55" s="214"/>
      <c r="F55" s="215"/>
    </row>
    <row r="56" spans="1:6">
      <c r="A56" s="97" t="s">
        <v>4066</v>
      </c>
      <c r="B56" s="209"/>
      <c r="C56" s="195"/>
      <c r="D56" s="195"/>
      <c r="E56" s="195"/>
      <c r="F56" s="195"/>
    </row>
    <row r="57" spans="1:6">
      <c r="A57" s="177" t="s">
        <v>2727</v>
      </c>
      <c r="B57" s="177"/>
      <c r="C57" s="177"/>
      <c r="D57" s="177"/>
      <c r="E57" s="177"/>
      <c r="F57" s="177"/>
    </row>
    <row r="58" spans="1:6">
      <c r="A58" s="177"/>
      <c r="B58" s="177"/>
      <c r="C58" s="177"/>
      <c r="D58" s="177"/>
      <c r="E58" s="177"/>
      <c r="F58" s="177"/>
    </row>
    <row r="59" spans="1:6">
      <c r="A59" s="177"/>
      <c r="B59" s="177"/>
      <c r="C59" s="177"/>
      <c r="D59" s="177"/>
      <c r="E59" s="177"/>
      <c r="F59" s="177"/>
    </row>
    <row r="60" spans="1:6" ht="15.75" thickBot="1">
      <c r="A60" s="2367" t="str">
        <f>'Data sheet'!$A$59</f>
        <v>Annual Report of New York American Water Company, Inc. (f/k/a Long Island Water Corp)                                   Year Ended  December 31, 2013</v>
      </c>
      <c r="B60" s="177"/>
      <c r="C60" s="177"/>
      <c r="D60" s="177"/>
      <c r="E60" s="177"/>
      <c r="F60" s="177"/>
    </row>
    <row r="61" spans="1:6">
      <c r="A61" s="173"/>
      <c r="B61" s="174"/>
      <c r="C61" s="174"/>
      <c r="D61" s="174"/>
      <c r="E61" s="174"/>
      <c r="F61" s="175"/>
    </row>
    <row r="62" spans="1:6" ht="15.75">
      <c r="A62" s="176" t="s">
        <v>328</v>
      </c>
      <c r="B62" s="177"/>
      <c r="C62" s="177"/>
      <c r="D62" s="177"/>
      <c r="E62" s="177"/>
      <c r="F62" s="178"/>
    </row>
    <row r="63" spans="1:6">
      <c r="A63" s="179"/>
      <c r="B63" s="180"/>
      <c r="C63" s="180"/>
      <c r="D63" s="180"/>
      <c r="E63" s="180"/>
      <c r="F63" s="181"/>
    </row>
    <row r="64" spans="1:6">
      <c r="A64" s="295" t="s">
        <v>1129</v>
      </c>
      <c r="B64" s="317" t="s">
        <v>2717</v>
      </c>
      <c r="C64" s="364" t="s">
        <v>3323</v>
      </c>
      <c r="D64" s="803" t="s">
        <v>2718</v>
      </c>
      <c r="E64" s="317" t="s">
        <v>2719</v>
      </c>
      <c r="F64" s="332"/>
    </row>
    <row r="65" spans="1:6">
      <c r="A65" s="295" t="s">
        <v>3324</v>
      </c>
      <c r="B65" s="317" t="s">
        <v>2720</v>
      </c>
      <c r="C65" s="364" t="s">
        <v>2721</v>
      </c>
      <c r="D65" s="803" t="s">
        <v>3320</v>
      </c>
      <c r="E65" s="317" t="s">
        <v>3320</v>
      </c>
      <c r="F65" s="332" t="s">
        <v>3322</v>
      </c>
    </row>
    <row r="66" spans="1:6">
      <c r="A66" s="199"/>
      <c r="B66" s="378" t="s">
        <v>2722</v>
      </c>
      <c r="C66" s="366" t="s">
        <v>4033</v>
      </c>
      <c r="D66" s="812" t="s">
        <v>4034</v>
      </c>
      <c r="E66" s="378" t="s">
        <v>4035</v>
      </c>
      <c r="F66" s="330" t="s">
        <v>2277</v>
      </c>
    </row>
    <row r="67" spans="1:6" ht="20.100000000000001" customHeight="1">
      <c r="A67" s="295" t="s">
        <v>749</v>
      </c>
      <c r="B67" s="195"/>
      <c r="C67" s="196"/>
      <c r="D67" s="197"/>
      <c r="E67" s="195"/>
      <c r="F67" s="198"/>
    </row>
    <row r="68" spans="1:6" ht="20.100000000000001" customHeight="1">
      <c r="A68" s="295" t="s">
        <v>750</v>
      </c>
      <c r="B68" s="195"/>
      <c r="C68" s="196"/>
      <c r="D68" s="197"/>
      <c r="E68" s="195"/>
      <c r="F68" s="198"/>
    </row>
    <row r="69" spans="1:6" ht="20.100000000000001" customHeight="1">
      <c r="A69" s="295" t="s">
        <v>751</v>
      </c>
      <c r="B69" s="195" t="s">
        <v>4634</v>
      </c>
      <c r="C69" s="196"/>
      <c r="D69" s="197"/>
      <c r="E69" s="195"/>
      <c r="F69" s="198"/>
    </row>
    <row r="70" spans="1:6" ht="20.100000000000001" customHeight="1">
      <c r="A70" s="295" t="s">
        <v>720</v>
      </c>
      <c r="B70" s="195"/>
      <c r="C70" s="196"/>
      <c r="D70" s="197"/>
      <c r="E70" s="195"/>
      <c r="F70" s="198"/>
    </row>
    <row r="71" spans="1:6" ht="20.100000000000001" customHeight="1">
      <c r="A71" s="295" t="s">
        <v>721</v>
      </c>
      <c r="B71" s="195"/>
      <c r="C71" s="196"/>
      <c r="D71" s="197"/>
      <c r="E71" s="195"/>
      <c r="F71" s="198"/>
    </row>
    <row r="72" spans="1:6" ht="20.100000000000001" customHeight="1">
      <c r="A72" s="295" t="s">
        <v>722</v>
      </c>
      <c r="B72" s="195"/>
      <c r="C72" s="196"/>
      <c r="D72" s="197"/>
      <c r="E72" s="195"/>
      <c r="F72" s="198"/>
    </row>
    <row r="73" spans="1:6" ht="20.100000000000001" customHeight="1">
      <c r="A73" s="295" t="s">
        <v>723</v>
      </c>
      <c r="B73" s="195"/>
      <c r="C73" s="196"/>
      <c r="D73" s="197"/>
      <c r="E73" s="195"/>
      <c r="F73" s="198"/>
    </row>
    <row r="74" spans="1:6" ht="20.100000000000001" customHeight="1">
      <c r="A74" s="295" t="s">
        <v>2589</v>
      </c>
      <c r="B74" s="195"/>
      <c r="C74" s="196"/>
      <c r="D74" s="197"/>
      <c r="E74" s="195"/>
      <c r="F74" s="198"/>
    </row>
    <row r="75" spans="1:6" ht="20.100000000000001" customHeight="1">
      <c r="A75" s="295" t="s">
        <v>1771</v>
      </c>
      <c r="B75" s="195"/>
      <c r="C75" s="206"/>
      <c r="D75" s="207"/>
      <c r="E75" s="177"/>
      <c r="F75" s="208"/>
    </row>
    <row r="76" spans="1:6" ht="20.100000000000001" customHeight="1">
      <c r="A76" s="295" t="s">
        <v>1772</v>
      </c>
      <c r="B76" s="195"/>
      <c r="C76" s="196"/>
      <c r="D76" s="197"/>
      <c r="E76" s="195"/>
      <c r="F76" s="198"/>
    </row>
    <row r="77" spans="1:6" ht="20.100000000000001" customHeight="1">
      <c r="A77" s="295" t="s">
        <v>1773</v>
      </c>
      <c r="B77" s="195"/>
      <c r="C77" s="196"/>
      <c r="D77" s="197"/>
      <c r="E77" s="195"/>
      <c r="F77" s="198"/>
    </row>
    <row r="78" spans="1:6" ht="20.100000000000001" customHeight="1">
      <c r="A78" s="295" t="s">
        <v>1774</v>
      </c>
      <c r="B78" s="195"/>
      <c r="C78" s="196"/>
      <c r="D78" s="197"/>
      <c r="E78" s="195"/>
      <c r="F78" s="198"/>
    </row>
    <row r="79" spans="1:6" ht="20.100000000000001" customHeight="1">
      <c r="A79" s="295" t="s">
        <v>1775</v>
      </c>
      <c r="B79" s="195"/>
      <c r="C79" s="196"/>
      <c r="D79" s="197"/>
      <c r="E79" s="195"/>
      <c r="F79" s="198"/>
    </row>
    <row r="80" spans="1:6" ht="20.100000000000001" customHeight="1">
      <c r="A80" s="295" t="s">
        <v>1776</v>
      </c>
      <c r="B80" s="195"/>
      <c r="C80" s="196"/>
      <c r="D80" s="197"/>
      <c r="E80" s="195"/>
      <c r="F80" s="198"/>
    </row>
    <row r="81" spans="1:6" ht="20.100000000000001" customHeight="1">
      <c r="A81" s="295" t="s">
        <v>1777</v>
      </c>
      <c r="B81" s="195"/>
      <c r="C81" s="196"/>
      <c r="D81" s="197"/>
      <c r="E81" s="195"/>
      <c r="F81" s="198"/>
    </row>
    <row r="82" spans="1:6" ht="20.100000000000001" customHeight="1">
      <c r="A82" s="295" t="s">
        <v>1778</v>
      </c>
      <c r="B82" s="195"/>
      <c r="C82" s="196"/>
      <c r="D82" s="197"/>
      <c r="E82" s="195"/>
      <c r="F82" s="198"/>
    </row>
    <row r="83" spans="1:6" ht="20.100000000000001" customHeight="1">
      <c r="A83" s="295" t="s">
        <v>1779</v>
      </c>
      <c r="B83" s="195"/>
      <c r="C83" s="196"/>
      <c r="D83" s="197"/>
      <c r="E83" s="195"/>
      <c r="F83" s="198"/>
    </row>
    <row r="84" spans="1:6" ht="20.100000000000001" customHeight="1">
      <c r="A84" s="295" t="s">
        <v>1780</v>
      </c>
      <c r="B84" s="195"/>
      <c r="C84" s="196"/>
      <c r="D84" s="197"/>
      <c r="E84" s="195"/>
      <c r="F84" s="198"/>
    </row>
    <row r="85" spans="1:6" ht="20.100000000000001" customHeight="1">
      <c r="A85" s="295" t="s">
        <v>1781</v>
      </c>
      <c r="B85" s="195"/>
      <c r="C85" s="196"/>
      <c r="D85" s="197"/>
      <c r="E85" s="195"/>
      <c r="F85" s="198"/>
    </row>
    <row r="86" spans="1:6" ht="20.100000000000001" customHeight="1">
      <c r="A86" s="295" t="s">
        <v>1782</v>
      </c>
      <c r="B86" s="195"/>
      <c r="C86" s="196"/>
      <c r="D86" s="197"/>
      <c r="E86" s="195"/>
      <c r="F86" s="198"/>
    </row>
    <row r="87" spans="1:6" ht="20.100000000000001" customHeight="1">
      <c r="A87" s="295" t="s">
        <v>1783</v>
      </c>
      <c r="B87" s="195"/>
      <c r="C87" s="196"/>
      <c r="D87" s="197"/>
      <c r="E87" s="195"/>
      <c r="F87" s="198"/>
    </row>
    <row r="88" spans="1:6" ht="20.100000000000001" customHeight="1">
      <c r="A88" s="295" t="s">
        <v>1784</v>
      </c>
      <c r="B88" s="195"/>
      <c r="C88" s="196"/>
      <c r="D88" s="197"/>
      <c r="E88" s="195"/>
      <c r="F88" s="198"/>
    </row>
    <row r="89" spans="1:6" ht="20.100000000000001" customHeight="1">
      <c r="A89" s="295" t="s">
        <v>1785</v>
      </c>
      <c r="B89" s="195"/>
      <c r="C89" s="196"/>
      <c r="D89" s="197"/>
      <c r="E89" s="195"/>
      <c r="F89" s="198"/>
    </row>
    <row r="90" spans="1:6" ht="20.100000000000001" customHeight="1">
      <c r="A90" s="295" t="s">
        <v>1786</v>
      </c>
      <c r="B90" s="195"/>
      <c r="C90" s="196"/>
      <c r="D90" s="197"/>
      <c r="E90" s="195"/>
      <c r="F90" s="198"/>
    </row>
    <row r="91" spans="1:6" ht="20.100000000000001" customHeight="1">
      <c r="A91" s="295" t="s">
        <v>1787</v>
      </c>
      <c r="B91" s="195"/>
      <c r="C91" s="196"/>
      <c r="D91" s="197"/>
      <c r="E91" s="195"/>
      <c r="F91" s="198"/>
    </row>
    <row r="92" spans="1:6" ht="20.100000000000001" customHeight="1">
      <c r="A92" s="295" t="s">
        <v>1788</v>
      </c>
      <c r="B92" s="195"/>
      <c r="C92" s="196"/>
      <c r="D92" s="197"/>
      <c r="E92" s="195"/>
      <c r="F92" s="198"/>
    </row>
    <row r="93" spans="1:6" ht="20.100000000000001" customHeight="1">
      <c r="A93" s="295" t="s">
        <v>1789</v>
      </c>
      <c r="B93" s="195"/>
      <c r="C93" s="196"/>
      <c r="D93" s="197"/>
      <c r="E93" s="195"/>
      <c r="F93" s="198"/>
    </row>
    <row r="94" spans="1:6" ht="20.100000000000001" customHeight="1">
      <c r="A94" s="295" t="s">
        <v>1790</v>
      </c>
      <c r="B94" s="195"/>
      <c r="C94" s="196"/>
      <c r="D94" s="197"/>
      <c r="E94" s="195"/>
      <c r="F94" s="198"/>
    </row>
    <row r="95" spans="1:6" ht="20.100000000000001" customHeight="1">
      <c r="A95" s="295" t="s">
        <v>1791</v>
      </c>
      <c r="B95" s="195"/>
      <c r="C95" s="196"/>
      <c r="D95" s="197"/>
      <c r="E95" s="195"/>
      <c r="F95" s="198"/>
    </row>
    <row r="96" spans="1:6" ht="20.100000000000001" customHeight="1">
      <c r="A96" s="295" t="s">
        <v>1792</v>
      </c>
      <c r="B96" s="195"/>
      <c r="C96" s="196"/>
      <c r="D96" s="197"/>
      <c r="E96" s="195"/>
      <c r="F96" s="198"/>
    </row>
    <row r="97" spans="1:6" ht="20.100000000000001" customHeight="1">
      <c r="A97" s="295" t="s">
        <v>1793</v>
      </c>
      <c r="B97" s="195"/>
      <c r="C97" s="196"/>
      <c r="D97" s="197"/>
      <c r="E97" s="195"/>
      <c r="F97" s="198"/>
    </row>
    <row r="98" spans="1:6" ht="20.100000000000001" customHeight="1">
      <c r="A98" s="295" t="s">
        <v>1794</v>
      </c>
      <c r="B98" s="195"/>
      <c r="C98" s="196"/>
      <c r="D98" s="197"/>
      <c r="E98" s="195"/>
      <c r="F98" s="198"/>
    </row>
    <row r="99" spans="1:6" ht="20.100000000000001" customHeight="1">
      <c r="A99" s="295" t="s">
        <v>1795</v>
      </c>
      <c r="B99" s="195"/>
      <c r="C99" s="196"/>
      <c r="D99" s="197"/>
      <c r="E99" s="195"/>
      <c r="F99" s="198"/>
    </row>
    <row r="100" spans="1:6" ht="20.100000000000001" customHeight="1">
      <c r="A100" s="295" t="s">
        <v>629</v>
      </c>
      <c r="B100" s="195"/>
      <c r="C100" s="196"/>
      <c r="D100" s="197"/>
      <c r="E100" s="195"/>
      <c r="F100" s="198"/>
    </row>
    <row r="101" spans="1:6" ht="20.100000000000001" customHeight="1">
      <c r="A101" s="296" t="s">
        <v>630</v>
      </c>
      <c r="B101" s="193"/>
      <c r="C101" s="202"/>
      <c r="D101" s="203"/>
      <c r="E101" s="193"/>
      <c r="F101" s="204"/>
    </row>
    <row r="102" spans="1:6">
      <c r="A102" s="96"/>
      <c r="B102" s="97"/>
      <c r="C102" s="97"/>
      <c r="D102" s="97"/>
      <c r="E102" s="97"/>
      <c r="F102" s="98"/>
    </row>
    <row r="103" spans="1:6">
      <c r="A103" s="96"/>
      <c r="B103" s="97"/>
      <c r="C103" s="97"/>
      <c r="D103" s="97"/>
      <c r="E103" s="97"/>
      <c r="F103" s="98"/>
    </row>
    <row r="104" spans="1:6">
      <c r="A104" s="96"/>
      <c r="B104" s="97"/>
      <c r="C104" s="97"/>
      <c r="D104" s="97"/>
      <c r="E104" s="97"/>
      <c r="F104" s="98"/>
    </row>
    <row r="105" spans="1:6">
      <c r="A105" s="96"/>
      <c r="B105" s="97"/>
      <c r="C105" s="97"/>
      <c r="D105" s="97"/>
      <c r="E105" s="97"/>
      <c r="F105" s="98"/>
    </row>
    <row r="106" spans="1:6">
      <c r="A106" s="96"/>
      <c r="B106" s="97"/>
      <c r="C106" s="97"/>
      <c r="D106" s="97"/>
      <c r="E106" s="97"/>
      <c r="F106" s="98"/>
    </row>
    <row r="107" spans="1:6">
      <c r="A107" s="96"/>
      <c r="B107" s="97"/>
      <c r="C107" s="97"/>
      <c r="D107" s="97"/>
      <c r="E107" s="97"/>
      <c r="F107" s="98"/>
    </row>
    <row r="108" spans="1:6">
      <c r="A108" s="96"/>
      <c r="B108" s="97"/>
      <c r="C108" s="97"/>
      <c r="D108" s="97"/>
      <c r="E108" s="97"/>
      <c r="F108" s="98"/>
    </row>
    <row r="109" spans="1:6">
      <c r="A109" s="96"/>
      <c r="B109" s="97"/>
      <c r="C109" s="97"/>
      <c r="D109" s="97"/>
      <c r="E109" s="97"/>
      <c r="F109" s="98"/>
    </row>
    <row r="110" spans="1:6">
      <c r="A110" s="96"/>
      <c r="B110" s="97"/>
      <c r="C110" s="97"/>
      <c r="D110" s="97"/>
      <c r="E110" s="97"/>
      <c r="F110" s="98"/>
    </row>
    <row r="111" spans="1:6">
      <c r="A111" s="96"/>
      <c r="B111" s="97"/>
      <c r="C111" s="97"/>
      <c r="D111" s="97"/>
      <c r="E111" s="97"/>
      <c r="F111" s="98"/>
    </row>
    <row r="112" spans="1:6">
      <c r="A112" s="96"/>
      <c r="B112" s="97"/>
      <c r="C112" s="97"/>
      <c r="D112" s="97"/>
      <c r="E112" s="97"/>
      <c r="F112" s="98"/>
    </row>
    <row r="113" spans="1:6" ht="15.75" thickBot="1">
      <c r="A113" s="172"/>
      <c r="B113" s="124"/>
      <c r="C113" s="124"/>
      <c r="D113" s="124"/>
      <c r="E113" s="124"/>
      <c r="F113" s="127"/>
    </row>
    <row r="114" spans="1:6">
      <c r="A114" s="97"/>
      <c r="B114" s="97"/>
      <c r="C114" s="97"/>
      <c r="D114" s="97"/>
      <c r="E114" s="97"/>
      <c r="F114" s="97" t="s">
        <v>4066</v>
      </c>
    </row>
    <row r="115" spans="1:6">
      <c r="A115" s="128" t="s">
        <v>836</v>
      </c>
      <c r="B115" s="128"/>
      <c r="C115" s="128"/>
      <c r="D115" s="128"/>
      <c r="E115" s="128"/>
      <c r="F115" s="128"/>
    </row>
    <row r="116" spans="1:6">
      <c r="A116" s="128"/>
      <c r="B116" s="128"/>
      <c r="C116" s="128"/>
      <c r="D116" s="128"/>
      <c r="E116" s="128"/>
      <c r="F116" s="128"/>
    </row>
    <row r="117" spans="1:6">
      <c r="A117" s="128"/>
      <c r="B117" s="128"/>
      <c r="C117" s="128"/>
      <c r="D117" s="128"/>
      <c r="E117" s="128"/>
      <c r="F117" s="128"/>
    </row>
    <row r="118" spans="1:6">
      <c r="A118" s="128"/>
      <c r="B118" s="128"/>
      <c r="C118" s="128"/>
      <c r="D118" s="128"/>
      <c r="E118" s="128"/>
      <c r="F118" s="128"/>
    </row>
    <row r="119" spans="1:6">
      <c r="A119" s="97"/>
      <c r="B119" s="97"/>
      <c r="C119" s="97"/>
      <c r="D119" s="97"/>
      <c r="E119" s="97"/>
      <c r="F119" s="97"/>
    </row>
    <row r="120" spans="1:6">
      <c r="A120" s="97"/>
      <c r="B120" s="97"/>
      <c r="C120" s="97"/>
      <c r="D120" s="97"/>
      <c r="E120" s="97"/>
      <c r="F120" s="97"/>
    </row>
    <row r="121" spans="1:6">
      <c r="A121" s="97"/>
      <c r="B121" s="97"/>
      <c r="C121" s="195"/>
      <c r="D121" s="195"/>
      <c r="E121" s="195"/>
      <c r="F121" s="195"/>
    </row>
    <row r="122" spans="1:6">
      <c r="A122" s="97"/>
      <c r="B122" s="97"/>
      <c r="C122" s="195"/>
      <c r="D122" s="195"/>
      <c r="E122" s="195"/>
      <c r="F122" s="195"/>
    </row>
    <row r="123" spans="1:6">
      <c r="A123" s="97"/>
      <c r="B123" s="97"/>
      <c r="C123" s="195"/>
      <c r="D123" s="195"/>
      <c r="E123" s="195"/>
      <c r="F123" s="195"/>
    </row>
    <row r="124" spans="1:6">
      <c r="A124" s="97"/>
      <c r="B124" s="97"/>
      <c r="C124" s="195"/>
      <c r="D124" s="195"/>
      <c r="E124" s="195"/>
      <c r="F124" s="195"/>
    </row>
    <row r="125" spans="1:6">
      <c r="A125" s="97"/>
      <c r="B125" s="97"/>
      <c r="C125" s="195"/>
      <c r="D125" s="195"/>
      <c r="E125" s="195"/>
      <c r="F125" s="195"/>
    </row>
    <row r="126" spans="1:6">
      <c r="A126" s="97"/>
      <c r="B126" s="97"/>
      <c r="C126" s="195"/>
      <c r="D126" s="195"/>
      <c r="E126" s="195"/>
      <c r="F126" s="195"/>
    </row>
    <row r="127" spans="1:6">
      <c r="A127" s="97"/>
      <c r="B127" s="97"/>
      <c r="C127" s="195"/>
      <c r="D127" s="195"/>
      <c r="E127" s="195"/>
      <c r="F127" s="195"/>
    </row>
    <row r="128" spans="1:6">
      <c r="A128" s="97"/>
      <c r="B128" s="97"/>
      <c r="C128" s="195"/>
      <c r="D128" s="195"/>
      <c r="E128" s="195"/>
      <c r="F128" s="195"/>
    </row>
    <row r="129" spans="1:6">
      <c r="A129" s="97"/>
      <c r="B129" s="97"/>
      <c r="C129" s="195"/>
      <c r="D129" s="195"/>
      <c r="E129" s="195"/>
      <c r="F129" s="195"/>
    </row>
  </sheetData>
  <customSheetViews>
    <customSheetView guid="{1BA452AD-1A45-4D9C-9666-ADFFA6F2F567}" scale="60" colorId="22" showPageBreaks="1" printArea="1" view="pageBreakPreview">
      <selection activeCell="M31" sqref="M31"/>
      <rowBreaks count="1" manualBreakCount="1">
        <brk id="58" max="16383" man="1"/>
      </rowBreaks>
      <pageMargins left="0.65" right="0.4" top="0.3" bottom="0.3" header="0" footer="0"/>
      <printOptions horizontalCentered="1" verticalCentered="1"/>
      <pageSetup scale="66" orientation="portrait" r:id="rId1"/>
      <headerFooter alignWithMargins="0"/>
    </customSheetView>
    <customSheetView guid="{EEF7ABD6-0F96-4791-B749-C06F707E7673}" scale="75" colorId="22" showRuler="0" topLeftCell="A34">
      <selection activeCell="E45" sqref="E45"/>
      <rowBreaks count="1" manualBreakCount="1">
        <brk id="58" max="16383" man="1"/>
      </rowBreaks>
      <pageMargins left="0.65" right="0.4" top="0.3" bottom="0.3" header="0" footer="0"/>
      <printOptions horizontalCentered="1" verticalCentered="1"/>
      <pageSetup scale="66" orientation="portrait" r:id="rId2"/>
      <headerFooter alignWithMargins="0"/>
    </customSheetView>
    <customSheetView guid="{A7D7DB3C-AFE6-468E-8C6B-9531F6711497}" scale="75" colorId="22" showRuler="0">
      <selection activeCell="E33" sqref="E33"/>
      <rowBreaks count="1" manualBreakCount="1">
        <brk id="59" max="16383" man="1"/>
      </rowBreaks>
      <pageMargins left="0.65" right="0.4" top="0.3" bottom="0.3" header="0" footer="0"/>
      <printOptions horizontalCentered="1" verticalCentered="1"/>
      <pageSetup scale="66" orientation="portrait" r:id="rId3"/>
      <headerFooter alignWithMargins="0"/>
    </customSheetView>
    <customSheetView guid="{4436FEB5-BFEC-4348-9286-CB706802873E}" scale="75" colorId="22" showRuler="0">
      <selection activeCell="E33" sqref="E33"/>
      <rowBreaks count="1" manualBreakCount="1">
        <brk id="59" max="16383" man="1"/>
      </rowBreaks>
      <pageMargins left="0.65" right="0.4" top="0.3" bottom="0.3" header="0" footer="0"/>
      <printOptions horizontalCentered="1" verticalCentered="1"/>
      <pageSetup scale="66" orientation="portrait" r:id="rId4"/>
      <headerFooter alignWithMargins="0"/>
    </customSheetView>
    <customSheetView guid="{044CF00C-469F-44B3-B2C4-9B4049CE70CB}" scale="75" colorId="22" showRuler="0" topLeftCell="A25">
      <selection activeCell="A2" sqref="A2"/>
      <rowBreaks count="1" manualBreakCount="1">
        <brk id="59" max="16383" man="1"/>
      </rowBreaks>
      <pageMargins left="0.65" right="0.4" top="0.3" bottom="0.3" header="0" footer="0"/>
      <printOptions horizontalCentered="1" verticalCentered="1"/>
      <pageSetup scale="66" orientation="portrait" r:id="rId5"/>
      <headerFooter alignWithMargins="0"/>
    </customSheetView>
    <customSheetView guid="{4826FCC0-BDD6-4B2C-ACC6-ACE271DDF0E3}" scale="75" colorId="22" showRuler="0">
      <selection activeCell="E45" sqref="E45"/>
      <rowBreaks count="1" manualBreakCount="1">
        <brk id="58" max="16383" man="1"/>
      </rowBreaks>
      <pageMargins left="0.65" right="0.4" top="0.3" bottom="0.3" header="0" footer="0"/>
      <printOptions horizontalCentered="1" verticalCentered="1"/>
      <pageSetup scale="66" orientation="portrait" r:id="rId6"/>
      <headerFooter alignWithMargins="0"/>
    </customSheetView>
    <customSheetView guid="{EF376D10-23D6-4FE2-AB5B-4460D52CC93F}" scale="75" colorId="22" showRuler="0">
      <selection activeCell="E45" sqref="E45"/>
      <rowBreaks count="1" manualBreakCount="1">
        <brk id="58" max="16383" man="1"/>
      </rowBreaks>
      <pageMargins left="0.65" right="0.4" top="0.3" bottom="0.3" header="0" footer="0"/>
      <printOptions horizontalCentered="1" verticalCentered="1"/>
      <pageSetup scale="66" orientation="portrait" r:id="rId7"/>
      <headerFooter alignWithMargins="0"/>
    </customSheetView>
    <customSheetView guid="{1C046605-15CE-44F1-BFCD-2CA8588E7ACF}" scale="75" colorId="22" showRuler="0" topLeftCell="A10">
      <selection activeCell="J33" sqref="J33"/>
      <rowBreaks count="1" manualBreakCount="1">
        <brk id="58" max="16383" man="1"/>
      </rowBreaks>
      <pageMargins left="0.65" right="0.4" top="0.3" bottom="0.3" header="0" footer="0"/>
      <printOptions horizontalCentered="1" verticalCentered="1"/>
      <pageSetup scale="66" orientation="portrait" r:id="rId8"/>
      <headerFooter alignWithMargins="0"/>
    </customSheetView>
    <customSheetView guid="{3911D713-188C-46A1-A299-F21DD3B7A146}" scale="75" colorId="22" showRuler="0" topLeftCell="A28">
      <selection activeCell="F31" sqref="F31"/>
      <rowBreaks count="1" manualBreakCount="1">
        <brk id="58" max="16383" man="1"/>
      </rowBreaks>
      <pageMargins left="0.65" right="0.4" top="0.3" bottom="0.3" header="0" footer="0"/>
      <printOptions horizontalCentered="1" verticalCentered="1"/>
      <pageSetup scale="66" orientation="portrait" r:id="rId9"/>
      <headerFooter alignWithMargins="0"/>
    </customSheetView>
    <customSheetView guid="{78BB1E60-60BE-4F56-9763-075185EFEFAB}" scale="60" colorId="22" showPageBreaks="1" printArea="1" view="pageBreakPreview">
      <selection activeCell="O46" sqref="O46"/>
      <rowBreaks count="1" manualBreakCount="1">
        <brk id="58" max="16383" man="1"/>
      </rowBreaks>
      <pageMargins left="0.65" right="0.4" top="0.3" bottom="0.3" header="0" footer="0"/>
      <printOptions horizontalCentered="1" verticalCentered="1"/>
      <pageSetup scale="66" orientation="portrait" r:id="rId10"/>
      <headerFooter alignWithMargins="0"/>
    </customSheetView>
    <customSheetView guid="{9C30803E-1E2D-4850-B0A5-591CA6F246A1}" scale="60" colorId="22" showPageBreaks="1" printArea="1" view="pageBreakPreview">
      <selection activeCell="O46" sqref="O46"/>
      <rowBreaks count="1" manualBreakCount="1">
        <brk id="58" max="16383" man="1"/>
      </rowBreaks>
      <pageMargins left="0.65" right="0.4" top="0.3" bottom="0.3" header="0" footer="0"/>
      <printOptions horizontalCentered="1" verticalCentered="1"/>
      <pageSetup scale="66" orientation="portrait" r:id="rId11"/>
      <headerFooter alignWithMargins="0"/>
    </customSheetView>
    <customSheetView guid="{3B1006FF-A2CA-49E7-9B25-DAC8815279AF}" scale="60" colorId="22" showPageBreaks="1" printArea="1" view="pageBreakPreview">
      <selection activeCell="O46" sqref="O46"/>
      <rowBreaks count="1" manualBreakCount="1">
        <brk id="58" max="16383" man="1"/>
      </rowBreaks>
      <pageMargins left="0.65" right="0.4" top="0.3" bottom="0.3" header="0" footer="0"/>
      <printOptions horizontalCentered="1" verticalCentered="1"/>
      <pageSetup scale="66" orientation="portrait" r:id="rId12"/>
      <headerFooter alignWithMargins="0"/>
    </customSheetView>
    <customSheetView guid="{FB1A60C8-E1F9-4DF0-8E0E-1C965F86027F}" scale="60" colorId="22" showPageBreaks="1" printArea="1" view="pageBreakPreview">
      <selection activeCell="O46" sqref="O46"/>
      <rowBreaks count="1" manualBreakCount="1">
        <brk id="58" max="16383" man="1"/>
      </rowBreaks>
      <pageMargins left="0.65" right="0.4" top="0.3" bottom="0.3" header="0" footer="0"/>
      <printOptions horizontalCentered="1" verticalCentered="1"/>
      <pageSetup scale="66" orientation="portrait" r:id="rId13"/>
      <headerFooter alignWithMargins="0"/>
    </customSheetView>
    <customSheetView guid="{C5B6D812-CBE6-46AA-99F7-02494E9802B4}" scale="70" colorId="22" topLeftCell="A30">
      <selection activeCell="C10" sqref="C10"/>
      <rowBreaks count="1" manualBreakCount="1">
        <brk id="58" max="16383" man="1"/>
      </rowBreaks>
      <pageMargins left="0.65" right="0.4" top="0.3" bottom="0.3" header="0" footer="0"/>
      <printOptions horizontalCentered="1" verticalCentered="1"/>
      <pageSetup scale="66" orientation="portrait" r:id="rId14"/>
      <headerFooter alignWithMargins="0"/>
    </customSheetView>
  </customSheetViews>
  <phoneticPr fontId="0" type="noConversion"/>
  <printOptions horizontalCentered="1" verticalCentered="1"/>
  <pageMargins left="0.65" right="0.4" top="0.3" bottom="0.3" header="0" footer="0"/>
  <pageSetup scale="66" orientation="portrait" r:id="rId15"/>
  <headerFooter alignWithMargins="0"/>
  <rowBreaks count="1" manualBreakCount="1">
    <brk id="58" max="16383" man="1"/>
  </rowBreaks>
  <customProperties>
    <customPr name="_pios_id" r:id="rId16"/>
  </customProperties>
</worksheet>
</file>

<file path=xl/worksheets/sheet11.xml><?xml version="1.0" encoding="utf-8"?>
<worksheet xmlns="http://schemas.openxmlformats.org/spreadsheetml/2006/main" xmlns:r="http://schemas.openxmlformats.org/officeDocument/2006/relationships">
  <sheetPr transitionEvaluation="1" codeName="Sheet11" enableFormatConditionsCalculation="0"/>
  <dimension ref="A1:H124"/>
  <sheetViews>
    <sheetView defaultGridColor="0" colorId="22" zoomScale="70" zoomScaleNormal="70" zoomScaleSheetLayoutView="75" workbookViewId="0"/>
  </sheetViews>
  <sheetFormatPr defaultColWidth="12.6640625" defaultRowHeight="15"/>
  <cols>
    <col min="1" max="1" width="2.77734375" customWidth="1"/>
    <col min="2" max="2" width="47" customWidth="1"/>
    <col min="3" max="3" width="2.77734375" customWidth="1"/>
    <col min="4" max="4" width="1.77734375" customWidth="1"/>
    <col min="5" max="5" width="13.77734375" customWidth="1"/>
    <col min="6" max="6" width="12.77734375" customWidth="1"/>
    <col min="7" max="7" width="19.21875" customWidth="1"/>
  </cols>
  <sheetData>
    <row r="1" spans="1:7" ht="15.75" thickBot="1">
      <c r="A1" s="48" t="str">
        <f>'Data sheet'!$A$53</f>
        <v>Annual Report of New York American Water Company, Inc. (f/k/a Long Island Water Corp)                                   Year Ended  December 31, 2013</v>
      </c>
    </row>
    <row r="2" spans="1:7">
      <c r="A2" s="173"/>
      <c r="B2" s="174"/>
      <c r="C2" s="174"/>
      <c r="D2" s="174"/>
      <c r="E2" s="174"/>
      <c r="F2" s="174"/>
      <c r="G2" s="175"/>
    </row>
    <row r="3" spans="1:7" ht="15.75">
      <c r="A3" s="176" t="s">
        <v>837</v>
      </c>
      <c r="B3" s="177"/>
      <c r="C3" s="177"/>
      <c r="D3" s="177"/>
      <c r="E3" s="177"/>
      <c r="F3" s="177"/>
      <c r="G3" s="178"/>
    </row>
    <row r="4" spans="1:7">
      <c r="A4" s="179"/>
      <c r="B4" s="180"/>
      <c r="C4" s="180"/>
      <c r="D4" s="180"/>
      <c r="E4" s="180"/>
      <c r="F4" s="180"/>
      <c r="G4" s="181"/>
    </row>
    <row r="5" spans="1:7">
      <c r="A5" s="183"/>
      <c r="B5" s="869" t="s">
        <v>1481</v>
      </c>
      <c r="C5" s="184" t="s">
        <v>2390</v>
      </c>
      <c r="D5" s="869" t="s">
        <v>1482</v>
      </c>
      <c r="E5" s="184"/>
      <c r="F5" s="184"/>
      <c r="G5" s="185"/>
    </row>
    <row r="6" spans="1:7">
      <c r="A6" s="183"/>
      <c r="B6" s="869" t="s">
        <v>667</v>
      </c>
      <c r="C6" s="184"/>
      <c r="D6" s="869" t="s">
        <v>2285</v>
      </c>
      <c r="E6" s="184"/>
      <c r="F6" s="184"/>
      <c r="G6" s="185"/>
    </row>
    <row r="7" spans="1:7">
      <c r="A7" s="183"/>
      <c r="B7" s="869" t="s">
        <v>2541</v>
      </c>
      <c r="C7" s="184"/>
      <c r="D7" s="869" t="s">
        <v>2542</v>
      </c>
      <c r="E7" s="184"/>
      <c r="F7" s="184"/>
      <c r="G7" s="185"/>
    </row>
    <row r="8" spans="1:7">
      <c r="A8" s="183"/>
      <c r="B8" s="869" t="s">
        <v>2543</v>
      </c>
      <c r="C8" s="184"/>
      <c r="D8" s="869" t="s">
        <v>2170</v>
      </c>
      <c r="E8" s="184"/>
      <c r="F8" s="184"/>
      <c r="G8" s="216"/>
    </row>
    <row r="9" spans="1:7">
      <c r="A9" s="183"/>
      <c r="B9" s="869" t="s">
        <v>1630</v>
      </c>
      <c r="C9" s="184"/>
      <c r="D9" s="869" t="s">
        <v>1631</v>
      </c>
      <c r="E9" s="184"/>
      <c r="F9" s="184"/>
      <c r="G9" s="185"/>
    </row>
    <row r="10" spans="1:7">
      <c r="A10" s="183"/>
      <c r="B10" s="869" t="s">
        <v>1632</v>
      </c>
      <c r="C10" s="184"/>
      <c r="D10" s="869" t="s">
        <v>1633</v>
      </c>
      <c r="E10" s="184"/>
      <c r="F10" s="184"/>
      <c r="G10" s="185"/>
    </row>
    <row r="11" spans="1:7">
      <c r="A11" s="183"/>
      <c r="B11" s="869" t="s">
        <v>1634</v>
      </c>
      <c r="C11" s="184"/>
      <c r="D11" s="869" t="s">
        <v>1635</v>
      </c>
      <c r="E11" s="184"/>
      <c r="F11" s="217"/>
      <c r="G11" s="218"/>
    </row>
    <row r="12" spans="1:7">
      <c r="A12" s="183"/>
      <c r="B12" s="869" t="s">
        <v>1636</v>
      </c>
      <c r="C12" s="184"/>
      <c r="D12" s="869" t="s">
        <v>1637</v>
      </c>
      <c r="E12" s="184"/>
      <c r="F12" s="217"/>
      <c r="G12" s="218"/>
    </row>
    <row r="13" spans="1:7">
      <c r="A13" s="183"/>
      <c r="B13" s="869" t="s">
        <v>3237</v>
      </c>
      <c r="C13" s="184"/>
      <c r="D13" s="869" t="s">
        <v>3238</v>
      </c>
      <c r="E13" s="184"/>
      <c r="F13" s="217"/>
      <c r="G13" s="218"/>
    </row>
    <row r="14" spans="1:7">
      <c r="A14" s="183"/>
      <c r="B14" s="869" t="s">
        <v>4358</v>
      </c>
      <c r="C14" s="184"/>
      <c r="D14" s="869" t="s">
        <v>3931</v>
      </c>
      <c r="E14" s="184"/>
      <c r="F14" s="217"/>
      <c r="G14" s="218"/>
    </row>
    <row r="15" spans="1:7">
      <c r="A15" s="183"/>
      <c r="B15" s="869" t="s">
        <v>3932</v>
      </c>
      <c r="C15" s="184"/>
      <c r="D15" s="869" t="s">
        <v>3960</v>
      </c>
      <c r="E15" s="184"/>
      <c r="F15" s="217"/>
      <c r="G15" s="218"/>
    </row>
    <row r="16" spans="1:7">
      <c r="A16" s="183"/>
      <c r="B16" s="869" t="s">
        <v>3738</v>
      </c>
      <c r="C16" s="184"/>
      <c r="D16" s="869" t="s">
        <v>3739</v>
      </c>
      <c r="E16" s="184"/>
      <c r="F16" s="184"/>
      <c r="G16" s="185"/>
    </row>
    <row r="17" spans="1:7">
      <c r="A17" s="183"/>
      <c r="B17" s="869" t="s">
        <v>3740</v>
      </c>
      <c r="C17" s="184"/>
      <c r="D17" s="869" t="s">
        <v>3741</v>
      </c>
      <c r="E17" s="184"/>
      <c r="F17" s="184"/>
      <c r="G17" s="185"/>
    </row>
    <row r="18" spans="1:7">
      <c r="A18" s="183"/>
      <c r="B18" s="869" t="s">
        <v>3986</v>
      </c>
      <c r="C18" s="184"/>
      <c r="D18" s="869" t="s">
        <v>3987</v>
      </c>
      <c r="E18" s="186"/>
      <c r="F18" s="219"/>
      <c r="G18" s="220"/>
    </row>
    <row r="19" spans="1:7">
      <c r="A19" s="183"/>
      <c r="B19" s="869" t="s">
        <v>3988</v>
      </c>
      <c r="C19" s="184"/>
      <c r="D19" s="869" t="s">
        <v>3989</v>
      </c>
      <c r="E19" s="186"/>
      <c r="F19" s="219"/>
      <c r="G19" s="220"/>
    </row>
    <row r="20" spans="1:7">
      <c r="A20" s="183"/>
      <c r="B20" s="869" t="s">
        <v>4154</v>
      </c>
      <c r="C20" s="184"/>
      <c r="D20" s="869" t="s">
        <v>3852</v>
      </c>
      <c r="E20" s="186"/>
      <c r="F20" s="219"/>
      <c r="G20" s="220"/>
    </row>
    <row r="21" spans="1:7">
      <c r="A21" s="183"/>
      <c r="B21" s="186" t="s">
        <v>813</v>
      </c>
      <c r="C21" s="184"/>
      <c r="D21" s="869" t="s">
        <v>1079</v>
      </c>
      <c r="E21" s="186"/>
      <c r="F21" s="219"/>
      <c r="G21" s="220"/>
    </row>
    <row r="22" spans="1:7">
      <c r="A22" s="183"/>
      <c r="B22" s="869" t="s">
        <v>1080</v>
      </c>
      <c r="C22" s="184"/>
      <c r="D22" s="869" t="s">
        <v>1081</v>
      </c>
      <c r="E22" s="186"/>
      <c r="F22" s="219"/>
      <c r="G22" s="220"/>
    </row>
    <row r="23" spans="1:7">
      <c r="A23" s="183"/>
      <c r="B23" s="869" t="s">
        <v>2621</v>
      </c>
      <c r="C23" s="184"/>
      <c r="D23" s="869" t="s">
        <v>1023</v>
      </c>
      <c r="E23" s="186"/>
      <c r="F23" s="219"/>
      <c r="G23" s="220"/>
    </row>
    <row r="24" spans="1:7">
      <c r="A24" s="183"/>
      <c r="B24" s="869" t="s">
        <v>1024</v>
      </c>
      <c r="C24" s="871"/>
      <c r="D24" s="869" t="s">
        <v>1025</v>
      </c>
      <c r="E24" s="869"/>
      <c r="F24" s="219"/>
      <c r="G24" s="220"/>
    </row>
    <row r="25" spans="1:7">
      <c r="A25" s="183"/>
      <c r="B25" s="869" t="s">
        <v>835</v>
      </c>
      <c r="C25" s="184"/>
      <c r="D25" s="869" t="s">
        <v>2102</v>
      </c>
      <c r="E25" s="186"/>
      <c r="F25" s="219"/>
      <c r="G25" s="220"/>
    </row>
    <row r="26" spans="1:7">
      <c r="A26" s="183"/>
      <c r="B26" s="869" t="s">
        <v>2103</v>
      </c>
      <c r="C26" s="184"/>
      <c r="D26" s="184"/>
      <c r="E26" s="186"/>
      <c r="F26" s="219"/>
      <c r="G26" s="220"/>
    </row>
    <row r="27" spans="1:7">
      <c r="A27" s="183"/>
      <c r="B27" s="869"/>
      <c r="C27" s="184"/>
      <c r="D27" s="184"/>
      <c r="E27" s="186"/>
      <c r="F27" s="219"/>
      <c r="G27" s="220"/>
    </row>
    <row r="28" spans="1:7">
      <c r="A28" s="183"/>
      <c r="B28" s="869"/>
      <c r="C28" s="184"/>
      <c r="D28" s="184"/>
      <c r="E28" s="186"/>
      <c r="F28" s="219"/>
      <c r="G28" s="220"/>
    </row>
    <row r="29" spans="1:7">
      <c r="A29" s="183"/>
      <c r="B29" s="869"/>
      <c r="C29" s="184"/>
      <c r="D29" s="184"/>
      <c r="E29" s="186"/>
      <c r="F29" s="219"/>
      <c r="G29" s="220"/>
    </row>
    <row r="30" spans="1:7">
      <c r="A30" s="183"/>
      <c r="B30" s="869"/>
      <c r="C30" s="184"/>
      <c r="D30" s="184"/>
      <c r="E30" s="186"/>
      <c r="F30" s="219"/>
      <c r="G30" s="220"/>
    </row>
    <row r="31" spans="1:7">
      <c r="A31" s="183"/>
      <c r="B31" s="869" t="s">
        <v>2104</v>
      </c>
      <c r="C31" s="184"/>
      <c r="D31" s="869" t="s">
        <v>2105</v>
      </c>
      <c r="E31" s="869"/>
      <c r="F31" s="219"/>
      <c r="G31" s="220"/>
    </row>
    <row r="32" spans="1:7">
      <c r="A32" s="183"/>
      <c r="B32" s="869" t="s">
        <v>1614</v>
      </c>
      <c r="C32" s="184"/>
      <c r="D32" s="869" t="s">
        <v>1615</v>
      </c>
      <c r="E32" s="869"/>
      <c r="F32" s="219"/>
      <c r="G32" s="220"/>
    </row>
    <row r="33" spans="1:7">
      <c r="A33" s="183"/>
      <c r="B33" s="869" t="s">
        <v>2502</v>
      </c>
      <c r="C33" s="184"/>
      <c r="D33" s="869" t="s">
        <v>3228</v>
      </c>
      <c r="E33" s="869"/>
      <c r="F33" s="219"/>
      <c r="G33" s="220"/>
    </row>
    <row r="34" spans="1:7">
      <c r="A34" s="183"/>
      <c r="B34" s="869" t="s">
        <v>3229</v>
      </c>
      <c r="C34" s="184"/>
      <c r="D34" s="869" t="s">
        <v>746</v>
      </c>
      <c r="E34" s="869"/>
      <c r="F34" s="219"/>
      <c r="G34" s="220"/>
    </row>
    <row r="35" spans="1:7">
      <c r="A35" s="183"/>
      <c r="B35" s="869" t="s">
        <v>747</v>
      </c>
      <c r="C35" s="184"/>
      <c r="D35" s="869" t="s">
        <v>748</v>
      </c>
      <c r="E35" s="869"/>
      <c r="F35" s="219"/>
      <c r="G35" s="220"/>
    </row>
    <row r="36" spans="1:7">
      <c r="A36" s="183"/>
      <c r="B36" s="869" t="s">
        <v>1142</v>
      </c>
      <c r="C36" s="184"/>
      <c r="D36" s="869"/>
      <c r="E36" s="869"/>
      <c r="F36" s="219"/>
      <c r="G36" s="220"/>
    </row>
    <row r="37" spans="1:7">
      <c r="A37" s="187"/>
      <c r="B37" s="870"/>
      <c r="C37" s="189"/>
      <c r="D37" s="189"/>
      <c r="E37" s="188"/>
      <c r="F37" s="221"/>
      <c r="G37" s="222"/>
    </row>
    <row r="38" spans="1:7">
      <c r="A38" s="183">
        <v>1</v>
      </c>
      <c r="B38" s="209" t="s">
        <v>3019</v>
      </c>
      <c r="C38" s="177"/>
      <c r="D38" s="177"/>
      <c r="E38" s="195"/>
      <c r="F38" s="223"/>
      <c r="G38" s="224"/>
    </row>
    <row r="39" spans="1:7" ht="46.5" customHeight="1">
      <c r="A39" s="2904">
        <v>2</v>
      </c>
      <c r="B39" s="3025" t="s">
        <v>3019</v>
      </c>
      <c r="C39" s="3025"/>
      <c r="D39" s="3025"/>
      <c r="E39" s="3025"/>
      <c r="F39" s="3025"/>
      <c r="G39" s="3026"/>
    </row>
    <row r="40" spans="1:7">
      <c r="A40" s="183">
        <v>3</v>
      </c>
      <c r="B40" s="209" t="s">
        <v>3019</v>
      </c>
      <c r="C40" s="177"/>
      <c r="D40" s="177"/>
      <c r="E40" s="195"/>
      <c r="F40" s="223"/>
      <c r="G40" s="224"/>
    </row>
    <row r="41" spans="1:7">
      <c r="A41" s="183">
        <v>4</v>
      </c>
      <c r="B41" s="209" t="s">
        <v>576</v>
      </c>
      <c r="C41" s="177"/>
      <c r="D41" s="177"/>
      <c r="E41" s="195"/>
      <c r="F41" s="223"/>
      <c r="G41" s="224"/>
    </row>
    <row r="42" spans="1:7">
      <c r="A42" s="183">
        <v>5</v>
      </c>
      <c r="B42" s="209" t="s">
        <v>3019</v>
      </c>
      <c r="C42" s="177"/>
      <c r="D42" s="177"/>
      <c r="E42" s="195"/>
      <c r="F42" s="223"/>
      <c r="G42" s="224"/>
    </row>
    <row r="43" spans="1:7">
      <c r="A43" s="183">
        <v>6</v>
      </c>
      <c r="B43" s="209" t="s">
        <v>3019</v>
      </c>
      <c r="C43" s="177"/>
      <c r="D43" s="177"/>
      <c r="E43" s="195"/>
      <c r="F43" s="223"/>
      <c r="G43" s="224"/>
    </row>
    <row r="44" spans="1:7">
      <c r="A44" s="183">
        <v>7</v>
      </c>
      <c r="B44" s="3027" t="s">
        <v>5327</v>
      </c>
      <c r="C44" s="3028"/>
      <c r="D44" s="3028"/>
      <c r="E44" s="3028"/>
      <c r="F44" s="3028"/>
      <c r="G44" s="3029"/>
    </row>
    <row r="45" spans="1:7">
      <c r="A45" s="183"/>
      <c r="B45" s="3028"/>
      <c r="C45" s="3028"/>
      <c r="D45" s="3028"/>
      <c r="E45" s="3028"/>
      <c r="F45" s="3028"/>
      <c r="G45" s="3029"/>
    </row>
    <row r="46" spans="1:7">
      <c r="A46" s="183"/>
      <c r="B46" s="3028"/>
      <c r="C46" s="3028"/>
      <c r="D46" s="3028"/>
      <c r="E46" s="3028"/>
      <c r="F46" s="3028"/>
      <c r="G46" s="3029"/>
    </row>
    <row r="47" spans="1:7">
      <c r="A47" s="183">
        <v>8</v>
      </c>
      <c r="B47" s="1669" t="s">
        <v>3019</v>
      </c>
      <c r="C47" s="177"/>
      <c r="D47" s="177"/>
      <c r="E47" s="195"/>
      <c r="F47" s="223"/>
      <c r="G47" s="224"/>
    </row>
    <row r="48" spans="1:7">
      <c r="A48" s="183">
        <v>9</v>
      </c>
      <c r="B48" s="1669" t="s">
        <v>3600</v>
      </c>
      <c r="C48" s="177"/>
      <c r="D48" s="177"/>
      <c r="E48" s="195"/>
      <c r="F48" s="223"/>
      <c r="G48" s="224"/>
    </row>
    <row r="49" spans="1:8" ht="48" customHeight="1">
      <c r="A49" s="183">
        <v>10</v>
      </c>
      <c r="B49" s="3025" t="s">
        <v>5340</v>
      </c>
      <c r="C49" s="3025"/>
      <c r="D49" s="3025"/>
      <c r="E49" s="3025"/>
      <c r="F49" s="3025"/>
      <c r="G49" s="3026"/>
      <c r="H49" s="1635"/>
    </row>
    <row r="50" spans="1:8">
      <c r="A50" s="183">
        <v>11</v>
      </c>
      <c r="B50" s="209" t="s">
        <v>576</v>
      </c>
      <c r="C50" s="177"/>
      <c r="D50" s="177"/>
      <c r="E50" s="195"/>
      <c r="F50" s="223"/>
      <c r="G50" s="224"/>
    </row>
    <row r="51" spans="1:8">
      <c r="A51" s="183">
        <v>12</v>
      </c>
      <c r="B51" s="1669" t="s">
        <v>4650</v>
      </c>
      <c r="C51" s="177"/>
      <c r="D51" s="177"/>
      <c r="E51" s="195"/>
      <c r="F51" s="223"/>
      <c r="G51" s="224"/>
    </row>
    <row r="52" spans="1:8" ht="15.75" thickBot="1">
      <c r="A52" s="225"/>
      <c r="B52" s="211"/>
      <c r="C52" s="226"/>
      <c r="D52" s="226"/>
      <c r="E52" s="214"/>
      <c r="F52" s="227"/>
      <c r="G52" s="228"/>
    </row>
    <row r="53" spans="1:8">
      <c r="A53" s="195" t="s">
        <v>4066</v>
      </c>
      <c r="B53" s="195"/>
      <c r="C53" s="177"/>
      <c r="D53" s="177"/>
      <c r="E53" s="195"/>
      <c r="F53" s="223"/>
      <c r="G53" s="223"/>
    </row>
    <row r="54" spans="1:8">
      <c r="A54" s="3024" t="s">
        <v>1143</v>
      </c>
      <c r="B54" s="3024"/>
      <c r="C54" s="3024"/>
      <c r="D54" s="3024"/>
      <c r="E54" s="3024"/>
      <c r="F54" s="3024"/>
      <c r="G54" s="3024"/>
    </row>
    <row r="55" spans="1:8">
      <c r="B55" s="177"/>
      <c r="C55" s="131"/>
      <c r="D55" s="177"/>
      <c r="E55" s="229"/>
      <c r="F55" s="131"/>
      <c r="G55" s="229"/>
    </row>
    <row r="56" spans="1:8" ht="15.75" thickBot="1">
      <c r="A56" s="48" t="str">
        <f>'Data sheet'!$A$53</f>
        <v>Annual Report of New York American Water Company, Inc. (f/k/a Long Island Water Corp)                                   Year Ended  December 31, 2013</v>
      </c>
    </row>
    <row r="57" spans="1:8">
      <c r="A57" s="173"/>
      <c r="B57" s="174"/>
      <c r="C57" s="174"/>
      <c r="D57" s="174"/>
      <c r="E57" s="174"/>
      <c r="F57" s="174"/>
      <c r="G57" s="175"/>
    </row>
    <row r="58" spans="1:8" ht="15.75">
      <c r="A58" s="176" t="s">
        <v>822</v>
      </c>
      <c r="B58" s="177"/>
      <c r="C58" s="177"/>
      <c r="D58" s="177"/>
      <c r="E58" s="177"/>
      <c r="F58" s="177"/>
      <c r="G58" s="178"/>
    </row>
    <row r="59" spans="1:8">
      <c r="A59" s="179"/>
      <c r="B59" s="180"/>
      <c r="C59" s="180"/>
      <c r="D59" s="180"/>
      <c r="E59" s="180"/>
      <c r="F59" s="180"/>
      <c r="G59" s="181"/>
    </row>
    <row r="60" spans="1:8">
      <c r="A60" s="93"/>
      <c r="B60" s="131"/>
      <c r="C60" s="131"/>
      <c r="D60" s="131"/>
      <c r="E60" s="131"/>
      <c r="F60" s="131"/>
      <c r="G60" s="132"/>
    </row>
    <row r="61" spans="1:8" ht="15.75">
      <c r="A61" s="93"/>
      <c r="B61" s="1860" t="s">
        <v>177</v>
      </c>
      <c r="C61" s="131"/>
      <c r="D61" s="131"/>
      <c r="E61" s="131"/>
      <c r="F61" s="131"/>
      <c r="G61" s="132"/>
    </row>
    <row r="62" spans="1:8">
      <c r="A62" s="93"/>
      <c r="B62" s="131"/>
      <c r="C62" s="131"/>
      <c r="D62" s="131"/>
      <c r="E62" s="131"/>
      <c r="F62" s="131"/>
      <c r="G62" s="132"/>
    </row>
    <row r="63" spans="1:8">
      <c r="A63" s="93"/>
      <c r="B63" s="131"/>
      <c r="C63" s="131"/>
      <c r="D63" s="131"/>
      <c r="E63" s="131"/>
      <c r="F63" s="131"/>
      <c r="G63" s="132"/>
    </row>
    <row r="64" spans="1:8">
      <c r="A64" s="93"/>
      <c r="B64" s="131"/>
      <c r="C64" s="131"/>
      <c r="D64" s="131"/>
      <c r="E64" s="131"/>
      <c r="F64" s="131"/>
      <c r="G64" s="132"/>
    </row>
    <row r="65" spans="1:7">
      <c r="A65" s="93"/>
      <c r="B65" s="131"/>
      <c r="C65" s="131"/>
      <c r="D65" s="131"/>
      <c r="E65" s="131"/>
      <c r="F65" s="131"/>
      <c r="G65" s="132"/>
    </row>
    <row r="66" spans="1:7">
      <c r="A66" s="93"/>
      <c r="B66" s="131"/>
      <c r="C66" s="131"/>
      <c r="D66" s="131"/>
      <c r="E66" s="131"/>
      <c r="F66" s="131"/>
      <c r="G66" s="132"/>
    </row>
    <row r="67" spans="1:7">
      <c r="A67" s="93"/>
      <c r="B67" s="131"/>
      <c r="C67" s="131"/>
      <c r="D67" s="131"/>
      <c r="E67" s="131"/>
      <c r="F67" s="131"/>
      <c r="G67" s="132"/>
    </row>
    <row r="68" spans="1:7">
      <c r="A68" s="93"/>
      <c r="B68" s="131"/>
      <c r="C68" s="131"/>
      <c r="D68" s="131"/>
      <c r="E68" s="131"/>
      <c r="F68" s="131"/>
      <c r="G68" s="132"/>
    </row>
    <row r="69" spans="1:7">
      <c r="A69" s="93"/>
      <c r="B69" s="131"/>
      <c r="C69" s="131"/>
      <c r="D69" s="131"/>
      <c r="E69" s="131"/>
      <c r="F69" s="131"/>
      <c r="G69" s="132"/>
    </row>
    <row r="70" spans="1:7">
      <c r="A70" s="93"/>
      <c r="B70" s="131"/>
      <c r="C70" s="131"/>
      <c r="D70" s="131"/>
      <c r="E70" s="131"/>
      <c r="F70" s="131"/>
      <c r="G70" s="132"/>
    </row>
    <row r="71" spans="1:7">
      <c r="A71" s="93"/>
      <c r="B71" s="131"/>
      <c r="C71" s="131"/>
      <c r="D71" s="131"/>
      <c r="E71" s="131"/>
      <c r="F71" s="131"/>
      <c r="G71" s="132"/>
    </row>
    <row r="72" spans="1:7">
      <c r="A72" s="93"/>
      <c r="B72" s="131"/>
      <c r="C72" s="131"/>
      <c r="D72" s="131"/>
      <c r="E72" s="131"/>
      <c r="F72" s="131"/>
      <c r="G72" s="132"/>
    </row>
    <row r="73" spans="1:7">
      <c r="A73" s="93"/>
      <c r="B73" s="131"/>
      <c r="C73" s="131"/>
      <c r="D73" s="131"/>
      <c r="E73" s="131"/>
      <c r="F73" s="131"/>
      <c r="G73" s="132"/>
    </row>
    <row r="74" spans="1:7">
      <c r="A74" s="93"/>
      <c r="B74" s="131"/>
      <c r="C74" s="131"/>
      <c r="D74" s="131"/>
      <c r="E74" s="131"/>
      <c r="F74" s="131"/>
      <c r="G74" s="132"/>
    </row>
    <row r="75" spans="1:7">
      <c r="A75" s="93"/>
      <c r="B75" s="131"/>
      <c r="C75" s="131"/>
      <c r="D75" s="131"/>
      <c r="E75" s="131"/>
      <c r="F75" s="131"/>
      <c r="G75" s="132"/>
    </row>
    <row r="76" spans="1:7">
      <c r="A76" s="93"/>
      <c r="B76" s="131"/>
      <c r="C76" s="131"/>
      <c r="D76" s="131"/>
      <c r="E76" s="131"/>
      <c r="F76" s="131"/>
      <c r="G76" s="132"/>
    </row>
    <row r="77" spans="1:7">
      <c r="A77" s="93"/>
      <c r="B77" s="131"/>
      <c r="C77" s="131"/>
      <c r="D77" s="131"/>
      <c r="E77" s="131"/>
      <c r="F77" s="131"/>
      <c r="G77" s="132"/>
    </row>
    <row r="78" spans="1:7">
      <c r="A78" s="93"/>
      <c r="B78" s="131"/>
      <c r="C78" s="131"/>
      <c r="D78" s="131"/>
      <c r="E78" s="131"/>
      <c r="F78" s="131"/>
      <c r="G78" s="132"/>
    </row>
    <row r="79" spans="1:7">
      <c r="A79" s="93"/>
      <c r="B79" s="131"/>
      <c r="C79" s="131"/>
      <c r="D79" s="131"/>
      <c r="E79" s="131"/>
      <c r="F79" s="131"/>
      <c r="G79" s="132"/>
    </row>
    <row r="80" spans="1:7">
      <c r="A80" s="93"/>
      <c r="B80" s="131"/>
      <c r="C80" s="131"/>
      <c r="D80" s="131"/>
      <c r="E80" s="131"/>
      <c r="F80" s="131"/>
      <c r="G80" s="132"/>
    </row>
    <row r="81" spans="1:7">
      <c r="A81" s="93"/>
      <c r="B81" s="131"/>
      <c r="C81" s="131"/>
      <c r="D81" s="131"/>
      <c r="E81" s="131"/>
      <c r="F81" s="131"/>
      <c r="G81" s="132"/>
    </row>
    <row r="82" spans="1:7">
      <c r="A82" s="93"/>
      <c r="B82" s="131"/>
      <c r="C82" s="131"/>
      <c r="D82" s="131"/>
      <c r="E82" s="131"/>
      <c r="F82" s="131"/>
      <c r="G82" s="132"/>
    </row>
    <row r="83" spans="1:7">
      <c r="A83" s="93"/>
      <c r="B83" s="131"/>
      <c r="C83" s="131"/>
      <c r="D83" s="131"/>
      <c r="E83" s="131"/>
      <c r="F83" s="131"/>
      <c r="G83" s="132"/>
    </row>
    <row r="84" spans="1:7">
      <c r="A84" s="93"/>
      <c r="B84" s="131"/>
      <c r="C84" s="131"/>
      <c r="D84" s="131"/>
      <c r="E84" s="131"/>
      <c r="F84" s="131"/>
      <c r="G84" s="132"/>
    </row>
    <row r="85" spans="1:7">
      <c r="A85" s="93"/>
      <c r="B85" s="131"/>
      <c r="C85" s="131"/>
      <c r="D85" s="131"/>
      <c r="E85" s="131"/>
      <c r="F85" s="131"/>
      <c r="G85" s="132"/>
    </row>
    <row r="86" spans="1:7">
      <c r="A86" s="93"/>
      <c r="B86" s="131"/>
      <c r="C86" s="131"/>
      <c r="D86" s="131"/>
      <c r="E86" s="131"/>
      <c r="F86" s="131"/>
      <c r="G86" s="132"/>
    </row>
    <row r="87" spans="1:7">
      <c r="A87" s="93"/>
      <c r="B87" s="131"/>
      <c r="C87" s="131"/>
      <c r="D87" s="131"/>
      <c r="E87" s="131"/>
      <c r="F87" s="131"/>
      <c r="G87" s="132"/>
    </row>
    <row r="88" spans="1:7">
      <c r="A88" s="93"/>
      <c r="B88" s="131"/>
      <c r="C88" s="131"/>
      <c r="D88" s="131"/>
      <c r="E88" s="131"/>
      <c r="F88" s="131"/>
      <c r="G88" s="132"/>
    </row>
    <row r="89" spans="1:7">
      <c r="A89" s="93"/>
      <c r="B89" s="131"/>
      <c r="C89" s="131"/>
      <c r="D89" s="131"/>
      <c r="E89" s="131"/>
      <c r="F89" s="131"/>
      <c r="G89" s="132"/>
    </row>
    <row r="90" spans="1:7">
      <c r="A90" s="93"/>
      <c r="B90" s="131"/>
      <c r="C90" s="131"/>
      <c r="D90" s="131"/>
      <c r="E90" s="131"/>
      <c r="F90" s="131"/>
      <c r="G90" s="132"/>
    </row>
    <row r="91" spans="1:7">
      <c r="A91" s="93"/>
      <c r="B91" s="131"/>
      <c r="C91" s="131"/>
      <c r="D91" s="131"/>
      <c r="E91" s="131"/>
      <c r="F91" s="131"/>
      <c r="G91" s="132"/>
    </row>
    <row r="92" spans="1:7">
      <c r="A92" s="93"/>
      <c r="B92" s="131"/>
      <c r="C92" s="131"/>
      <c r="D92" s="131"/>
      <c r="E92" s="131"/>
      <c r="F92" s="131"/>
      <c r="G92" s="132"/>
    </row>
    <row r="93" spans="1:7">
      <c r="A93" s="93"/>
      <c r="B93" s="131"/>
      <c r="C93" s="131"/>
      <c r="D93" s="131"/>
      <c r="E93" s="131"/>
      <c r="F93" s="131"/>
      <c r="G93" s="132"/>
    </row>
    <row r="94" spans="1:7">
      <c r="A94" s="93"/>
      <c r="B94" s="131"/>
      <c r="C94" s="131"/>
      <c r="D94" s="131"/>
      <c r="E94" s="131"/>
      <c r="F94" s="131"/>
      <c r="G94" s="132"/>
    </row>
    <row r="95" spans="1:7">
      <c r="A95" s="93"/>
      <c r="B95" s="131"/>
      <c r="C95" s="131"/>
      <c r="D95" s="131"/>
      <c r="E95" s="131"/>
      <c r="F95" s="131"/>
      <c r="G95" s="132"/>
    </row>
    <row r="96" spans="1:7">
      <c r="A96" s="93"/>
      <c r="B96" s="131"/>
      <c r="C96" s="131"/>
      <c r="D96" s="131"/>
      <c r="E96" s="131"/>
      <c r="F96" s="131"/>
      <c r="G96" s="132"/>
    </row>
    <row r="97" spans="1:7">
      <c r="A97" s="93"/>
      <c r="B97" s="131"/>
      <c r="C97" s="131"/>
      <c r="D97" s="131"/>
      <c r="E97" s="131"/>
      <c r="F97" s="131"/>
      <c r="G97" s="132"/>
    </row>
    <row r="98" spans="1:7">
      <c r="A98" s="93"/>
      <c r="B98" s="131"/>
      <c r="C98" s="131"/>
      <c r="D98" s="131"/>
      <c r="E98" s="131"/>
      <c r="F98" s="131"/>
      <c r="G98" s="132"/>
    </row>
    <row r="99" spans="1:7">
      <c r="A99" s="93"/>
      <c r="B99" s="131"/>
      <c r="C99" s="131"/>
      <c r="D99" s="131"/>
      <c r="E99" s="131"/>
      <c r="F99" s="131"/>
      <c r="G99" s="132"/>
    </row>
    <row r="100" spans="1:7">
      <c r="A100" s="93"/>
      <c r="B100" s="131"/>
      <c r="C100" s="131"/>
      <c r="D100" s="131"/>
      <c r="E100" s="131"/>
      <c r="F100" s="131"/>
      <c r="G100" s="132"/>
    </row>
    <row r="101" spans="1:7">
      <c r="A101" s="93"/>
      <c r="B101" s="131"/>
      <c r="C101" s="131"/>
      <c r="D101" s="131"/>
      <c r="E101" s="131"/>
      <c r="F101" s="131"/>
      <c r="G101" s="132"/>
    </row>
    <row r="102" spans="1:7">
      <c r="A102" s="93"/>
      <c r="B102" s="131"/>
      <c r="C102" s="131"/>
      <c r="D102" s="131"/>
      <c r="E102" s="131"/>
      <c r="F102" s="131"/>
      <c r="G102" s="132"/>
    </row>
    <row r="103" spans="1:7">
      <c r="A103" s="93"/>
      <c r="B103" s="131"/>
      <c r="C103" s="131"/>
      <c r="D103" s="131"/>
      <c r="E103" s="131"/>
      <c r="F103" s="131"/>
      <c r="G103" s="132"/>
    </row>
    <row r="104" spans="1:7">
      <c r="A104" s="93"/>
      <c r="B104" s="131"/>
      <c r="C104" s="131"/>
      <c r="D104" s="131"/>
      <c r="E104" s="131"/>
      <c r="F104" s="131"/>
      <c r="G104" s="132"/>
    </row>
    <row r="105" spans="1:7">
      <c r="A105" s="93"/>
      <c r="B105" s="131"/>
      <c r="C105" s="131"/>
      <c r="D105" s="131"/>
      <c r="E105" s="131"/>
      <c r="F105" s="131"/>
      <c r="G105" s="132"/>
    </row>
    <row r="106" spans="1:7">
      <c r="A106" s="93"/>
      <c r="B106" s="131"/>
      <c r="C106" s="131"/>
      <c r="D106" s="131"/>
      <c r="E106" s="131"/>
      <c r="F106" s="131"/>
      <c r="G106" s="132"/>
    </row>
    <row r="107" spans="1:7">
      <c r="A107" s="93"/>
      <c r="B107" s="131"/>
      <c r="C107" s="131"/>
      <c r="D107" s="131"/>
      <c r="E107" s="131"/>
      <c r="F107" s="131"/>
      <c r="G107" s="132"/>
    </row>
    <row r="108" spans="1:7">
      <c r="A108" s="93"/>
      <c r="B108" s="131"/>
      <c r="C108" s="131"/>
      <c r="D108" s="131"/>
      <c r="E108" s="131"/>
      <c r="F108" s="131"/>
      <c r="G108" s="132"/>
    </row>
    <row r="109" spans="1:7">
      <c r="A109" s="93"/>
      <c r="B109" s="11"/>
      <c r="C109" s="131"/>
      <c r="D109" s="131"/>
      <c r="E109" s="131"/>
      <c r="F109" s="131"/>
      <c r="G109" s="132"/>
    </row>
    <row r="110" spans="1:7" ht="15.75" thickBot="1">
      <c r="A110" s="137"/>
      <c r="B110" s="138"/>
      <c r="C110" s="139"/>
      <c r="D110" s="139"/>
      <c r="E110" s="139"/>
      <c r="F110" s="139"/>
      <c r="G110" s="140"/>
    </row>
    <row r="111" spans="1:7">
      <c r="A111" s="195"/>
      <c r="B111" s="195"/>
      <c r="C111" s="177"/>
      <c r="D111" s="177"/>
      <c r="E111" s="195"/>
      <c r="F111" s="223"/>
      <c r="G111" s="195" t="s">
        <v>4066</v>
      </c>
    </row>
    <row r="112" spans="1:7">
      <c r="A112" s="177" t="s">
        <v>823</v>
      </c>
      <c r="B112" s="177"/>
      <c r="C112" s="131"/>
      <c r="D112" s="177"/>
      <c r="E112" s="229"/>
      <c r="F112" s="131"/>
      <c r="G112" s="229"/>
    </row>
    <row r="113" spans="1:7">
      <c r="A113" s="128"/>
      <c r="B113" s="128"/>
      <c r="C113" s="131"/>
      <c r="D113" s="128"/>
      <c r="E113" s="128"/>
      <c r="F113" s="131"/>
      <c r="G113" s="131"/>
    </row>
    <row r="114" spans="1:7">
      <c r="A114" s="195"/>
      <c r="B114" s="195"/>
      <c r="C114" s="177"/>
      <c r="D114" s="177"/>
      <c r="E114" s="195"/>
      <c r="F114" s="223"/>
      <c r="G114" s="223"/>
    </row>
    <row r="115" spans="1:7">
      <c r="A115" s="11"/>
      <c r="B115" s="11"/>
      <c r="C115" s="11"/>
      <c r="D115" s="11"/>
      <c r="E115" s="11"/>
      <c r="F115" s="11"/>
      <c r="G115" s="223"/>
    </row>
    <row r="116" spans="1:7">
      <c r="A116" s="195"/>
      <c r="B116" s="195"/>
      <c r="C116" s="195"/>
      <c r="D116" s="195"/>
      <c r="E116" s="195"/>
      <c r="F116" s="223"/>
      <c r="G116" s="223"/>
    </row>
    <row r="117" spans="1:7">
      <c r="A117" s="195"/>
      <c r="B117" s="195"/>
      <c r="C117" s="195"/>
      <c r="D117" s="195"/>
      <c r="E117" s="195"/>
      <c r="F117" s="223"/>
      <c r="G117" s="223"/>
    </row>
    <row r="118" spans="1:7">
      <c r="A118" s="195"/>
      <c r="B118" s="195"/>
      <c r="C118" s="195"/>
      <c r="D118" s="195"/>
      <c r="E118" s="195"/>
      <c r="F118" s="223"/>
      <c r="G118" s="223"/>
    </row>
    <row r="119" spans="1:7">
      <c r="A119" s="195"/>
      <c r="B119" s="195"/>
      <c r="C119" s="195"/>
      <c r="D119" s="195"/>
      <c r="E119" s="195"/>
      <c r="F119" s="223"/>
      <c r="G119" s="223"/>
    </row>
    <row r="120" spans="1:7">
      <c r="A120" s="195"/>
      <c r="B120" s="195"/>
      <c r="C120" s="195"/>
      <c r="D120" s="195"/>
      <c r="E120" s="195"/>
      <c r="F120" s="223"/>
      <c r="G120" s="223"/>
    </row>
    <row r="121" spans="1:7">
      <c r="A121" s="195"/>
      <c r="B121" s="195"/>
      <c r="C121" s="195"/>
      <c r="D121" s="195"/>
      <c r="E121" s="195"/>
      <c r="F121" s="223"/>
      <c r="G121" s="223"/>
    </row>
    <row r="122" spans="1:7">
      <c r="A122" s="195"/>
      <c r="B122" s="195"/>
      <c r="C122" s="195"/>
      <c r="D122" s="195"/>
      <c r="E122" s="195"/>
      <c r="F122" s="223"/>
      <c r="G122" s="223"/>
    </row>
    <row r="123" spans="1:7">
      <c r="A123" s="195"/>
      <c r="B123" s="195"/>
      <c r="C123" s="195"/>
      <c r="D123" s="195"/>
      <c r="E123" s="195"/>
      <c r="F123" s="223"/>
      <c r="G123" s="223"/>
    </row>
    <row r="124" spans="1:7">
      <c r="A124" s="195"/>
      <c r="B124" s="195"/>
      <c r="C124" s="195"/>
      <c r="D124" s="195"/>
      <c r="E124" s="195"/>
      <c r="F124" s="223"/>
      <c r="G124" s="223"/>
    </row>
  </sheetData>
  <customSheetViews>
    <customSheetView guid="{1BA452AD-1A45-4D9C-9666-ADFFA6F2F567}" colorId="22" topLeftCell="A25">
      <selection activeCell="H50" sqref="H50"/>
      <rowBreaks count="1" manualBreakCount="1">
        <brk id="57" max="16383" man="1"/>
      </rowBreaks>
      <pageMargins left="0.75" right="0.4" top="0.3" bottom="0.3" header="0.5" footer="0.5"/>
      <printOptions horizontalCentered="1" verticalCentered="1"/>
      <pageSetup scale="78" fitToWidth="2" orientation="portrait" r:id="rId1"/>
      <headerFooter alignWithMargins="0"/>
    </customSheetView>
    <customSheetView guid="{EEF7ABD6-0F96-4791-B749-C06F707E7673}" scale="87" colorId="22" showRuler="0" topLeftCell="A31">
      <selection activeCell="B48" sqref="B48"/>
      <rowBreaks count="1" manualBreakCount="1">
        <brk id="57" max="16383" man="1"/>
      </rowBreaks>
      <pageMargins left="0.75" right="0.4" top="0.3" bottom="0.3" header="0.5" footer="0.5"/>
      <printOptions horizontalCentered="1" verticalCentered="1"/>
      <pageSetup scale="78" fitToWidth="2" orientation="portrait" r:id="rId2"/>
      <headerFooter alignWithMargins="0"/>
    </customSheetView>
    <customSheetView guid="{A7D7DB3C-AFE6-468E-8C6B-9531F6711497}" scale="87" colorId="22" showRuler="0" topLeftCell="A37">
      <selection activeCell="F28" sqref="F28"/>
      <rowBreaks count="1" manualBreakCount="1">
        <brk id="58" max="16383" man="1"/>
      </rowBreaks>
      <pageMargins left="0.75" right="0.4" top="0.3" bottom="0.3" header="0.5" footer="0.5"/>
      <printOptions horizontalCentered="1" verticalCentered="1"/>
      <pageSetup scale="78" fitToWidth="2" orientation="portrait" r:id="rId3"/>
      <headerFooter alignWithMargins="0"/>
    </customSheetView>
    <customSheetView guid="{4436FEB5-BFEC-4348-9286-CB706802873E}" scale="87" colorId="22" showRuler="0">
      <selection activeCell="F28" sqref="F28"/>
      <rowBreaks count="1" manualBreakCount="1">
        <brk id="58" max="16383" man="1"/>
      </rowBreaks>
      <pageMargins left="0.75" right="0.4" top="0.3" bottom="0.3" header="0.5" footer="0.5"/>
      <printOptions horizontalCentered="1" verticalCentered="1"/>
      <pageSetup scale="78" fitToWidth="2" orientation="portrait" r:id="rId4"/>
      <headerFooter alignWithMargins="0"/>
    </customSheetView>
    <customSheetView guid="{4826FCC0-BDD6-4B2C-ACC6-ACE271DDF0E3}" scale="87" colorId="22" showRuler="0" topLeftCell="A19">
      <selection activeCell="G46" sqref="G46"/>
      <rowBreaks count="1" manualBreakCount="1">
        <brk id="57" max="16383" man="1"/>
      </rowBreaks>
      <pageMargins left="0.75" right="0.4" top="0.3" bottom="0.3" header="0.5" footer="0.5"/>
      <printOptions horizontalCentered="1" verticalCentered="1"/>
      <pageSetup scale="78" fitToWidth="2" orientation="portrait" r:id="rId5"/>
      <headerFooter alignWithMargins="0"/>
    </customSheetView>
    <customSheetView guid="{EF376D10-23D6-4FE2-AB5B-4460D52CC93F}" scale="87" colorId="22" showRuler="0" topLeftCell="A19">
      <selection activeCell="G46" sqref="G46"/>
      <rowBreaks count="1" manualBreakCount="1">
        <brk id="57" max="16383" man="1"/>
      </rowBreaks>
      <pageMargins left="0.75" right="0.4" top="0.3" bottom="0.3" header="0.5" footer="0.5"/>
      <printOptions horizontalCentered="1" verticalCentered="1"/>
      <pageSetup scale="78" fitToWidth="2" orientation="portrait" r:id="rId6"/>
      <headerFooter alignWithMargins="0"/>
    </customSheetView>
    <customSheetView guid="{1C046605-15CE-44F1-BFCD-2CA8588E7ACF}" scale="87" colorId="22" showRuler="0" topLeftCell="A16">
      <selection activeCell="I32" sqref="I32"/>
      <rowBreaks count="1" manualBreakCount="1">
        <brk id="57" max="16383" man="1"/>
      </rowBreaks>
      <pageMargins left="0.75" right="0.4" top="0.3" bottom="0.3" header="0.5" footer="0.5"/>
      <printOptions horizontalCentered="1" verticalCentered="1"/>
      <pageSetup scale="78" fitToWidth="2" orientation="portrait" r:id="rId7"/>
      <headerFooter alignWithMargins="0"/>
    </customSheetView>
    <customSheetView guid="{3911D713-188C-46A1-A299-F21DD3B7A146}" scale="87" colorId="22" showRuler="0" topLeftCell="A16">
      <selection activeCell="I32" sqref="I32"/>
      <rowBreaks count="1" manualBreakCount="1">
        <brk id="57" max="16383" man="1"/>
      </rowBreaks>
      <pageMargins left="0.75" right="0.4" top="0.3" bottom="0.3" header="0.5" footer="0.5"/>
      <printOptions horizontalCentered="1" verticalCentered="1"/>
      <pageSetup scale="78" fitToWidth="2" orientation="portrait" r:id="rId8"/>
      <headerFooter alignWithMargins="0"/>
    </customSheetView>
    <customSheetView guid="{78BB1E60-60BE-4F56-9763-075185EFEFAB}" colorId="22" topLeftCell="A25">
      <selection activeCell="H50" sqref="H50"/>
      <rowBreaks count="1" manualBreakCount="1">
        <brk id="57" max="16383" man="1"/>
      </rowBreaks>
      <pageMargins left="0.75" right="0.4" top="0.3" bottom="0.3" header="0.5" footer="0.5"/>
      <printOptions horizontalCentered="1" verticalCentered="1"/>
      <pageSetup scale="78" fitToWidth="2" orientation="portrait" r:id="rId9"/>
      <headerFooter alignWithMargins="0"/>
    </customSheetView>
    <customSheetView guid="{9C30803E-1E2D-4850-B0A5-591CA6F246A1}" colorId="22" topLeftCell="A25">
      <selection activeCell="H50" sqref="H50"/>
      <rowBreaks count="1" manualBreakCount="1">
        <brk id="57" max="16383" man="1"/>
      </rowBreaks>
      <pageMargins left="0.75" right="0.4" top="0.3" bottom="0.3" header="0.5" footer="0.5"/>
      <printOptions horizontalCentered="1" verticalCentered="1"/>
      <pageSetup scale="78" fitToWidth="2" orientation="portrait" r:id="rId10"/>
      <headerFooter alignWithMargins="0"/>
    </customSheetView>
    <customSheetView guid="{3B1006FF-A2CA-49E7-9B25-DAC8815279AF}" colorId="22" topLeftCell="A25">
      <selection activeCell="H50" sqref="H50"/>
      <rowBreaks count="1" manualBreakCount="1">
        <brk id="57" max="16383" man="1"/>
      </rowBreaks>
      <pageMargins left="0.75" right="0.4" top="0.3" bottom="0.3" header="0.5" footer="0.5"/>
      <printOptions horizontalCentered="1" verticalCentered="1"/>
      <pageSetup scale="78" fitToWidth="2" orientation="portrait" r:id="rId11"/>
      <headerFooter alignWithMargins="0"/>
    </customSheetView>
    <customSheetView guid="{FB1A60C8-E1F9-4DF0-8E0E-1C965F86027F}" colorId="22" topLeftCell="A25">
      <selection activeCell="H50" sqref="H50"/>
      <rowBreaks count="1" manualBreakCount="1">
        <brk id="57" max="16383" man="1"/>
      </rowBreaks>
      <pageMargins left="0.75" right="0.4" top="0.3" bottom="0.3" header="0.5" footer="0.5"/>
      <printOptions horizontalCentered="1" verticalCentered="1"/>
      <pageSetup scale="78" fitToWidth="2" orientation="portrait" r:id="rId12"/>
      <headerFooter alignWithMargins="0"/>
    </customSheetView>
    <customSheetView guid="{C5B6D812-CBE6-46AA-99F7-02494E9802B4}" scale="70" colorId="22" topLeftCell="A22">
      <selection activeCell="B48" sqref="B48"/>
      <rowBreaks count="1" manualBreakCount="1">
        <brk id="55" max="16383" man="1"/>
      </rowBreaks>
      <pageMargins left="0.75" right="0.4" top="0.3" bottom="0.3" header="0.5" footer="0.5"/>
      <printOptions horizontalCentered="1" verticalCentered="1"/>
      <pageSetup scale="78" fitToWidth="2" orientation="portrait" r:id="rId13"/>
      <headerFooter alignWithMargins="0"/>
    </customSheetView>
  </customSheetViews>
  <mergeCells count="4">
    <mergeCell ref="A54:G54"/>
    <mergeCell ref="B39:G39"/>
    <mergeCell ref="B44:G46"/>
    <mergeCell ref="B49:G49"/>
  </mergeCells>
  <phoneticPr fontId="0" type="noConversion"/>
  <printOptions horizontalCentered="1" verticalCentered="1"/>
  <pageMargins left="0.75" right="0.4" top="0.3" bottom="0.3" header="0.5" footer="0.5"/>
  <pageSetup scale="78" fitToWidth="2" orientation="portrait" r:id="rId14"/>
  <headerFooter alignWithMargins="0"/>
  <rowBreaks count="1" manualBreakCount="1">
    <brk id="55" max="16383" man="1"/>
  </rowBreaks>
  <customProperties>
    <customPr name="_pios_id" r:id="rId15"/>
  </customProperties>
</worksheet>
</file>

<file path=xl/worksheets/sheet12.xml><?xml version="1.0" encoding="utf-8"?>
<worksheet xmlns="http://schemas.openxmlformats.org/spreadsheetml/2006/main" xmlns:r="http://schemas.openxmlformats.org/officeDocument/2006/relationships">
  <sheetPr codeName="Sheet12" enableFormatConditionsCalculation="0">
    <pageSetUpPr fitToPage="1"/>
  </sheetPr>
  <dimension ref="A1:C53"/>
  <sheetViews>
    <sheetView zoomScale="70" zoomScaleNormal="70" workbookViewId="0"/>
  </sheetViews>
  <sheetFormatPr defaultRowHeight="15"/>
  <cols>
    <col min="1" max="1" width="10" customWidth="1"/>
    <col min="2" max="2" width="71.44140625" customWidth="1"/>
    <col min="3" max="3" width="12.21875" customWidth="1"/>
  </cols>
  <sheetData>
    <row r="1" spans="1:3" ht="15.75" thickBot="1">
      <c r="A1" s="1611" t="str">
        <f>'Data sheet'!$A$53</f>
        <v>Annual Report of New York American Water Company, Inc. (f/k/a Long Island Water Corp)                                   Year Ended  December 31, 2013</v>
      </c>
      <c r="B1" s="1633"/>
    </row>
    <row r="2" spans="1:3">
      <c r="A2" s="954"/>
      <c r="B2" s="955"/>
      <c r="C2" s="956"/>
    </row>
    <row r="3" spans="1:3" ht="15.75">
      <c r="A3" s="3030" t="s">
        <v>824</v>
      </c>
      <c r="B3" s="3031"/>
      <c r="C3" s="3032"/>
    </row>
    <row r="4" spans="1:3" ht="15.75">
      <c r="A4" s="957"/>
      <c r="B4" s="952"/>
      <c r="C4" s="958"/>
    </row>
    <row r="5" spans="1:3" ht="45">
      <c r="A5" s="959"/>
      <c r="B5" s="960" t="s">
        <v>2901</v>
      </c>
      <c r="C5" s="958"/>
    </row>
    <row r="6" spans="1:3">
      <c r="A6" s="961"/>
      <c r="B6" s="952" t="s">
        <v>1469</v>
      </c>
      <c r="C6" s="958"/>
    </row>
    <row r="7" spans="1:3">
      <c r="A7" s="962"/>
      <c r="B7" s="952"/>
      <c r="C7" s="958"/>
    </row>
    <row r="8" spans="1:3">
      <c r="A8" s="962"/>
      <c r="B8" s="952"/>
      <c r="C8" s="958"/>
    </row>
    <row r="9" spans="1:3" ht="45">
      <c r="A9" s="962"/>
      <c r="B9" s="960" t="s">
        <v>1275</v>
      </c>
      <c r="C9" s="958"/>
    </row>
    <row r="10" spans="1:3">
      <c r="A10" s="962"/>
      <c r="B10" s="952" t="s">
        <v>4266</v>
      </c>
      <c r="C10" s="958"/>
    </row>
    <row r="11" spans="1:3">
      <c r="A11" s="962"/>
      <c r="B11" s="952" t="s">
        <v>3074</v>
      </c>
      <c r="C11" s="958"/>
    </row>
    <row r="12" spans="1:3">
      <c r="A12" s="962"/>
      <c r="B12" s="952"/>
      <c r="C12" s="958"/>
    </row>
    <row r="13" spans="1:3" ht="45">
      <c r="A13" s="962"/>
      <c r="B13" s="960" t="s">
        <v>3072</v>
      </c>
      <c r="C13" s="958"/>
    </row>
    <row r="14" spans="1:3">
      <c r="A14" s="962"/>
      <c r="B14" s="960" t="s">
        <v>3073</v>
      </c>
      <c r="C14" s="958"/>
    </row>
    <row r="15" spans="1:3">
      <c r="A15" s="962"/>
      <c r="B15" s="960" t="s">
        <v>3075</v>
      </c>
      <c r="C15" s="958"/>
    </row>
    <row r="16" spans="1:3">
      <c r="A16" s="962"/>
      <c r="B16" s="960"/>
      <c r="C16" s="958"/>
    </row>
    <row r="17" spans="1:3">
      <c r="A17" s="962"/>
      <c r="B17" s="952"/>
      <c r="C17" s="958"/>
    </row>
    <row r="18" spans="1:3">
      <c r="A18" s="962"/>
      <c r="B18" s="952"/>
      <c r="C18" s="958"/>
    </row>
    <row r="19" spans="1:3" ht="30">
      <c r="A19" s="962"/>
      <c r="B19" s="960" t="s">
        <v>1276</v>
      </c>
      <c r="C19" s="958"/>
    </row>
    <row r="20" spans="1:3">
      <c r="A20" s="962"/>
      <c r="B20" s="952"/>
      <c r="C20" s="958"/>
    </row>
    <row r="21" spans="1:3">
      <c r="A21" s="962"/>
      <c r="B21" s="952"/>
      <c r="C21" s="958"/>
    </row>
    <row r="22" spans="1:3">
      <c r="A22" s="962"/>
      <c r="B22" s="952"/>
      <c r="C22" s="958"/>
    </row>
    <row r="23" spans="1:3">
      <c r="A23" s="962"/>
      <c r="B23" s="2849" t="s">
        <v>353</v>
      </c>
      <c r="C23" s="958"/>
    </row>
    <row r="24" spans="1:3">
      <c r="A24" s="962"/>
      <c r="B24" s="952"/>
      <c r="C24" s="958"/>
    </row>
    <row r="25" spans="1:3">
      <c r="A25" s="962"/>
      <c r="B25" s="952"/>
      <c r="C25" s="958"/>
    </row>
    <row r="26" spans="1:3">
      <c r="A26" s="962"/>
      <c r="B26" s="952"/>
      <c r="C26" s="958"/>
    </row>
    <row r="27" spans="1:3">
      <c r="A27" s="962"/>
      <c r="B27" s="952"/>
      <c r="C27" s="958"/>
    </row>
    <row r="28" spans="1:3">
      <c r="A28" s="962"/>
      <c r="B28" s="952"/>
      <c r="C28" s="958"/>
    </row>
    <row r="29" spans="1:3">
      <c r="A29" s="962"/>
      <c r="B29" s="952"/>
      <c r="C29" s="958"/>
    </row>
    <row r="30" spans="1:3">
      <c r="A30" s="962"/>
      <c r="B30" s="952"/>
      <c r="C30" s="958"/>
    </row>
    <row r="31" spans="1:3">
      <c r="A31" s="962"/>
      <c r="B31" s="952"/>
      <c r="C31" s="958"/>
    </row>
    <row r="32" spans="1:3">
      <c r="A32" s="962"/>
      <c r="B32" s="952"/>
      <c r="C32" s="958"/>
    </row>
    <row r="33" spans="1:3">
      <c r="A33" s="962"/>
      <c r="B33" s="952"/>
      <c r="C33" s="958"/>
    </row>
    <row r="34" spans="1:3">
      <c r="A34" s="962"/>
      <c r="B34" s="952"/>
      <c r="C34" s="958"/>
    </row>
    <row r="35" spans="1:3">
      <c r="A35" s="962"/>
      <c r="B35" s="952"/>
      <c r="C35" s="958"/>
    </row>
    <row r="36" spans="1:3">
      <c r="A36" s="962"/>
      <c r="B36" s="952"/>
      <c r="C36" s="958"/>
    </row>
    <row r="37" spans="1:3">
      <c r="A37" s="962"/>
      <c r="B37" s="952"/>
      <c r="C37" s="958"/>
    </row>
    <row r="38" spans="1:3">
      <c r="A38" s="962"/>
      <c r="B38" s="952"/>
      <c r="C38" s="958"/>
    </row>
    <row r="39" spans="1:3">
      <c r="A39" s="962"/>
      <c r="B39" s="952"/>
      <c r="C39" s="958"/>
    </row>
    <row r="40" spans="1:3">
      <c r="A40" s="962"/>
      <c r="B40" s="952"/>
      <c r="C40" s="958"/>
    </row>
    <row r="41" spans="1:3">
      <c r="A41" s="962"/>
      <c r="B41" s="952"/>
      <c r="C41" s="958"/>
    </row>
    <row r="42" spans="1:3">
      <c r="A42" s="962"/>
      <c r="B42" s="952"/>
      <c r="C42" s="958"/>
    </row>
    <row r="43" spans="1:3">
      <c r="A43" s="962"/>
      <c r="B43" s="952"/>
      <c r="C43" s="958"/>
    </row>
    <row r="44" spans="1:3">
      <c r="A44" s="962"/>
      <c r="B44" s="952"/>
      <c r="C44" s="958"/>
    </row>
    <row r="45" spans="1:3">
      <c r="A45" s="962"/>
      <c r="B45" s="952"/>
      <c r="C45" s="958"/>
    </row>
    <row r="46" spans="1:3">
      <c r="A46" s="962"/>
      <c r="B46" s="952"/>
      <c r="C46" s="958"/>
    </row>
    <row r="47" spans="1:3">
      <c r="A47" s="963"/>
      <c r="B47" s="952"/>
      <c r="C47" s="958"/>
    </row>
    <row r="48" spans="1:3">
      <c r="A48" s="963"/>
      <c r="B48" s="952"/>
      <c r="C48" s="958"/>
    </row>
    <row r="49" spans="1:3">
      <c r="A49" s="963"/>
      <c r="B49" s="952"/>
      <c r="C49" s="958"/>
    </row>
    <row r="50" spans="1:3">
      <c r="A50" s="963"/>
      <c r="B50" s="952"/>
      <c r="C50" s="958"/>
    </row>
    <row r="51" spans="1:3" ht="15.75" thickBot="1">
      <c r="A51" s="964"/>
      <c r="B51" s="953"/>
      <c r="C51" s="965"/>
    </row>
    <row r="52" spans="1:3">
      <c r="A52" s="1000" t="s">
        <v>2500</v>
      </c>
    </row>
    <row r="53" spans="1:3">
      <c r="A53" s="8" t="s">
        <v>1277</v>
      </c>
      <c r="B53" s="8"/>
      <c r="C53" s="8"/>
    </row>
  </sheetData>
  <customSheetViews>
    <customSheetView guid="{1BA452AD-1A45-4D9C-9666-ADFFA6F2F567}" fitToPage="1">
      <pageMargins left="0.75" right="0.25" top="0.25" bottom="0.25" header="0" footer="0.25"/>
      <printOptions horizontalCentered="1" verticalCentered="1"/>
      <pageSetup scale="83" orientation="portrait" horizontalDpi="300" verticalDpi="300" r:id="rId1"/>
      <headerFooter alignWithMargins="0"/>
    </customSheetView>
    <customSheetView guid="{EEF7ABD6-0F96-4791-B749-C06F707E7673}" scale="60" showPageBreaks="1" fitToPage="1" printArea="1" view="pageBreakPreview" showRuler="0">
      <selection activeCell="C104" sqref="C104"/>
      <pageMargins left="0.75" right="0.25" top="0.25" bottom="0.25" header="0" footer="0.25"/>
      <printOptions horizontalCentered="1" verticalCentered="1"/>
      <pageSetup scale="83" orientation="portrait" horizontalDpi="300" verticalDpi="300" r:id="rId2"/>
      <headerFooter alignWithMargins="0"/>
    </customSheetView>
    <customSheetView guid="{A7D7DB3C-AFE6-468E-8C6B-9531F6711497}" scale="87" fitToPage="1" showRuler="0">
      <selection activeCell="H5" sqref="H5"/>
      <pageMargins left="0.75" right="0.25" top="0.25" bottom="0.25" header="0" footer="0.25"/>
      <printOptions horizontalCentered="1" verticalCentered="1"/>
      <pageSetup scale="84" orientation="portrait" horizontalDpi="300" verticalDpi="300" r:id="rId3"/>
      <headerFooter alignWithMargins="0"/>
    </customSheetView>
    <customSheetView guid="{4436FEB5-BFEC-4348-9286-CB706802873E}" scale="87" fitToPage="1" showRuler="0">
      <selection activeCell="H5" sqref="H5"/>
      <pageMargins left="0.75" right="0.25" top="0.25" bottom="0.25" header="0" footer="0.25"/>
      <printOptions horizontalCentered="1" verticalCentered="1"/>
      <pageSetup scale="84" orientation="portrait" horizontalDpi="300" verticalDpi="300" r:id="rId4"/>
      <headerFooter alignWithMargins="0"/>
    </customSheetView>
    <customSheetView guid="{044CF00C-469F-44B3-B2C4-9B4049CE70CB}" scale="87" fitToPage="1" showRuler="0">
      <selection activeCell="A2" sqref="A2"/>
      <pageMargins left="0.75" right="0.25" top="0.25" bottom="0.25" header="0" footer="0.25"/>
      <printOptions horizontalCentered="1" verticalCentered="1"/>
      <pageSetup scale="84" orientation="portrait" horizontalDpi="300" verticalDpi="300" r:id="rId5"/>
      <headerFooter alignWithMargins="0"/>
    </customSheetView>
    <customSheetView guid="{4826FCC0-BDD6-4B2C-ACC6-ACE271DDF0E3}" scale="60" showPageBreaks="1" fitToPage="1" printArea="1" view="pageBreakPreview" showRuler="0">
      <selection activeCell="C104" sqref="C104"/>
      <pageMargins left="0.75" right="0.25" top="0.25" bottom="0.25" header="0" footer="0.25"/>
      <printOptions horizontalCentered="1" verticalCentered="1"/>
      <pageSetup scale="83" orientation="portrait" horizontalDpi="300" verticalDpi="300" r:id="rId6"/>
      <headerFooter alignWithMargins="0"/>
    </customSheetView>
    <customSheetView guid="{EF376D10-23D6-4FE2-AB5B-4460D52CC93F}" scale="60" showPageBreaks="1" fitToPage="1" printArea="1" view="pageBreakPreview" showRuler="0">
      <selection activeCell="C104" sqref="C104"/>
      <pageMargins left="0.75" right="0.25" top="0.25" bottom="0.25" header="0" footer="0.25"/>
      <printOptions horizontalCentered="1" verticalCentered="1"/>
      <pageSetup scale="83" orientation="portrait" horizontalDpi="300" verticalDpi="300" r:id="rId7"/>
      <headerFooter alignWithMargins="0"/>
    </customSheetView>
    <customSheetView guid="{1C046605-15CE-44F1-BFCD-2CA8588E7ACF}" scale="60" showPageBreaks="1" fitToPage="1" printArea="1" view="pageBreakPreview" showRuler="0">
      <selection activeCell="C104" sqref="C104"/>
      <pageMargins left="0.75" right="0.25" top="0.25" bottom="0.25" header="0" footer="0.25"/>
      <printOptions horizontalCentered="1" verticalCentered="1"/>
      <pageSetup scale="83" orientation="portrait" horizontalDpi="300" verticalDpi="300" r:id="rId8"/>
      <headerFooter alignWithMargins="0"/>
    </customSheetView>
    <customSheetView guid="{3911D713-188C-46A1-A299-F21DD3B7A146}" scale="60" showPageBreaks="1" fitToPage="1" printArea="1" view="pageBreakPreview" showRuler="0">
      <selection activeCell="C104" sqref="C104"/>
      <pageMargins left="0.75" right="0.25" top="0.25" bottom="0.25" header="0" footer="0.25"/>
      <printOptions horizontalCentered="1" verticalCentered="1"/>
      <pageSetup scale="83" orientation="portrait" horizontalDpi="300" verticalDpi="300" r:id="rId9"/>
      <headerFooter alignWithMargins="0"/>
    </customSheetView>
    <customSheetView guid="{78BB1E60-60BE-4F56-9763-075185EFEFAB}" fitToPage="1">
      <pageMargins left="0.75" right="0.25" top="0.25" bottom="0.25" header="0" footer="0.25"/>
      <printOptions horizontalCentered="1" verticalCentered="1"/>
      <pageSetup scale="83" orientation="portrait" horizontalDpi="300" verticalDpi="300" r:id="rId10"/>
      <headerFooter alignWithMargins="0"/>
    </customSheetView>
    <customSheetView guid="{9C30803E-1E2D-4850-B0A5-591CA6F246A1}" fitToPage="1">
      <pageMargins left="0.75" right="0.25" top="0.25" bottom="0.25" header="0" footer="0.25"/>
      <printOptions horizontalCentered="1" verticalCentered="1"/>
      <pageSetup scale="83" orientation="portrait" horizontalDpi="300" verticalDpi="300" r:id="rId11"/>
      <headerFooter alignWithMargins="0"/>
    </customSheetView>
    <customSheetView guid="{3B1006FF-A2CA-49E7-9B25-DAC8815279AF}" fitToPage="1">
      <pageMargins left="0.75" right="0.25" top="0.25" bottom="0.25" header="0" footer="0.25"/>
      <printOptions horizontalCentered="1" verticalCentered="1"/>
      <pageSetup scale="83" orientation="portrait" horizontalDpi="300" verticalDpi="300" r:id="rId12"/>
      <headerFooter alignWithMargins="0"/>
    </customSheetView>
    <customSheetView guid="{FB1A60C8-E1F9-4DF0-8E0E-1C965F86027F}" fitToPage="1">
      <pageMargins left="0.75" right="0.25" top="0.25" bottom="0.25" header="0" footer="0.25"/>
      <printOptions horizontalCentered="1" verticalCentered="1"/>
      <pageSetup scale="83" orientation="portrait" horizontalDpi="300" verticalDpi="300" r:id="rId13"/>
      <headerFooter alignWithMargins="0"/>
    </customSheetView>
    <customSheetView guid="{C5B6D812-CBE6-46AA-99F7-02494E9802B4}" scale="70" fitToPage="1" topLeftCell="A4">
      <selection activeCell="C10" sqref="C10"/>
      <pageMargins left="0.75" right="0.25" top="0.25" bottom="0.25" header="0" footer="0.25"/>
      <printOptions horizontalCentered="1" verticalCentered="1"/>
      <pageSetup scale="83" orientation="portrait" horizontalDpi="300" verticalDpi="300" r:id="rId14"/>
      <headerFooter alignWithMargins="0"/>
    </customSheetView>
  </customSheetViews>
  <mergeCells count="1">
    <mergeCell ref="A3:C3"/>
  </mergeCells>
  <phoneticPr fontId="0" type="noConversion"/>
  <printOptions horizontalCentered="1" verticalCentered="1"/>
  <pageMargins left="0.75" right="0.25" top="0.25" bottom="0.25" header="0" footer="0.25"/>
  <pageSetup scale="83" orientation="portrait" horizontalDpi="300" verticalDpi="300" r:id="rId15"/>
  <headerFooter alignWithMargins="0"/>
  <customProperties>
    <customPr name="_pios_id" r:id="rId16"/>
  </customProperties>
</worksheet>
</file>

<file path=xl/worksheets/sheet13.xml><?xml version="1.0" encoding="utf-8"?>
<worksheet xmlns="http://schemas.openxmlformats.org/spreadsheetml/2006/main" xmlns:r="http://schemas.openxmlformats.org/officeDocument/2006/relationships">
  <sheetPr transitionEvaluation="1" codeName="Sheet13" enableFormatConditionsCalculation="0"/>
  <dimension ref="A1:L156"/>
  <sheetViews>
    <sheetView defaultGridColor="0" colorId="22" zoomScale="70" zoomScaleNormal="70" workbookViewId="0"/>
  </sheetViews>
  <sheetFormatPr defaultColWidth="9.77734375" defaultRowHeight="15"/>
  <cols>
    <col min="1" max="1" width="4.6640625" customWidth="1"/>
    <col min="2" max="2" width="26.77734375" customWidth="1"/>
    <col min="4" max="4" width="11.44140625" customWidth="1"/>
    <col min="10" max="10" width="12.77734375" customWidth="1"/>
    <col min="12" max="12" width="11.77734375" customWidth="1"/>
  </cols>
  <sheetData>
    <row r="1" spans="1:12" ht="15.75" thickBot="1">
      <c r="A1" s="48" t="str">
        <f>'Data sheet'!$A$65</f>
        <v>Annual Report of New York American Water Company, Inc. (f/k/a Long Island Water Corp)                                    Year Ended  December 31, 2013</v>
      </c>
      <c r="B1" s="244"/>
      <c r="C1" s="230"/>
      <c r="D1" s="231"/>
    </row>
    <row r="2" spans="1:12">
      <c r="A2" s="232"/>
      <c r="B2" s="245"/>
      <c r="C2" s="233"/>
      <c r="D2" s="245"/>
      <c r="E2" s="245"/>
      <c r="F2" s="245"/>
      <c r="G2" s="245"/>
      <c r="H2" s="245"/>
      <c r="I2" s="245"/>
      <c r="J2" s="245"/>
      <c r="K2" s="245"/>
      <c r="L2" s="234"/>
    </row>
    <row r="3" spans="1:12" ht="15.75">
      <c r="A3" s="235" t="s">
        <v>551</v>
      </c>
      <c r="B3" s="6"/>
      <c r="C3" s="13"/>
      <c r="D3" s="13"/>
      <c r="E3" s="13"/>
      <c r="F3" s="13"/>
      <c r="G3" s="13"/>
      <c r="H3" s="13"/>
      <c r="I3" s="8"/>
      <c r="J3" s="8"/>
      <c r="K3" s="8"/>
      <c r="L3" s="236"/>
    </row>
    <row r="4" spans="1:12" ht="15.75">
      <c r="A4" s="235" t="s">
        <v>552</v>
      </c>
      <c r="B4" s="6"/>
      <c r="C4" s="13"/>
      <c r="D4" s="246"/>
      <c r="E4" s="13"/>
      <c r="F4" s="13"/>
      <c r="G4" s="13"/>
      <c r="H4" s="13"/>
      <c r="I4" s="8"/>
      <c r="J4" s="8"/>
      <c r="K4" s="8"/>
      <c r="L4" s="236"/>
    </row>
    <row r="5" spans="1:12" ht="18">
      <c r="A5" s="247" t="s">
        <v>553</v>
      </c>
      <c r="B5" s="1"/>
      <c r="C5" s="3"/>
      <c r="D5" s="6"/>
      <c r="E5" s="6"/>
      <c r="F5" s="6"/>
      <c r="G5" s="6"/>
      <c r="H5" s="6"/>
      <c r="I5" s="6"/>
      <c r="J5" s="6"/>
      <c r="K5" s="6"/>
      <c r="L5" s="248"/>
    </row>
    <row r="6" spans="1:12" ht="15.75">
      <c r="A6" s="2641" t="s">
        <v>745</v>
      </c>
      <c r="B6" s="2640" t="s">
        <v>744</v>
      </c>
      <c r="C6" s="2642"/>
      <c r="D6" s="2643"/>
      <c r="E6" s="2643"/>
      <c r="F6" s="2643"/>
      <c r="G6" s="249"/>
      <c r="H6" s="249"/>
      <c r="I6" s="249"/>
      <c r="J6" s="249"/>
      <c r="K6" s="249"/>
      <c r="L6" s="250"/>
    </row>
    <row r="7" spans="1:12">
      <c r="A7" s="270" t="s">
        <v>1129</v>
      </c>
      <c r="B7" s="252"/>
      <c r="C7" s="804" t="s">
        <v>554</v>
      </c>
      <c r="D7" s="254"/>
      <c r="E7" s="254"/>
      <c r="F7" s="254"/>
      <c r="G7" s="254"/>
      <c r="H7" s="254"/>
      <c r="I7" s="254"/>
      <c r="J7" s="776" t="s">
        <v>555</v>
      </c>
      <c r="K7" s="776" t="s">
        <v>556</v>
      </c>
      <c r="L7" s="777" t="s">
        <v>557</v>
      </c>
    </row>
    <row r="8" spans="1:12">
      <c r="A8" s="277" t="s">
        <v>3324</v>
      </c>
      <c r="B8" s="805" t="s">
        <v>558</v>
      </c>
      <c r="C8" s="806" t="s">
        <v>559</v>
      </c>
      <c r="D8" s="789" t="s">
        <v>560</v>
      </c>
      <c r="E8" s="256"/>
      <c r="F8" s="256"/>
      <c r="G8" s="256"/>
      <c r="H8" s="256"/>
      <c r="I8" s="256"/>
      <c r="J8" s="789" t="s">
        <v>561</v>
      </c>
      <c r="K8" s="789" t="s">
        <v>562</v>
      </c>
      <c r="L8" s="807" t="s">
        <v>563</v>
      </c>
    </row>
    <row r="9" spans="1:12" ht="15.75">
      <c r="A9" s="251">
        <v>1</v>
      </c>
      <c r="B9" s="778" t="s">
        <v>564</v>
      </c>
      <c r="C9" s="966"/>
      <c r="D9" s="254"/>
      <c r="E9" s="254"/>
      <c r="F9" s="254"/>
      <c r="G9" s="254"/>
      <c r="H9" s="254"/>
      <c r="I9" s="254"/>
      <c r="J9" s="254"/>
      <c r="K9" s="254"/>
      <c r="L9" s="237"/>
    </row>
    <row r="10" spans="1:12">
      <c r="A10" s="251">
        <v>2</v>
      </c>
      <c r="B10" s="257" t="s">
        <v>565</v>
      </c>
      <c r="C10" s="967"/>
      <c r="D10" s="254"/>
      <c r="E10" s="254"/>
      <c r="F10" s="254"/>
      <c r="G10" s="254"/>
      <c r="H10" s="254"/>
      <c r="I10" s="254"/>
      <c r="J10" s="254"/>
      <c r="K10" s="254"/>
      <c r="L10" s="237"/>
    </row>
    <row r="11" spans="1:12">
      <c r="A11" s="251">
        <v>3</v>
      </c>
      <c r="B11" s="252" t="s">
        <v>566</v>
      </c>
      <c r="C11" s="290"/>
      <c r="D11" s="258"/>
      <c r="E11" s="258"/>
      <c r="F11" s="258"/>
      <c r="G11" s="258"/>
      <c r="H11" s="258"/>
      <c r="I11" s="258"/>
      <c r="J11" s="258"/>
      <c r="K11" s="258"/>
      <c r="L11" s="259"/>
    </row>
    <row r="12" spans="1:12">
      <c r="A12" s="251">
        <v>4</v>
      </c>
      <c r="B12" s="252"/>
      <c r="C12" s="968"/>
      <c r="D12" s="254"/>
      <c r="E12" s="254"/>
      <c r="F12" s="254"/>
      <c r="G12" s="254"/>
      <c r="H12" s="254"/>
      <c r="I12" s="254"/>
      <c r="J12" s="254"/>
      <c r="K12" s="254"/>
      <c r="L12" s="237"/>
    </row>
    <row r="13" spans="1:12">
      <c r="A13" s="251">
        <v>5</v>
      </c>
      <c r="B13" s="252"/>
      <c r="C13" s="968"/>
      <c r="D13" s="254"/>
      <c r="E13" s="254"/>
      <c r="F13" s="254"/>
      <c r="G13" s="254"/>
      <c r="H13" s="254"/>
      <c r="I13" s="254"/>
      <c r="J13" s="254"/>
      <c r="K13" s="254"/>
      <c r="L13" s="237"/>
    </row>
    <row r="14" spans="1:12">
      <c r="A14" s="251">
        <v>6</v>
      </c>
      <c r="B14" s="252"/>
      <c r="C14" s="968"/>
      <c r="D14" s="254"/>
      <c r="E14" s="254"/>
      <c r="F14" s="254"/>
      <c r="G14" s="254"/>
      <c r="H14" s="254"/>
      <c r="I14" s="254"/>
      <c r="J14" s="254"/>
      <c r="K14" s="254"/>
      <c r="L14" s="237"/>
    </row>
    <row r="15" spans="1:12">
      <c r="A15" s="251">
        <v>7</v>
      </c>
      <c r="B15" s="252" t="s">
        <v>567</v>
      </c>
      <c r="C15" s="967"/>
      <c r="D15" s="254"/>
      <c r="E15" s="254"/>
      <c r="F15" s="254"/>
      <c r="G15" s="254"/>
      <c r="H15" s="254"/>
      <c r="I15" s="254"/>
      <c r="J15" s="254"/>
      <c r="K15" s="254"/>
      <c r="L15" s="237"/>
    </row>
    <row r="16" spans="1:12">
      <c r="A16" s="251">
        <v>8</v>
      </c>
      <c r="B16" s="252"/>
      <c r="C16" s="968"/>
      <c r="D16" s="254"/>
      <c r="E16" s="254"/>
      <c r="F16" s="254"/>
      <c r="G16" s="254"/>
      <c r="H16" s="254"/>
      <c r="I16" s="254"/>
      <c r="J16" s="254"/>
      <c r="K16" s="254"/>
      <c r="L16" s="237"/>
    </row>
    <row r="17" spans="1:12">
      <c r="A17" s="251">
        <v>9</v>
      </c>
      <c r="B17" s="252"/>
      <c r="C17" s="968"/>
      <c r="D17" s="254"/>
      <c r="E17" s="254"/>
      <c r="F17" s="254"/>
      <c r="G17" s="254"/>
      <c r="H17" s="254"/>
      <c r="I17" s="254"/>
      <c r="J17" s="254"/>
      <c r="K17" s="254"/>
      <c r="L17" s="237"/>
    </row>
    <row r="18" spans="1:12">
      <c r="A18" s="251">
        <v>10</v>
      </c>
      <c r="B18" s="252"/>
      <c r="C18" s="968"/>
      <c r="D18" s="254"/>
      <c r="E18" s="254"/>
      <c r="F18" s="254"/>
      <c r="G18" s="254"/>
      <c r="H18" s="254"/>
      <c r="I18" s="254"/>
      <c r="J18" s="254"/>
      <c r="K18" s="254"/>
      <c r="L18" s="237"/>
    </row>
    <row r="19" spans="1:12">
      <c r="A19" s="251">
        <v>11</v>
      </c>
      <c r="B19" s="252" t="s">
        <v>568</v>
      </c>
      <c r="C19" s="968"/>
      <c r="D19" s="254"/>
      <c r="E19" s="254"/>
      <c r="F19" s="254"/>
      <c r="G19" s="254"/>
      <c r="H19" s="254"/>
      <c r="I19" s="254"/>
      <c r="J19" s="254"/>
      <c r="K19" s="254"/>
      <c r="L19" s="237"/>
    </row>
    <row r="20" spans="1:12">
      <c r="A20" s="251">
        <v>12</v>
      </c>
      <c r="B20" s="252"/>
      <c r="C20" s="968"/>
      <c r="D20" s="254"/>
      <c r="E20" s="254"/>
      <c r="F20" s="254"/>
      <c r="G20" s="254"/>
      <c r="H20" s="254"/>
      <c r="I20" s="254"/>
      <c r="J20" s="254"/>
      <c r="K20" s="254"/>
      <c r="L20" s="237"/>
    </row>
    <row r="21" spans="1:12">
      <c r="A21" s="251">
        <v>13</v>
      </c>
      <c r="B21" s="252"/>
      <c r="C21" s="968"/>
      <c r="D21" s="254"/>
      <c r="E21" s="254"/>
      <c r="F21" s="254"/>
      <c r="G21" s="254"/>
      <c r="H21" s="254"/>
      <c r="I21" s="254"/>
      <c r="J21" s="254"/>
      <c r="K21" s="254"/>
      <c r="L21" s="237"/>
    </row>
    <row r="22" spans="1:12">
      <c r="A22" s="251">
        <v>14</v>
      </c>
      <c r="B22" s="252"/>
      <c r="C22" s="968"/>
      <c r="D22" s="254"/>
      <c r="E22" s="254"/>
      <c r="F22" s="254"/>
      <c r="G22" s="254"/>
      <c r="H22" s="254"/>
      <c r="I22" s="254"/>
      <c r="J22" s="254"/>
      <c r="K22" s="254"/>
      <c r="L22" s="237"/>
    </row>
    <row r="23" spans="1:12">
      <c r="A23" s="251">
        <v>15</v>
      </c>
      <c r="B23" s="252" t="s">
        <v>2152</v>
      </c>
      <c r="C23" s="968"/>
      <c r="D23" s="254"/>
      <c r="E23" s="254"/>
      <c r="F23" s="254"/>
      <c r="G23" s="254"/>
      <c r="H23" s="254"/>
      <c r="I23" s="254"/>
      <c r="J23" s="254"/>
      <c r="K23" s="254"/>
      <c r="L23" s="237"/>
    </row>
    <row r="24" spans="1:12">
      <c r="A24" s="251">
        <v>16</v>
      </c>
      <c r="B24" s="252"/>
      <c r="C24" s="968"/>
      <c r="D24" s="254"/>
      <c r="E24" s="254"/>
      <c r="F24" s="254"/>
      <c r="G24" s="254"/>
      <c r="H24" s="254"/>
      <c r="I24" s="254"/>
      <c r="J24" s="254"/>
      <c r="K24" s="254"/>
      <c r="L24" s="237"/>
    </row>
    <row r="25" spans="1:12">
      <c r="A25" s="251">
        <v>17</v>
      </c>
      <c r="B25" s="252"/>
      <c r="C25" s="968"/>
      <c r="D25" s="254"/>
      <c r="E25" s="254"/>
      <c r="F25" s="254"/>
      <c r="G25" s="254"/>
      <c r="H25" s="254"/>
      <c r="I25" s="254"/>
      <c r="J25" s="254"/>
      <c r="K25" s="254"/>
      <c r="L25" s="237"/>
    </row>
    <row r="26" spans="1:12">
      <c r="A26" s="251">
        <v>18</v>
      </c>
      <c r="B26" s="252"/>
      <c r="C26" s="968"/>
      <c r="D26" s="254"/>
      <c r="E26" s="254"/>
      <c r="F26" s="254"/>
      <c r="G26" s="254"/>
      <c r="H26" s="254"/>
      <c r="I26" s="254"/>
      <c r="J26" s="254"/>
      <c r="K26" s="254"/>
      <c r="L26" s="237"/>
    </row>
    <row r="27" spans="1:12">
      <c r="A27" s="251">
        <v>19</v>
      </c>
      <c r="B27" s="252"/>
      <c r="C27" s="968"/>
      <c r="D27" s="254"/>
      <c r="E27" s="254"/>
      <c r="F27" s="254"/>
      <c r="G27" s="254"/>
      <c r="H27" s="254"/>
      <c r="I27" s="254"/>
      <c r="J27" s="254"/>
      <c r="K27" s="254"/>
      <c r="L27" s="237"/>
    </row>
    <row r="28" spans="1:12">
      <c r="A28" s="251">
        <v>20</v>
      </c>
      <c r="B28" s="765" t="s">
        <v>3323</v>
      </c>
      <c r="C28" s="969">
        <f t="shared" ref="C28:J28" si="0">SUM(C11:C27)</f>
        <v>0</v>
      </c>
      <c r="D28" s="262">
        <f t="shared" si="0"/>
        <v>0</v>
      </c>
      <c r="E28" s="262">
        <f t="shared" si="0"/>
        <v>0</v>
      </c>
      <c r="F28" s="262">
        <f t="shared" si="0"/>
        <v>0</v>
      </c>
      <c r="G28" s="262">
        <f t="shared" si="0"/>
        <v>0</v>
      </c>
      <c r="H28" s="262">
        <f t="shared" si="0"/>
        <v>0</v>
      </c>
      <c r="I28" s="262">
        <f t="shared" si="0"/>
        <v>0</v>
      </c>
      <c r="J28" s="262">
        <f t="shared" si="0"/>
        <v>0</v>
      </c>
      <c r="K28" s="263"/>
      <c r="L28" s="264">
        <f>SUM(L11:L27)</f>
        <v>0</v>
      </c>
    </row>
    <row r="29" spans="1:12">
      <c r="A29" s="251">
        <v>21</v>
      </c>
      <c r="B29" s="257" t="s">
        <v>2153</v>
      </c>
      <c r="C29" s="968"/>
      <c r="D29" s="254"/>
      <c r="E29" s="254"/>
      <c r="F29" s="254"/>
      <c r="G29" s="254"/>
      <c r="H29" s="254"/>
      <c r="I29" s="254"/>
      <c r="J29" s="254"/>
      <c r="K29" s="254"/>
      <c r="L29" s="237"/>
    </row>
    <row r="30" spans="1:12">
      <c r="A30" s="251">
        <v>22</v>
      </c>
      <c r="B30" s="252" t="s">
        <v>3619</v>
      </c>
      <c r="C30" s="968"/>
      <c r="D30" s="254"/>
      <c r="E30" s="254"/>
      <c r="F30" s="254"/>
      <c r="G30" s="254"/>
      <c r="H30" s="254"/>
      <c r="I30" s="254"/>
      <c r="J30" s="254"/>
      <c r="K30" s="254"/>
      <c r="L30" s="237"/>
    </row>
    <row r="31" spans="1:12">
      <c r="A31" s="251">
        <v>23</v>
      </c>
      <c r="B31" s="252"/>
      <c r="C31" s="968"/>
      <c r="D31" s="254"/>
      <c r="E31" s="254"/>
      <c r="F31" s="254"/>
      <c r="G31" s="254"/>
      <c r="H31" s="254"/>
      <c r="I31" s="254"/>
      <c r="J31" s="254"/>
      <c r="K31" s="254"/>
      <c r="L31" s="237"/>
    </row>
    <row r="32" spans="1:12">
      <c r="A32" s="251">
        <v>24</v>
      </c>
      <c r="B32" s="252"/>
      <c r="C32" s="968"/>
      <c r="D32" s="254"/>
      <c r="E32" s="254"/>
      <c r="F32" s="254"/>
      <c r="G32" s="254"/>
      <c r="H32" s="254"/>
      <c r="I32" s="254"/>
      <c r="J32" s="254"/>
      <c r="K32" s="254"/>
      <c r="L32" s="237"/>
    </row>
    <row r="33" spans="1:12">
      <c r="A33" s="251">
        <v>25</v>
      </c>
      <c r="B33" s="252"/>
      <c r="C33" s="968"/>
      <c r="D33" s="254"/>
      <c r="E33" s="254"/>
      <c r="F33" s="254"/>
      <c r="G33" s="254"/>
      <c r="H33" s="254"/>
      <c r="I33" s="254"/>
      <c r="J33" s="254"/>
      <c r="K33" s="254"/>
      <c r="L33" s="237"/>
    </row>
    <row r="34" spans="1:12">
      <c r="A34" s="251">
        <v>26</v>
      </c>
      <c r="B34" s="252" t="s">
        <v>3887</v>
      </c>
      <c r="C34" s="968"/>
      <c r="D34" s="254"/>
      <c r="E34" s="254"/>
      <c r="F34" s="254"/>
      <c r="G34" s="254"/>
      <c r="H34" s="254"/>
      <c r="I34" s="254"/>
      <c r="J34" s="254"/>
      <c r="K34" s="254"/>
      <c r="L34" s="237"/>
    </row>
    <row r="35" spans="1:12">
      <c r="A35" s="251">
        <v>27</v>
      </c>
      <c r="B35" s="252"/>
      <c r="C35" s="968"/>
      <c r="D35" s="254"/>
      <c r="E35" s="254"/>
      <c r="F35" s="254"/>
      <c r="G35" s="254"/>
      <c r="H35" s="254"/>
      <c r="I35" s="254"/>
      <c r="J35" s="254"/>
      <c r="K35" s="254"/>
      <c r="L35" s="237"/>
    </row>
    <row r="36" spans="1:12">
      <c r="A36" s="251">
        <v>28</v>
      </c>
      <c r="B36" s="252" t="s">
        <v>1431</v>
      </c>
      <c r="C36" s="968"/>
      <c r="D36" s="254"/>
      <c r="E36" s="254"/>
      <c r="F36" s="254"/>
      <c r="G36" s="254"/>
      <c r="H36" s="254"/>
      <c r="I36" s="254"/>
      <c r="J36" s="254"/>
      <c r="K36" s="254"/>
      <c r="L36" s="237"/>
    </row>
    <row r="37" spans="1:12">
      <c r="A37" s="251">
        <v>29</v>
      </c>
      <c r="B37" s="252"/>
      <c r="C37" s="968"/>
      <c r="D37" s="254"/>
      <c r="E37" s="254"/>
      <c r="F37" s="254"/>
      <c r="G37" s="254"/>
      <c r="H37" s="254"/>
      <c r="I37" s="254"/>
      <c r="J37" s="254"/>
      <c r="K37" s="254"/>
      <c r="L37" s="237"/>
    </row>
    <row r="38" spans="1:12">
      <c r="A38" s="251">
        <v>30</v>
      </c>
      <c r="B38" s="252"/>
      <c r="C38" s="968"/>
      <c r="D38" s="254"/>
      <c r="E38" s="254"/>
      <c r="F38" s="254"/>
      <c r="G38" s="254"/>
      <c r="H38" s="254"/>
      <c r="I38" s="254"/>
      <c r="J38" s="254"/>
      <c r="K38" s="254"/>
      <c r="L38" s="237"/>
    </row>
    <row r="39" spans="1:12">
      <c r="A39" s="251">
        <v>31</v>
      </c>
      <c r="B39" s="252" t="s">
        <v>1432</v>
      </c>
      <c r="C39" s="968"/>
      <c r="D39" s="254"/>
      <c r="E39" s="254"/>
      <c r="F39" s="254"/>
      <c r="G39" s="254"/>
      <c r="H39" s="254"/>
      <c r="I39" s="254"/>
      <c r="J39" s="254"/>
      <c r="K39" s="254"/>
      <c r="L39" s="237"/>
    </row>
    <row r="40" spans="1:12">
      <c r="A40" s="251">
        <v>32</v>
      </c>
      <c r="B40" s="252"/>
      <c r="C40" s="968"/>
      <c r="D40" s="254"/>
      <c r="E40" s="254"/>
      <c r="F40" s="254"/>
      <c r="G40" s="254"/>
      <c r="H40" s="254"/>
      <c r="I40" s="254"/>
      <c r="J40" s="254"/>
      <c r="K40" s="254"/>
      <c r="L40" s="237"/>
    </row>
    <row r="41" spans="1:12">
      <c r="A41" s="251">
        <v>33</v>
      </c>
      <c r="B41" s="252"/>
      <c r="C41" s="968"/>
      <c r="D41" s="254"/>
      <c r="E41" s="254"/>
      <c r="F41" s="254"/>
      <c r="G41" s="254"/>
      <c r="H41" s="254"/>
      <c r="I41" s="254"/>
      <c r="J41" s="254"/>
      <c r="K41" s="254"/>
      <c r="L41" s="237"/>
    </row>
    <row r="42" spans="1:12">
      <c r="A42" s="251">
        <v>34</v>
      </c>
      <c r="B42" s="252" t="s">
        <v>1433</v>
      </c>
      <c r="C42" s="968"/>
      <c r="D42" s="254"/>
      <c r="E42" s="254"/>
      <c r="F42" s="254"/>
      <c r="G42" s="254"/>
      <c r="H42" s="254"/>
      <c r="I42" s="254"/>
      <c r="J42" s="254"/>
      <c r="K42" s="254"/>
      <c r="L42" s="237"/>
    </row>
    <row r="43" spans="1:12">
      <c r="A43" s="251">
        <v>35</v>
      </c>
      <c r="B43" s="252"/>
      <c r="C43" s="968"/>
      <c r="D43" s="254"/>
      <c r="E43" s="254"/>
      <c r="F43" s="254"/>
      <c r="G43" s="254"/>
      <c r="H43" s="254"/>
      <c r="I43" s="254"/>
      <c r="J43" s="254"/>
      <c r="K43" s="254"/>
      <c r="L43" s="237"/>
    </row>
    <row r="44" spans="1:12">
      <c r="A44" s="251">
        <v>36</v>
      </c>
      <c r="B44" s="254"/>
      <c r="C44" s="968"/>
      <c r="D44" s="254"/>
      <c r="E44" s="254"/>
      <c r="F44" s="254"/>
      <c r="G44" s="254"/>
      <c r="H44" s="254"/>
      <c r="I44" s="254"/>
      <c r="J44" s="254"/>
      <c r="K44" s="254"/>
      <c r="L44" s="237"/>
    </row>
    <row r="45" spans="1:12">
      <c r="A45" s="265">
        <v>37</v>
      </c>
      <c r="B45" s="254"/>
      <c r="C45" s="968"/>
      <c r="D45" s="254"/>
      <c r="E45" s="254"/>
      <c r="F45" s="254"/>
      <c r="G45" s="254"/>
      <c r="H45" s="254"/>
      <c r="I45" s="254"/>
      <c r="J45" s="254"/>
      <c r="K45" s="254"/>
      <c r="L45" s="237"/>
    </row>
    <row r="46" spans="1:12">
      <c r="A46" s="265">
        <v>38</v>
      </c>
      <c r="B46" s="254"/>
      <c r="C46" s="968"/>
      <c r="D46" s="254"/>
      <c r="E46" s="254"/>
      <c r="F46" s="254"/>
      <c r="G46" s="254"/>
      <c r="H46" s="254"/>
      <c r="I46" s="254"/>
      <c r="J46" s="254"/>
      <c r="K46" s="254"/>
      <c r="L46" s="237"/>
    </row>
    <row r="47" spans="1:12">
      <c r="A47" s="265">
        <v>39</v>
      </c>
      <c r="B47" s="254" t="s">
        <v>3361</v>
      </c>
      <c r="C47" s="968"/>
      <c r="D47" s="254"/>
      <c r="E47" s="254"/>
      <c r="F47" s="254"/>
      <c r="G47" s="254"/>
      <c r="H47" s="254"/>
      <c r="I47" s="254"/>
      <c r="J47" s="254"/>
      <c r="K47" s="254"/>
      <c r="L47" s="237"/>
    </row>
    <row r="48" spans="1:12">
      <c r="A48" s="265">
        <v>40</v>
      </c>
      <c r="B48" s="254"/>
      <c r="C48" s="968"/>
      <c r="D48" s="254"/>
      <c r="E48" s="254"/>
      <c r="F48" s="254"/>
      <c r="G48" s="254"/>
      <c r="H48" s="254"/>
      <c r="I48" s="254"/>
      <c r="J48" s="254"/>
      <c r="K48" s="254"/>
      <c r="L48" s="237"/>
    </row>
    <row r="49" spans="1:12">
      <c r="A49" s="265">
        <v>41</v>
      </c>
      <c r="B49" s="254" t="s">
        <v>3362</v>
      </c>
      <c r="C49" s="968"/>
      <c r="D49" s="254"/>
      <c r="E49" s="254"/>
      <c r="F49" s="254"/>
      <c r="G49" s="254"/>
      <c r="H49" s="254"/>
      <c r="I49" s="254"/>
      <c r="J49" s="254"/>
      <c r="K49" s="254"/>
      <c r="L49" s="237"/>
    </row>
    <row r="50" spans="1:12">
      <c r="A50" s="265">
        <v>42</v>
      </c>
      <c r="B50" s="254"/>
      <c r="C50" s="968"/>
      <c r="D50" s="254"/>
      <c r="E50" s="254"/>
      <c r="F50" s="254"/>
      <c r="G50" s="254"/>
      <c r="H50" s="254"/>
      <c r="I50" s="254"/>
      <c r="J50" s="254"/>
      <c r="K50" s="254"/>
      <c r="L50" s="237"/>
    </row>
    <row r="51" spans="1:12" ht="15.75" thickBot="1">
      <c r="A51" s="266">
        <v>43</v>
      </c>
      <c r="B51" s="808" t="s">
        <v>3323</v>
      </c>
      <c r="C51" s="970">
        <f t="shared" ref="C51:J51" si="1">SUM(C30:C50)</f>
        <v>0</v>
      </c>
      <c r="D51" s="268">
        <f t="shared" si="1"/>
        <v>0</v>
      </c>
      <c r="E51" s="268">
        <f t="shared" si="1"/>
        <v>0</v>
      </c>
      <c r="F51" s="268">
        <f t="shared" si="1"/>
        <v>0</v>
      </c>
      <c r="G51" s="268">
        <f t="shared" si="1"/>
        <v>0</v>
      </c>
      <c r="H51" s="268">
        <f t="shared" si="1"/>
        <v>0</v>
      </c>
      <c r="I51" s="268">
        <f t="shared" si="1"/>
        <v>0</v>
      </c>
      <c r="J51" s="268">
        <f t="shared" si="1"/>
        <v>0</v>
      </c>
      <c r="K51" s="267"/>
      <c r="L51" s="269">
        <f>SUM(L30:L50)</f>
        <v>0</v>
      </c>
    </row>
    <row r="52" spans="1:12">
      <c r="K52" t="s">
        <v>2500</v>
      </c>
    </row>
    <row r="53" spans="1:12">
      <c r="A53" s="8" t="s">
        <v>3363</v>
      </c>
      <c r="B53" s="8"/>
      <c r="C53" s="8"/>
      <c r="D53" s="8"/>
      <c r="E53" s="8"/>
      <c r="F53" s="8"/>
      <c r="G53" s="8"/>
      <c r="H53" s="8"/>
      <c r="I53" s="8"/>
      <c r="J53" s="8"/>
      <c r="K53" s="8"/>
      <c r="L53" s="8"/>
    </row>
    <row r="54" spans="1:12" ht="15.75" thickBot="1">
      <c r="A54" s="48" t="str">
        <f>'Data sheet'!$A$65</f>
        <v>Annual Report of New York American Water Company, Inc. (f/k/a Long Island Water Corp)                                    Year Ended  December 31, 2013</v>
      </c>
      <c r="B54" s="244"/>
      <c r="C54" s="230"/>
      <c r="D54" s="231"/>
    </row>
    <row r="55" spans="1:12">
      <c r="A55" s="232"/>
      <c r="B55" s="245"/>
      <c r="C55" s="233"/>
      <c r="D55" s="245"/>
      <c r="E55" s="245"/>
      <c r="F55" s="245"/>
      <c r="G55" s="245"/>
      <c r="H55" s="245"/>
      <c r="I55" s="245"/>
      <c r="J55" s="245"/>
      <c r="K55" s="245"/>
      <c r="L55" s="234"/>
    </row>
    <row r="56" spans="1:12" ht="15.75">
      <c r="A56" s="235" t="s">
        <v>551</v>
      </c>
      <c r="B56" s="6"/>
      <c r="C56" s="13"/>
      <c r="D56" s="13"/>
      <c r="E56" s="13"/>
      <c r="F56" s="13"/>
      <c r="G56" s="13"/>
      <c r="H56" s="13"/>
      <c r="I56" s="8"/>
      <c r="J56" s="8"/>
      <c r="K56" s="8"/>
      <c r="L56" s="236"/>
    </row>
    <row r="57" spans="1:12" ht="15.75">
      <c r="A57" s="235" t="s">
        <v>552</v>
      </c>
      <c r="B57" s="6"/>
      <c r="C57" s="13"/>
      <c r="D57" s="246"/>
      <c r="E57" s="13"/>
      <c r="F57" s="13"/>
      <c r="G57" s="13"/>
      <c r="H57" s="13"/>
      <c r="I57" s="8"/>
      <c r="J57" s="8"/>
      <c r="K57" s="8"/>
      <c r="L57" s="236"/>
    </row>
    <row r="58" spans="1:12" ht="18">
      <c r="A58" s="247" t="s">
        <v>553</v>
      </c>
      <c r="B58" s="1"/>
      <c r="C58" s="3"/>
      <c r="D58" s="6"/>
      <c r="E58" s="6"/>
      <c r="F58" s="6"/>
      <c r="G58" s="6"/>
      <c r="H58" s="6"/>
      <c r="I58" s="6"/>
      <c r="J58" s="6"/>
      <c r="K58" s="6"/>
      <c r="L58" s="248"/>
    </row>
    <row r="59" spans="1:12" ht="15.75">
      <c r="A59" s="2641" t="s">
        <v>745</v>
      </c>
      <c r="B59" s="2640" t="s">
        <v>744</v>
      </c>
      <c r="C59" s="2644"/>
      <c r="D59" s="2645"/>
      <c r="E59" s="2645"/>
      <c r="F59" s="2645"/>
      <c r="G59" s="249"/>
      <c r="H59" s="249"/>
      <c r="I59" s="249"/>
      <c r="J59" s="249"/>
      <c r="K59" s="249"/>
      <c r="L59" s="250"/>
    </row>
    <row r="60" spans="1:12">
      <c r="A60" s="270" t="s">
        <v>1129</v>
      </c>
      <c r="B60" s="252"/>
      <c r="C60" s="804" t="s">
        <v>554</v>
      </c>
      <c r="D60" s="254"/>
      <c r="E60" s="254"/>
      <c r="F60" s="254"/>
      <c r="G60" s="254"/>
      <c r="H60" s="254"/>
      <c r="I60" s="254"/>
      <c r="J60" s="776" t="s">
        <v>555</v>
      </c>
      <c r="K60" s="776" t="s">
        <v>556</v>
      </c>
      <c r="L60" s="777" t="s">
        <v>557</v>
      </c>
    </row>
    <row r="61" spans="1:12">
      <c r="A61" s="277" t="s">
        <v>3324</v>
      </c>
      <c r="B61" s="805" t="s">
        <v>558</v>
      </c>
      <c r="C61" s="806" t="s">
        <v>559</v>
      </c>
      <c r="D61" s="789" t="s">
        <v>560</v>
      </c>
      <c r="E61" s="256"/>
      <c r="F61" s="256"/>
      <c r="G61" s="256"/>
      <c r="H61" s="256"/>
      <c r="I61" s="256"/>
      <c r="J61" s="789" t="s">
        <v>561</v>
      </c>
      <c r="K61" s="789" t="s">
        <v>562</v>
      </c>
      <c r="L61" s="807" t="s">
        <v>563</v>
      </c>
    </row>
    <row r="62" spans="1:12" ht="15.75">
      <c r="A62" s="270">
        <v>1</v>
      </c>
      <c r="B62" s="778" t="s">
        <v>3364</v>
      </c>
      <c r="C62" s="253"/>
      <c r="D62" s="254"/>
      <c r="E62" s="254"/>
      <c r="F62" s="254"/>
      <c r="G62" s="254"/>
      <c r="H62" s="254"/>
      <c r="I62" s="254"/>
      <c r="J62" s="254"/>
      <c r="K62" s="254"/>
      <c r="L62" s="237"/>
    </row>
    <row r="63" spans="1:12">
      <c r="A63" s="270">
        <v>2</v>
      </c>
      <c r="B63" s="257" t="s">
        <v>3365</v>
      </c>
      <c r="C63" s="271"/>
      <c r="D63" s="258"/>
      <c r="E63" s="258"/>
      <c r="F63" s="258"/>
      <c r="G63" s="258"/>
      <c r="H63" s="258"/>
      <c r="I63" s="258"/>
      <c r="J63" s="258"/>
      <c r="K63" s="258"/>
      <c r="L63" s="259"/>
    </row>
    <row r="64" spans="1:12">
      <c r="A64" s="270">
        <v>3</v>
      </c>
      <c r="B64" s="252"/>
      <c r="C64" s="253"/>
      <c r="D64" s="254"/>
      <c r="E64" s="254"/>
      <c r="F64" s="254"/>
      <c r="G64" s="254"/>
      <c r="H64" s="254"/>
      <c r="I64" s="254"/>
      <c r="J64" s="254"/>
      <c r="K64" s="254"/>
      <c r="L64" s="237"/>
    </row>
    <row r="65" spans="1:12">
      <c r="A65" s="270">
        <v>4</v>
      </c>
      <c r="B65" s="252"/>
      <c r="C65" s="253"/>
      <c r="D65" s="254"/>
      <c r="E65" s="254"/>
      <c r="F65" s="254"/>
      <c r="G65" s="254"/>
      <c r="H65" s="254"/>
      <c r="I65" s="254"/>
      <c r="J65" s="254"/>
      <c r="K65" s="254"/>
      <c r="L65" s="237"/>
    </row>
    <row r="66" spans="1:12">
      <c r="A66" s="270">
        <v>5</v>
      </c>
      <c r="B66" s="252"/>
      <c r="C66" s="253"/>
      <c r="D66" s="254"/>
      <c r="E66" s="254"/>
      <c r="F66" s="254"/>
      <c r="G66" s="254"/>
      <c r="H66" s="254"/>
      <c r="I66" s="254"/>
      <c r="J66" s="254"/>
      <c r="K66" s="254"/>
      <c r="L66" s="237"/>
    </row>
    <row r="67" spans="1:12">
      <c r="A67" s="270">
        <v>6</v>
      </c>
      <c r="B67" s="257" t="s">
        <v>3755</v>
      </c>
      <c r="C67" s="253"/>
      <c r="D67" s="254"/>
      <c r="E67" s="254"/>
      <c r="F67" s="254"/>
      <c r="G67" s="254"/>
      <c r="H67" s="254"/>
      <c r="I67" s="254"/>
      <c r="J67" s="254"/>
      <c r="K67" s="254"/>
      <c r="L67" s="237"/>
    </row>
    <row r="68" spans="1:12">
      <c r="A68" s="270">
        <v>7</v>
      </c>
      <c r="B68" s="252"/>
      <c r="C68" s="272"/>
      <c r="D68" s="254"/>
      <c r="E68" s="254"/>
      <c r="F68" s="254"/>
      <c r="G68" s="254"/>
      <c r="H68" s="254"/>
      <c r="I68" s="254"/>
      <c r="J68" s="254"/>
      <c r="K68" s="254"/>
      <c r="L68" s="237"/>
    </row>
    <row r="69" spans="1:12">
      <c r="A69" s="270">
        <v>8</v>
      </c>
      <c r="B69" s="252"/>
      <c r="C69" s="273"/>
      <c r="D69" s="254"/>
      <c r="E69" s="254"/>
      <c r="F69" s="254"/>
      <c r="G69" s="254"/>
      <c r="H69" s="254"/>
      <c r="I69" s="254"/>
      <c r="J69" s="254"/>
      <c r="K69" s="254"/>
      <c r="L69" s="237"/>
    </row>
    <row r="70" spans="1:12">
      <c r="A70" s="270">
        <v>9</v>
      </c>
      <c r="B70" s="252"/>
      <c r="C70" s="273"/>
      <c r="D70" s="254"/>
      <c r="E70" s="254"/>
      <c r="F70" s="254"/>
      <c r="G70" s="254"/>
      <c r="H70" s="254"/>
      <c r="I70" s="254"/>
      <c r="J70" s="254"/>
      <c r="K70" s="254"/>
      <c r="L70" s="237"/>
    </row>
    <row r="71" spans="1:12">
      <c r="A71" s="270">
        <v>10</v>
      </c>
      <c r="B71" s="257" t="s">
        <v>3756</v>
      </c>
      <c r="C71" s="273"/>
      <c r="D71" s="254"/>
      <c r="E71" s="254"/>
      <c r="F71" s="254"/>
      <c r="G71" s="254"/>
      <c r="H71" s="254"/>
      <c r="I71" s="254"/>
      <c r="J71" s="254"/>
      <c r="K71" s="254"/>
      <c r="L71" s="237"/>
    </row>
    <row r="72" spans="1:12">
      <c r="A72" s="270">
        <v>11</v>
      </c>
      <c r="B72" s="252"/>
      <c r="C72" s="273"/>
      <c r="D72" s="254"/>
      <c r="E72" s="254"/>
      <c r="F72" s="254"/>
      <c r="G72" s="254"/>
      <c r="H72" s="254"/>
      <c r="I72" s="254"/>
      <c r="J72" s="254"/>
      <c r="K72" s="254"/>
      <c r="L72" s="237"/>
    </row>
    <row r="73" spans="1:12">
      <c r="A73" s="270">
        <v>12</v>
      </c>
      <c r="B73" s="252"/>
      <c r="C73" s="273"/>
      <c r="D73" s="254"/>
      <c r="E73" s="254"/>
      <c r="F73" s="254"/>
      <c r="G73" s="254"/>
      <c r="H73" s="254"/>
      <c r="I73" s="254"/>
      <c r="J73" s="254"/>
      <c r="K73" s="254"/>
      <c r="L73" s="237"/>
    </row>
    <row r="74" spans="1:12">
      <c r="A74" s="270">
        <v>13</v>
      </c>
      <c r="B74" s="252"/>
      <c r="C74" s="273"/>
      <c r="D74" s="254"/>
      <c r="E74" s="254"/>
      <c r="F74" s="254"/>
      <c r="G74" s="254"/>
      <c r="H74" s="254"/>
      <c r="I74" s="254"/>
      <c r="J74" s="254"/>
      <c r="K74" s="254"/>
      <c r="L74" s="237"/>
    </row>
    <row r="75" spans="1:12">
      <c r="A75" s="270">
        <v>14</v>
      </c>
      <c r="B75" s="257" t="s">
        <v>3757</v>
      </c>
      <c r="C75" s="273"/>
      <c r="D75" s="254"/>
      <c r="E75" s="254"/>
      <c r="F75" s="254"/>
      <c r="G75" s="254"/>
      <c r="H75" s="254"/>
      <c r="I75" s="254"/>
      <c r="J75" s="254"/>
      <c r="K75" s="254"/>
      <c r="L75" s="237"/>
    </row>
    <row r="76" spans="1:12">
      <c r="A76" s="270">
        <v>15</v>
      </c>
      <c r="B76" s="252"/>
      <c r="C76" s="273"/>
      <c r="D76" s="254"/>
      <c r="E76" s="254"/>
      <c r="F76" s="254"/>
      <c r="G76" s="254"/>
      <c r="H76" s="254"/>
      <c r="I76" s="254"/>
      <c r="J76" s="254"/>
      <c r="K76" s="254"/>
      <c r="L76" s="237"/>
    </row>
    <row r="77" spans="1:12">
      <c r="A77" s="270">
        <v>16</v>
      </c>
      <c r="B77" s="252"/>
      <c r="C77" s="273"/>
      <c r="D77" s="254"/>
      <c r="E77" s="254"/>
      <c r="F77" s="254"/>
      <c r="G77" s="254"/>
      <c r="H77" s="254"/>
      <c r="I77" s="254"/>
      <c r="J77" s="254"/>
      <c r="K77" s="254"/>
      <c r="L77" s="237"/>
    </row>
    <row r="78" spans="1:12">
      <c r="A78" s="270">
        <v>17</v>
      </c>
      <c r="B78" s="252"/>
      <c r="C78" s="273"/>
      <c r="D78" s="254"/>
      <c r="E78" s="254"/>
      <c r="F78" s="254"/>
      <c r="G78" s="254"/>
      <c r="H78" s="254"/>
      <c r="I78" s="254"/>
      <c r="J78" s="254"/>
      <c r="K78" s="254"/>
      <c r="L78" s="237"/>
    </row>
    <row r="79" spans="1:12">
      <c r="A79" s="270">
        <v>18</v>
      </c>
      <c r="B79" s="257" t="s">
        <v>3070</v>
      </c>
      <c r="C79" s="273"/>
      <c r="D79" s="254"/>
      <c r="E79" s="254"/>
      <c r="F79" s="254"/>
      <c r="G79" s="254"/>
      <c r="H79" s="254"/>
      <c r="I79" s="254"/>
      <c r="J79" s="254"/>
      <c r="K79" s="254"/>
      <c r="L79" s="237"/>
    </row>
    <row r="80" spans="1:12">
      <c r="A80" s="270">
        <v>19</v>
      </c>
      <c r="B80" s="230"/>
      <c r="C80" s="274"/>
      <c r="E80" s="275"/>
      <c r="G80" s="275"/>
      <c r="I80" s="275"/>
      <c r="K80" s="275"/>
      <c r="L80" s="237"/>
    </row>
    <row r="81" spans="1:12">
      <c r="A81" s="270">
        <v>20</v>
      </c>
      <c r="B81" s="230"/>
      <c r="C81" s="274"/>
      <c r="E81" s="275"/>
      <c r="G81" s="275"/>
      <c r="I81" s="275"/>
      <c r="K81" s="275"/>
      <c r="L81" s="237"/>
    </row>
    <row r="82" spans="1:12">
      <c r="A82" s="270">
        <v>21</v>
      </c>
      <c r="B82" s="230"/>
      <c r="C82" s="274"/>
      <c r="E82" s="275"/>
      <c r="G82" s="275"/>
      <c r="I82" s="275"/>
      <c r="K82" s="275"/>
      <c r="L82" s="237"/>
    </row>
    <row r="83" spans="1:12">
      <c r="A83" s="270">
        <v>22</v>
      </c>
      <c r="B83" s="276"/>
      <c r="C83" s="274"/>
      <c r="E83" s="275"/>
      <c r="G83" s="275"/>
      <c r="I83" s="275"/>
      <c r="K83" s="275"/>
      <c r="L83" s="237"/>
    </row>
    <row r="84" spans="1:12">
      <c r="A84" s="270">
        <v>23</v>
      </c>
      <c r="B84" s="230"/>
      <c r="C84" s="159"/>
      <c r="E84" s="275"/>
      <c r="G84" s="275"/>
      <c r="I84" s="275"/>
      <c r="K84" s="275"/>
      <c r="L84" s="237"/>
    </row>
    <row r="85" spans="1:12">
      <c r="A85" s="270">
        <v>24</v>
      </c>
      <c r="B85" s="230"/>
      <c r="C85" s="159"/>
      <c r="E85" s="275"/>
      <c r="G85" s="275"/>
      <c r="I85" s="275"/>
      <c r="K85" s="275"/>
      <c r="L85" s="237"/>
    </row>
    <row r="86" spans="1:12">
      <c r="A86" s="277">
        <v>25</v>
      </c>
      <c r="B86" s="687" t="s">
        <v>3758</v>
      </c>
      <c r="C86" s="151">
        <f t="shared" ref="C86:J86" si="2">SUM(C63:C66)-SUM(C67:C70)+SUM(C71:C74)-SUM(C75:C78)-SUM(C79:C85)</f>
        <v>0</v>
      </c>
      <c r="D86" s="151">
        <f t="shared" si="2"/>
        <v>0</v>
      </c>
      <c r="E86" s="151">
        <f t="shared" si="2"/>
        <v>0</v>
      </c>
      <c r="F86" s="151">
        <f t="shared" si="2"/>
        <v>0</v>
      </c>
      <c r="G86" s="151">
        <f t="shared" si="2"/>
        <v>0</v>
      </c>
      <c r="H86" s="151">
        <f t="shared" si="2"/>
        <v>0</v>
      </c>
      <c r="I86" s="151">
        <f t="shared" si="2"/>
        <v>0</v>
      </c>
      <c r="J86" s="151">
        <f t="shared" si="2"/>
        <v>0</v>
      </c>
      <c r="K86" s="278"/>
      <c r="L86" s="279">
        <f>SUM(L63:L66)-SUM(L67:L70)+SUM(L71:L74)-SUM(L75:L78)-SUM(L79:L85)</f>
        <v>0</v>
      </c>
    </row>
    <row r="87" spans="1:12">
      <c r="A87" s="238"/>
      <c r="B87" s="280"/>
      <c r="C87" s="281"/>
      <c r="D87" s="282"/>
      <c r="E87" s="282"/>
      <c r="F87" s="282"/>
      <c r="G87" s="282"/>
      <c r="H87" s="282"/>
      <c r="I87" s="282"/>
      <c r="J87" s="282"/>
      <c r="K87" s="282"/>
      <c r="L87" s="283"/>
    </row>
    <row r="88" spans="1:12" ht="15.75">
      <c r="A88" s="238"/>
      <c r="B88" s="6" t="s">
        <v>3759</v>
      </c>
      <c r="C88" s="284"/>
      <c r="D88" s="8"/>
      <c r="E88" s="8"/>
      <c r="F88" s="8"/>
      <c r="G88" s="8"/>
      <c r="H88" s="8"/>
      <c r="I88" s="8"/>
      <c r="J88" s="8"/>
      <c r="K88" s="8"/>
      <c r="L88" s="236"/>
    </row>
    <row r="89" spans="1:12">
      <c r="A89" s="238"/>
      <c r="B89" s="230"/>
      <c r="C89" s="239"/>
      <c r="L89" s="237"/>
    </row>
    <row r="90" spans="1:12">
      <c r="A90" s="238"/>
      <c r="B90" s="230"/>
      <c r="C90" s="239"/>
      <c r="L90" s="237"/>
    </row>
    <row r="91" spans="1:12">
      <c r="A91" s="238"/>
      <c r="B91" s="230"/>
      <c r="C91" s="239"/>
      <c r="L91" s="237"/>
    </row>
    <row r="92" spans="1:12">
      <c r="A92" s="238"/>
      <c r="B92" s="230"/>
      <c r="C92" s="239"/>
      <c r="L92" s="237"/>
    </row>
    <row r="93" spans="1:12">
      <c r="A93" s="238"/>
      <c r="B93" s="230"/>
      <c r="C93" s="239"/>
      <c r="L93" s="237"/>
    </row>
    <row r="94" spans="1:12">
      <c r="A94" s="238"/>
      <c r="B94" s="230"/>
      <c r="C94" s="239"/>
      <c r="L94" s="237"/>
    </row>
    <row r="95" spans="1:12">
      <c r="A95" s="238"/>
      <c r="B95" s="230"/>
      <c r="C95" s="239"/>
      <c r="L95" s="237"/>
    </row>
    <row r="96" spans="1:12">
      <c r="A96" s="238"/>
      <c r="B96" s="230"/>
      <c r="C96" s="239"/>
      <c r="L96" s="237"/>
    </row>
    <row r="97" spans="1:12">
      <c r="A97" s="238"/>
      <c r="B97" s="230"/>
      <c r="C97" s="239"/>
      <c r="L97" s="237"/>
    </row>
    <row r="98" spans="1:12">
      <c r="A98" s="238"/>
      <c r="B98" s="230"/>
      <c r="C98" s="239"/>
      <c r="L98" s="237"/>
    </row>
    <row r="99" spans="1:12">
      <c r="A99" s="238"/>
      <c r="B99" s="230"/>
      <c r="C99" s="239"/>
      <c r="L99" s="237"/>
    </row>
    <row r="100" spans="1:12">
      <c r="A100" s="238"/>
      <c r="B100" s="230"/>
      <c r="C100" s="239"/>
      <c r="L100" s="237"/>
    </row>
    <row r="101" spans="1:12">
      <c r="A101" s="238"/>
      <c r="B101" s="230"/>
      <c r="C101" s="239"/>
      <c r="L101" s="237"/>
    </row>
    <row r="102" spans="1:12">
      <c r="A102" s="238"/>
      <c r="B102" s="230"/>
      <c r="C102" s="239"/>
      <c r="L102" s="237"/>
    </row>
    <row r="103" spans="1:12" ht="15.75" thickBot="1">
      <c r="A103" s="241"/>
      <c r="B103" s="285"/>
      <c r="C103" s="242"/>
      <c r="D103" s="285"/>
      <c r="E103" s="285"/>
      <c r="F103" s="285"/>
      <c r="G103" s="285"/>
      <c r="H103" s="285"/>
      <c r="I103" s="285"/>
      <c r="J103" s="285"/>
      <c r="K103" s="285"/>
      <c r="L103" s="243"/>
    </row>
    <row r="104" spans="1:12">
      <c r="K104" t="s">
        <v>2500</v>
      </c>
    </row>
    <row r="105" spans="1:12">
      <c r="A105" s="8" t="s">
        <v>3760</v>
      </c>
      <c r="B105" s="8"/>
      <c r="C105" s="8"/>
      <c r="D105" s="8"/>
      <c r="E105" s="8"/>
      <c r="F105" s="8"/>
      <c r="G105" s="8"/>
      <c r="H105" s="8"/>
      <c r="I105" s="8"/>
      <c r="J105" s="8"/>
      <c r="K105" s="8"/>
      <c r="L105" s="8"/>
    </row>
    <row r="106" spans="1:12" ht="15.75" thickBot="1">
      <c r="A106" s="48" t="str">
        <f>'Data sheet'!$A$65</f>
        <v>Annual Report of New York American Water Company, Inc. (f/k/a Long Island Water Corp)                                    Year Ended  December 31, 2013</v>
      </c>
      <c r="B106" s="244"/>
      <c r="C106" s="230"/>
      <c r="D106" s="231"/>
    </row>
    <row r="107" spans="1:12">
      <c r="A107" s="232"/>
      <c r="B107" s="245"/>
      <c r="C107" s="233"/>
      <c r="D107" s="245"/>
      <c r="E107" s="245"/>
      <c r="F107" s="245"/>
      <c r="G107" s="245"/>
      <c r="H107" s="245"/>
      <c r="I107" s="245"/>
      <c r="J107" s="245"/>
      <c r="K107" s="245"/>
      <c r="L107" s="234"/>
    </row>
    <row r="108" spans="1:12" ht="15.75">
      <c r="A108" s="235" t="s">
        <v>239</v>
      </c>
      <c r="B108" s="6"/>
      <c r="C108" s="13"/>
      <c r="D108" s="13"/>
      <c r="E108" s="13"/>
      <c r="F108" s="13"/>
      <c r="G108" s="13"/>
      <c r="H108" s="13"/>
      <c r="I108" s="8"/>
      <c r="J108" s="8"/>
      <c r="K108" s="8"/>
      <c r="L108" s="236"/>
    </row>
    <row r="109" spans="1:12" ht="15.75">
      <c r="A109" s="235" t="s">
        <v>552</v>
      </c>
      <c r="B109" s="6"/>
      <c r="C109" s="13"/>
      <c r="D109" s="246"/>
      <c r="E109" s="13"/>
      <c r="F109" s="13"/>
      <c r="G109" s="13"/>
      <c r="H109" s="13"/>
      <c r="I109" s="8"/>
      <c r="J109" s="8"/>
      <c r="K109" s="8"/>
      <c r="L109" s="236"/>
    </row>
    <row r="110" spans="1:12" ht="18">
      <c r="A110" s="247" t="s">
        <v>553</v>
      </c>
      <c r="B110" s="1"/>
      <c r="C110" s="3"/>
      <c r="D110" s="6"/>
      <c r="E110" s="6"/>
      <c r="F110" s="6"/>
      <c r="G110" s="6"/>
      <c r="H110" s="6"/>
      <c r="I110" s="6"/>
      <c r="J110" s="6"/>
      <c r="K110" s="6"/>
      <c r="L110" s="248"/>
    </row>
    <row r="111" spans="1:12" ht="15.75">
      <c r="A111" s="2641" t="s">
        <v>745</v>
      </c>
      <c r="B111" s="2640" t="s">
        <v>744</v>
      </c>
      <c r="C111" s="2644"/>
      <c r="D111" s="2645"/>
      <c r="E111" s="2645"/>
      <c r="F111" s="2645"/>
      <c r="G111" s="249"/>
      <c r="H111" s="249"/>
      <c r="I111" s="249"/>
      <c r="J111" s="249"/>
      <c r="K111" s="249"/>
      <c r="L111" s="250"/>
    </row>
    <row r="112" spans="1:12">
      <c r="A112" s="270" t="s">
        <v>1129</v>
      </c>
      <c r="B112" s="252"/>
      <c r="C112" s="804" t="s">
        <v>554</v>
      </c>
      <c r="D112" s="254"/>
      <c r="E112" s="254"/>
      <c r="F112" s="254"/>
      <c r="G112" s="254"/>
      <c r="H112" s="254"/>
      <c r="I112" s="254"/>
      <c r="J112" s="776" t="s">
        <v>555</v>
      </c>
      <c r="K112" s="776" t="s">
        <v>556</v>
      </c>
      <c r="L112" s="777" t="s">
        <v>557</v>
      </c>
    </row>
    <row r="113" spans="1:12">
      <c r="A113" s="277" t="s">
        <v>3324</v>
      </c>
      <c r="B113" s="805" t="s">
        <v>558</v>
      </c>
      <c r="C113" s="806" t="s">
        <v>559</v>
      </c>
      <c r="D113" s="789" t="s">
        <v>560</v>
      </c>
      <c r="E113" s="256"/>
      <c r="F113" s="256"/>
      <c r="G113" s="256"/>
      <c r="H113" s="256"/>
      <c r="I113" s="256"/>
      <c r="J113" s="789" t="s">
        <v>561</v>
      </c>
      <c r="K113" s="789" t="s">
        <v>562</v>
      </c>
      <c r="L113" s="807" t="s">
        <v>563</v>
      </c>
    </row>
    <row r="114" spans="1:12" ht="15.75">
      <c r="A114" s="270">
        <v>1</v>
      </c>
      <c r="B114" s="778" t="s">
        <v>3368</v>
      </c>
      <c r="C114" s="253"/>
      <c r="D114" s="254"/>
      <c r="E114" s="254"/>
      <c r="F114" s="254"/>
      <c r="G114" s="254"/>
      <c r="H114" s="254"/>
      <c r="I114" s="254"/>
      <c r="J114" s="254"/>
      <c r="K114" s="254"/>
      <c r="L114" s="237"/>
    </row>
    <row r="115" spans="1:12">
      <c r="A115" s="270">
        <v>2</v>
      </c>
      <c r="B115" s="257" t="s">
        <v>240</v>
      </c>
      <c r="C115" s="271"/>
      <c r="D115" s="258"/>
      <c r="E115" s="258"/>
      <c r="F115" s="258"/>
      <c r="G115" s="258"/>
      <c r="H115" s="258"/>
      <c r="I115" s="258"/>
      <c r="J115" s="258"/>
      <c r="K115" s="258"/>
      <c r="L115" s="259"/>
    </row>
    <row r="116" spans="1:12">
      <c r="A116" s="270">
        <v>3</v>
      </c>
      <c r="B116" s="257"/>
      <c r="C116" s="272"/>
      <c r="D116" s="254"/>
      <c r="E116" s="254"/>
      <c r="F116" s="254"/>
      <c r="G116" s="254"/>
      <c r="H116" s="254"/>
      <c r="I116" s="254"/>
      <c r="J116" s="254"/>
      <c r="K116" s="254"/>
      <c r="L116" s="237"/>
    </row>
    <row r="117" spans="1:12">
      <c r="A117" s="270">
        <v>4</v>
      </c>
      <c r="B117" s="257"/>
      <c r="C117" s="273"/>
      <c r="D117" s="254"/>
      <c r="E117" s="254"/>
      <c r="F117" s="254"/>
      <c r="G117" s="254"/>
      <c r="H117" s="254"/>
      <c r="I117" s="254"/>
      <c r="J117" s="254"/>
      <c r="K117" s="254"/>
      <c r="L117" s="237"/>
    </row>
    <row r="118" spans="1:12">
      <c r="A118" s="270">
        <v>5</v>
      </c>
      <c r="B118" s="252"/>
      <c r="C118" s="253"/>
      <c r="D118" s="254"/>
      <c r="E118" s="254"/>
      <c r="F118" s="254"/>
      <c r="G118" s="254"/>
      <c r="H118" s="254"/>
      <c r="I118" s="254"/>
      <c r="J118" s="254"/>
      <c r="K118" s="254"/>
      <c r="L118" s="237"/>
    </row>
    <row r="119" spans="1:12">
      <c r="A119" s="270">
        <v>6</v>
      </c>
      <c r="B119" s="252"/>
      <c r="C119" s="253"/>
      <c r="D119" s="254"/>
      <c r="E119" s="254"/>
      <c r="F119" s="254"/>
      <c r="G119" s="254"/>
      <c r="H119" s="254"/>
      <c r="I119" s="254"/>
      <c r="J119" s="254"/>
      <c r="K119" s="254"/>
      <c r="L119" s="237"/>
    </row>
    <row r="120" spans="1:12">
      <c r="A120" s="270">
        <v>7</v>
      </c>
      <c r="B120" s="252"/>
      <c r="C120" s="253"/>
      <c r="D120" s="254"/>
      <c r="E120" s="254"/>
      <c r="F120" s="254"/>
      <c r="G120" s="254"/>
      <c r="H120" s="254"/>
      <c r="I120" s="254"/>
      <c r="J120" s="254"/>
      <c r="K120" s="254"/>
      <c r="L120" s="237"/>
    </row>
    <row r="121" spans="1:12">
      <c r="A121" s="270">
        <v>8</v>
      </c>
      <c r="B121" s="257" t="s">
        <v>241</v>
      </c>
      <c r="C121" s="253"/>
      <c r="D121" s="254"/>
      <c r="E121" s="254"/>
      <c r="F121" s="254"/>
      <c r="G121" s="254"/>
      <c r="H121" s="254"/>
      <c r="I121" s="254"/>
      <c r="J121" s="254"/>
      <c r="K121" s="254"/>
      <c r="L121" s="237"/>
    </row>
    <row r="122" spans="1:12">
      <c r="A122" s="270">
        <v>9</v>
      </c>
      <c r="B122" s="252"/>
      <c r="C122" s="272"/>
      <c r="D122" s="254"/>
      <c r="E122" s="254"/>
      <c r="F122" s="254"/>
      <c r="G122" s="254"/>
      <c r="H122" s="254"/>
      <c r="I122" s="254"/>
      <c r="J122" s="254"/>
      <c r="K122" s="254"/>
      <c r="L122" s="237"/>
    </row>
    <row r="123" spans="1:12">
      <c r="A123" s="270">
        <v>10</v>
      </c>
      <c r="B123" s="252"/>
      <c r="C123" s="272"/>
      <c r="D123" s="254"/>
      <c r="E123" s="254"/>
      <c r="F123" s="254"/>
      <c r="G123" s="254"/>
      <c r="H123" s="254"/>
      <c r="I123" s="254"/>
      <c r="J123" s="254"/>
      <c r="K123" s="254"/>
      <c r="L123" s="237"/>
    </row>
    <row r="124" spans="1:12">
      <c r="A124" s="270">
        <v>11</v>
      </c>
      <c r="B124" s="252"/>
      <c r="C124" s="272"/>
      <c r="D124" s="254"/>
      <c r="E124" s="254"/>
      <c r="F124" s="254"/>
      <c r="G124" s="254"/>
      <c r="H124" s="254"/>
      <c r="I124" s="254"/>
      <c r="J124" s="254"/>
      <c r="K124" s="254"/>
      <c r="L124" s="237"/>
    </row>
    <row r="125" spans="1:12">
      <c r="A125" s="270">
        <v>12</v>
      </c>
      <c r="B125" s="252"/>
      <c r="C125" s="273"/>
      <c r="D125" s="254"/>
      <c r="E125" s="254"/>
      <c r="F125" s="254"/>
      <c r="G125" s="254"/>
      <c r="H125" s="254"/>
      <c r="I125" s="254"/>
      <c r="J125" s="254"/>
      <c r="K125" s="254"/>
      <c r="L125" s="237"/>
    </row>
    <row r="126" spans="1:12">
      <c r="A126" s="270">
        <v>13</v>
      </c>
      <c r="B126" s="252"/>
      <c r="C126" s="273"/>
      <c r="D126" s="254"/>
      <c r="E126" s="254"/>
      <c r="F126" s="254"/>
      <c r="G126" s="254"/>
      <c r="H126" s="254"/>
      <c r="I126" s="254"/>
      <c r="J126" s="254"/>
      <c r="K126" s="254"/>
      <c r="L126" s="237"/>
    </row>
    <row r="127" spans="1:12">
      <c r="A127" s="270">
        <v>14</v>
      </c>
      <c r="B127" s="257" t="s">
        <v>1769</v>
      </c>
      <c r="C127" s="273"/>
      <c r="D127" s="254"/>
      <c r="E127" s="254"/>
      <c r="F127" s="254"/>
      <c r="G127" s="254"/>
      <c r="H127" s="254"/>
      <c r="I127" s="254"/>
      <c r="J127" s="254"/>
      <c r="K127" s="254"/>
      <c r="L127" s="237"/>
    </row>
    <row r="128" spans="1:12">
      <c r="A128" s="270">
        <v>15</v>
      </c>
      <c r="B128" s="252"/>
      <c r="C128" s="273"/>
      <c r="D128" s="254"/>
      <c r="E128" s="254"/>
      <c r="F128" s="254"/>
      <c r="G128" s="254"/>
      <c r="H128" s="254"/>
      <c r="I128" s="254"/>
      <c r="J128" s="254"/>
      <c r="K128" s="254"/>
      <c r="L128" s="237"/>
    </row>
    <row r="129" spans="1:12">
      <c r="A129" s="270">
        <v>16</v>
      </c>
      <c r="B129" s="252"/>
      <c r="C129" s="273"/>
      <c r="D129" s="254"/>
      <c r="E129" s="254"/>
      <c r="F129" s="254"/>
      <c r="G129" s="254"/>
      <c r="H129" s="254"/>
      <c r="I129" s="254"/>
      <c r="J129" s="254"/>
      <c r="K129" s="254"/>
      <c r="L129" s="237"/>
    </row>
    <row r="130" spans="1:12">
      <c r="A130" s="270">
        <v>17</v>
      </c>
      <c r="B130" s="252"/>
      <c r="C130" s="286"/>
      <c r="D130" s="256"/>
      <c r="E130" s="256"/>
      <c r="F130" s="256"/>
      <c r="G130" s="256"/>
      <c r="H130" s="256"/>
      <c r="I130" s="256"/>
      <c r="J130" s="256"/>
      <c r="K130" s="254"/>
      <c r="L130" s="250"/>
    </row>
    <row r="131" spans="1:12">
      <c r="A131" s="270">
        <v>18</v>
      </c>
      <c r="B131" s="252" t="s">
        <v>3976</v>
      </c>
      <c r="C131" s="273"/>
      <c r="D131" s="254"/>
      <c r="E131" s="254"/>
      <c r="F131" s="254"/>
      <c r="G131" s="254"/>
      <c r="H131" s="254"/>
      <c r="I131" s="254"/>
      <c r="J131" s="254"/>
      <c r="K131" s="254"/>
      <c r="L131" s="237"/>
    </row>
    <row r="132" spans="1:12">
      <c r="A132" s="270">
        <v>19</v>
      </c>
      <c r="B132" s="252" t="s">
        <v>3977</v>
      </c>
      <c r="C132" s="287">
        <f t="shared" ref="C132:J132" si="3">SUM(C115:C130)</f>
        <v>0</v>
      </c>
      <c r="D132" s="287">
        <f t="shared" si="3"/>
        <v>0</v>
      </c>
      <c r="E132" s="287">
        <f t="shared" si="3"/>
        <v>0</v>
      </c>
      <c r="F132" s="287">
        <f t="shared" si="3"/>
        <v>0</v>
      </c>
      <c r="G132" s="287">
        <f t="shared" si="3"/>
        <v>0</v>
      </c>
      <c r="H132" s="287">
        <f t="shared" si="3"/>
        <v>0</v>
      </c>
      <c r="I132" s="287">
        <f t="shared" si="3"/>
        <v>0</v>
      </c>
      <c r="J132" s="287">
        <f t="shared" si="3"/>
        <v>0</v>
      </c>
      <c r="K132" s="288"/>
      <c r="L132" s="289">
        <f>SUM(L115:L130)</f>
        <v>0</v>
      </c>
    </row>
    <row r="133" spans="1:12">
      <c r="A133" s="270">
        <v>20</v>
      </c>
      <c r="B133" s="252"/>
      <c r="C133" s="273"/>
      <c r="D133" s="254"/>
      <c r="E133" s="254"/>
      <c r="F133" s="254"/>
      <c r="G133" s="254"/>
      <c r="H133" s="254"/>
      <c r="I133" s="254"/>
      <c r="J133" s="254"/>
      <c r="K133" s="254"/>
      <c r="L133" s="237"/>
    </row>
    <row r="134" spans="1:12">
      <c r="A134" s="270">
        <v>21</v>
      </c>
      <c r="B134" s="252"/>
      <c r="C134" s="273"/>
      <c r="D134" s="254"/>
      <c r="E134" s="254"/>
      <c r="F134" s="254"/>
      <c r="G134" s="254"/>
      <c r="H134" s="254"/>
      <c r="I134" s="254"/>
      <c r="J134" s="254"/>
      <c r="K134" s="254"/>
      <c r="L134" s="237"/>
    </row>
    <row r="135" spans="1:12">
      <c r="A135" s="270">
        <v>22</v>
      </c>
      <c r="B135" s="252" t="s">
        <v>1056</v>
      </c>
      <c r="C135" s="273"/>
      <c r="D135" s="254"/>
      <c r="E135" s="254"/>
      <c r="F135" s="254"/>
      <c r="G135" s="254"/>
      <c r="H135" s="254"/>
      <c r="I135" s="254"/>
      <c r="J135" s="254"/>
      <c r="K135" s="254"/>
      <c r="L135" s="237"/>
    </row>
    <row r="136" spans="1:12">
      <c r="A136" s="270">
        <v>23</v>
      </c>
      <c r="B136" s="230" t="s">
        <v>1057</v>
      </c>
      <c r="C136" s="274"/>
      <c r="E136" s="275"/>
      <c r="G136" s="275"/>
      <c r="I136" s="275"/>
      <c r="K136" s="275"/>
      <c r="L136" s="237"/>
    </row>
    <row r="137" spans="1:12">
      <c r="A137" s="270">
        <v>24</v>
      </c>
      <c r="B137" s="230"/>
      <c r="C137" s="274"/>
      <c r="E137" s="275"/>
      <c r="G137" s="275"/>
      <c r="I137" s="275"/>
      <c r="K137" s="275"/>
      <c r="L137" s="237"/>
    </row>
    <row r="138" spans="1:12">
      <c r="A138" s="270">
        <v>25</v>
      </c>
      <c r="B138" s="252" t="s">
        <v>1056</v>
      </c>
      <c r="C138" s="274"/>
      <c r="E138" s="275"/>
      <c r="G138" s="275"/>
      <c r="I138" s="275"/>
      <c r="K138" s="275"/>
      <c r="L138" s="237"/>
    </row>
    <row r="139" spans="1:12">
      <c r="A139" s="277">
        <v>26</v>
      </c>
      <c r="B139" s="230" t="s">
        <v>1058</v>
      </c>
      <c r="C139" s="290">
        <f t="shared" ref="C139:J139" si="4">C132+C136</f>
        <v>0</v>
      </c>
      <c r="D139" s="290">
        <f t="shared" si="4"/>
        <v>0</v>
      </c>
      <c r="E139" s="290">
        <f t="shared" si="4"/>
        <v>0</v>
      </c>
      <c r="F139" s="290">
        <f t="shared" si="4"/>
        <v>0</v>
      </c>
      <c r="G139" s="290">
        <f t="shared" si="4"/>
        <v>0</v>
      </c>
      <c r="H139" s="290">
        <f t="shared" si="4"/>
        <v>0</v>
      </c>
      <c r="I139" s="290">
        <f t="shared" si="4"/>
        <v>0</v>
      </c>
      <c r="J139" s="290">
        <f t="shared" si="4"/>
        <v>0</v>
      </c>
      <c r="K139" s="278"/>
      <c r="L139" s="291">
        <f>L132+L136</f>
        <v>0</v>
      </c>
    </row>
    <row r="140" spans="1:12">
      <c r="A140" s="238"/>
      <c r="B140" s="280"/>
      <c r="C140" s="281"/>
      <c r="D140" s="282"/>
      <c r="E140" s="282"/>
      <c r="F140" s="282"/>
      <c r="G140" s="282"/>
      <c r="H140" s="282"/>
      <c r="I140" s="282"/>
      <c r="J140" s="282"/>
      <c r="K140" s="282"/>
      <c r="L140" s="283"/>
    </row>
    <row r="141" spans="1:12" ht="15.75">
      <c r="A141" s="238"/>
      <c r="B141" s="6" t="s">
        <v>3759</v>
      </c>
      <c r="C141" s="284"/>
      <c r="D141" s="8"/>
      <c r="E141" s="8"/>
      <c r="F141" s="8"/>
      <c r="G141" s="8"/>
      <c r="H141" s="8"/>
      <c r="I141" s="8"/>
      <c r="J141" s="8"/>
      <c r="K141" s="8"/>
      <c r="L141" s="236"/>
    </row>
    <row r="142" spans="1:12">
      <c r="A142" s="238"/>
      <c r="B142" s="230"/>
      <c r="C142" s="239"/>
      <c r="L142" s="237"/>
    </row>
    <row r="143" spans="1:12">
      <c r="A143" s="238"/>
      <c r="B143" s="230"/>
      <c r="C143" s="239"/>
      <c r="L143" s="237"/>
    </row>
    <row r="144" spans="1:12">
      <c r="A144" s="238"/>
      <c r="B144" s="230"/>
      <c r="C144" s="239"/>
      <c r="L144" s="237"/>
    </row>
    <row r="145" spans="1:12">
      <c r="A145" s="238"/>
      <c r="B145" s="230"/>
      <c r="C145" s="239"/>
      <c r="L145" s="237"/>
    </row>
    <row r="146" spans="1:12">
      <c r="A146" s="238"/>
      <c r="C146" s="239"/>
      <c r="L146" s="237"/>
    </row>
    <row r="147" spans="1:12">
      <c r="A147" s="240"/>
      <c r="C147" s="239"/>
      <c r="L147" s="237"/>
    </row>
    <row r="148" spans="1:12">
      <c r="A148" s="240"/>
      <c r="C148" s="239"/>
      <c r="L148" s="237"/>
    </row>
    <row r="149" spans="1:12">
      <c r="A149" s="240"/>
      <c r="C149" s="239"/>
      <c r="L149" s="237"/>
    </row>
    <row r="150" spans="1:12">
      <c r="A150" s="240"/>
      <c r="C150" s="239"/>
      <c r="L150" s="237"/>
    </row>
    <row r="151" spans="1:12">
      <c r="A151" s="240"/>
      <c r="C151" s="239"/>
      <c r="L151" s="237"/>
    </row>
    <row r="152" spans="1:12">
      <c r="A152" s="240"/>
      <c r="C152" s="239"/>
      <c r="L152" s="237"/>
    </row>
    <row r="153" spans="1:12">
      <c r="A153" s="240"/>
      <c r="C153" s="239"/>
      <c r="L153" s="237"/>
    </row>
    <row r="154" spans="1:12" ht="15.75" thickBot="1">
      <c r="A154" s="241"/>
      <c r="B154" s="285"/>
      <c r="C154" s="242"/>
      <c r="D154" s="285"/>
      <c r="E154" s="285"/>
      <c r="F154" s="285"/>
      <c r="G154" s="285"/>
      <c r="H154" s="285"/>
      <c r="I154" s="285"/>
      <c r="J154" s="285"/>
      <c r="K154" s="285"/>
      <c r="L154" s="243"/>
    </row>
    <row r="155" spans="1:12">
      <c r="K155" t="s">
        <v>2500</v>
      </c>
    </row>
    <row r="156" spans="1:12">
      <c r="A156" s="8" t="s">
        <v>1059</v>
      </c>
      <c r="B156" s="8"/>
      <c r="C156" s="8"/>
      <c r="D156" s="8"/>
      <c r="E156" s="8"/>
      <c r="F156" s="8"/>
      <c r="G156" s="8"/>
      <c r="H156" s="8"/>
      <c r="I156" s="8"/>
      <c r="J156" s="8"/>
      <c r="K156" s="8"/>
      <c r="L156" s="8"/>
    </row>
  </sheetData>
  <customSheetViews>
    <customSheetView guid="{1BA452AD-1A45-4D9C-9666-ADFFA6F2F567}" colorId="22">
      <selection activeCell="C11" sqref="C11"/>
      <rowBreaks count="2" manualBreakCount="2">
        <brk id="53" max="16383" man="1"/>
        <brk id="105" max="16383" man="1"/>
      </rowBreaks>
      <pageMargins left="0.25" right="0.25" top="0.75" bottom="0.25" header="0" footer="0"/>
      <printOptions horizontalCentered="1" verticalCentered="1"/>
      <pageSetup scale="68" fitToWidth="3" orientation="landscape" r:id="rId1"/>
      <headerFooter alignWithMargins="0"/>
    </customSheetView>
    <customSheetView guid="{EEF7ABD6-0F96-4791-B749-C06F707E7673}" scale="60" colorId="22" showPageBreaks="1" printArea="1" view="pageBreakPreview" showRuler="0">
      <selection activeCell="C104" sqref="C104"/>
      <rowBreaks count="2" manualBreakCount="2">
        <brk id="53" max="16383" man="1"/>
        <brk id="105" max="16383" man="1"/>
      </rowBreaks>
      <pageMargins left="0.25" right="0.25" top="0.75" bottom="0.25" header="0" footer="0"/>
      <printOptions horizontalCentered="1" verticalCentered="1"/>
      <pageSetup scale="68" fitToWidth="3" orientation="landscape" r:id="rId2"/>
      <headerFooter alignWithMargins="0"/>
    </customSheetView>
    <customSheetView guid="{A7D7DB3C-AFE6-468E-8C6B-9531F6711497}" scale="87" colorId="22" showRuler="0">
      <selection activeCell="H5" sqref="H5"/>
      <rowBreaks count="2" manualBreakCount="2">
        <brk id="53" max="16383" man="1"/>
        <brk id="105" max="16383" man="1"/>
      </rowBreaks>
      <pageMargins left="0.25" right="0.25" top="0.75" bottom="0.25" header="0" footer="0"/>
      <printOptions horizontalCentered="1" verticalCentered="1"/>
      <pageSetup scale="68" fitToWidth="3" orientation="landscape" r:id="rId3"/>
      <headerFooter alignWithMargins="0"/>
    </customSheetView>
    <customSheetView guid="{4436FEB5-BFEC-4348-9286-CB706802873E}" scale="87" colorId="22" showRuler="0">
      <selection activeCell="H5" sqref="H5"/>
      <rowBreaks count="2" manualBreakCount="2">
        <brk id="53" max="16383" man="1"/>
        <brk id="105" max="16383" man="1"/>
      </rowBreaks>
      <pageMargins left="0.25" right="0.25" top="0.75" bottom="0.25" header="0" footer="0"/>
      <printOptions horizontalCentered="1" verticalCentered="1"/>
      <pageSetup scale="68" fitToWidth="3" orientation="landscape" r:id="rId4"/>
      <headerFooter alignWithMargins="0"/>
    </customSheetView>
    <customSheetView guid="{044CF00C-469F-44B3-B2C4-9B4049CE70CB}" scale="87" colorId="22" showRuler="0">
      <selection activeCell="A2" sqref="A2"/>
      <rowBreaks count="2" manualBreakCount="2">
        <brk id="53" max="16383" man="1"/>
        <brk id="105" max="16383" man="1"/>
      </rowBreaks>
      <pageMargins left="0.25" right="0.25" top="0.75" bottom="0.25" header="0" footer="0"/>
      <printOptions horizontalCentered="1" verticalCentered="1"/>
      <pageSetup scale="68" fitToWidth="3" orientation="landscape" r:id="rId5"/>
      <headerFooter alignWithMargins="0"/>
    </customSheetView>
    <customSheetView guid="{4826FCC0-BDD6-4B2C-ACC6-ACE271DDF0E3}" scale="60" colorId="22" showPageBreaks="1" printArea="1" view="pageBreakPreview" showRuler="0">
      <selection activeCell="C104" sqref="C104"/>
      <rowBreaks count="2" manualBreakCount="2">
        <brk id="53" max="16383" man="1"/>
        <brk id="105" max="16383" man="1"/>
      </rowBreaks>
      <pageMargins left="0.25" right="0.25" top="0.75" bottom="0.25" header="0" footer="0"/>
      <printOptions horizontalCentered="1" verticalCentered="1"/>
      <pageSetup scale="68" fitToWidth="3" orientation="landscape" r:id="rId6"/>
      <headerFooter alignWithMargins="0"/>
    </customSheetView>
    <customSheetView guid="{EF376D10-23D6-4FE2-AB5B-4460D52CC93F}" scale="60" colorId="22" showPageBreaks="1" printArea="1" view="pageBreakPreview" showRuler="0">
      <selection activeCell="C104" sqref="C104"/>
      <rowBreaks count="2" manualBreakCount="2">
        <brk id="53" max="16383" man="1"/>
        <brk id="105" max="16383" man="1"/>
      </rowBreaks>
      <pageMargins left="0.25" right="0.25" top="0.75" bottom="0.25" header="0" footer="0"/>
      <printOptions horizontalCentered="1" verticalCentered="1"/>
      <pageSetup scale="68" fitToWidth="3" orientation="landscape" r:id="rId7"/>
      <headerFooter alignWithMargins="0"/>
    </customSheetView>
    <customSheetView guid="{1C046605-15CE-44F1-BFCD-2CA8588E7ACF}" scale="60" colorId="22" showPageBreaks="1" printArea="1" view="pageBreakPreview" showRuler="0" topLeftCell="A34">
      <selection activeCell="C104" sqref="C104"/>
      <rowBreaks count="2" manualBreakCount="2">
        <brk id="53" max="16383" man="1"/>
        <brk id="105" max="16383" man="1"/>
      </rowBreaks>
      <pageMargins left="0.25" right="0.25" top="0.75" bottom="0.25" header="0" footer="0"/>
      <printOptions horizontalCentered="1" verticalCentered="1"/>
      <pageSetup scale="68" fitToWidth="3" orientation="landscape" r:id="rId8"/>
      <headerFooter alignWithMargins="0"/>
    </customSheetView>
    <customSheetView guid="{3911D713-188C-46A1-A299-F21DD3B7A146}" scale="60" colorId="22" showPageBreaks="1" printArea="1" view="pageBreakPreview" showRuler="0" topLeftCell="A34">
      <selection activeCell="C104" sqref="C104"/>
      <rowBreaks count="2" manualBreakCount="2">
        <brk id="53" max="16383" man="1"/>
        <brk id="105" max="16383" man="1"/>
      </rowBreaks>
      <pageMargins left="0.25" right="0.25" top="0.75" bottom="0.25" header="0" footer="0"/>
      <printOptions horizontalCentered="1" verticalCentered="1"/>
      <pageSetup scale="68" fitToWidth="3" orientation="landscape" r:id="rId9"/>
      <headerFooter alignWithMargins="0"/>
    </customSheetView>
    <customSheetView guid="{78BB1E60-60BE-4F56-9763-075185EFEFAB}" colorId="22">
      <selection activeCell="C11" sqref="C11"/>
      <rowBreaks count="2" manualBreakCount="2">
        <brk id="53" max="16383" man="1"/>
        <brk id="105" max="16383" man="1"/>
      </rowBreaks>
      <pageMargins left="0.25" right="0.25" top="0.75" bottom="0.25" header="0" footer="0"/>
      <printOptions horizontalCentered="1" verticalCentered="1"/>
      <pageSetup scale="68" fitToWidth="3" orientation="landscape" r:id="rId10"/>
      <headerFooter alignWithMargins="0"/>
    </customSheetView>
    <customSheetView guid="{9C30803E-1E2D-4850-B0A5-591CA6F246A1}" colorId="22">
      <selection activeCell="C11" sqref="C11"/>
      <rowBreaks count="2" manualBreakCount="2">
        <brk id="53" max="16383" man="1"/>
        <brk id="105" max="16383" man="1"/>
      </rowBreaks>
      <pageMargins left="0.25" right="0.25" top="0.75" bottom="0.25" header="0" footer="0"/>
      <printOptions horizontalCentered="1" verticalCentered="1"/>
      <pageSetup scale="68" fitToWidth="3" orientation="landscape" r:id="rId11"/>
      <headerFooter alignWithMargins="0"/>
    </customSheetView>
    <customSheetView guid="{3B1006FF-A2CA-49E7-9B25-DAC8815279AF}" colorId="22">
      <selection activeCell="C11" sqref="C11"/>
      <rowBreaks count="2" manualBreakCount="2">
        <brk id="53" max="16383" man="1"/>
        <brk id="105" max="16383" man="1"/>
      </rowBreaks>
      <pageMargins left="0.25" right="0.25" top="0.75" bottom="0.25" header="0" footer="0"/>
      <printOptions horizontalCentered="1" verticalCentered="1"/>
      <pageSetup scale="68" fitToWidth="3" orientation="landscape" r:id="rId12"/>
      <headerFooter alignWithMargins="0"/>
    </customSheetView>
    <customSheetView guid="{FB1A60C8-E1F9-4DF0-8E0E-1C965F86027F}" colorId="22">
      <selection activeCell="C11" sqref="C11"/>
      <rowBreaks count="2" manualBreakCount="2">
        <brk id="53" max="16383" man="1"/>
        <brk id="105" max="16383" man="1"/>
      </rowBreaks>
      <pageMargins left="0.25" right="0.25" top="0.75" bottom="0.25" header="0" footer="0"/>
      <printOptions horizontalCentered="1" verticalCentered="1"/>
      <pageSetup scale="68" fitToWidth="3" orientation="landscape" r:id="rId13"/>
      <headerFooter alignWithMargins="0"/>
    </customSheetView>
    <customSheetView guid="{C5B6D812-CBE6-46AA-99F7-02494E9802B4}" scale="70" colorId="22" topLeftCell="A3">
      <selection activeCell="O25" sqref="O25"/>
      <rowBreaks count="2" manualBreakCount="2">
        <brk id="53" max="16383" man="1"/>
        <brk id="105" max="16383" man="1"/>
      </rowBreaks>
      <pageMargins left="0.25" right="0.25" top="0.75" bottom="0.25" header="0" footer="0"/>
      <printOptions horizontalCentered="1" verticalCentered="1"/>
      <pageSetup scale="68" fitToWidth="3" orientation="landscape" r:id="rId14"/>
      <headerFooter alignWithMargins="0"/>
    </customSheetView>
  </customSheetViews>
  <phoneticPr fontId="0" type="noConversion"/>
  <printOptions horizontalCentered="1" verticalCentered="1"/>
  <pageMargins left="0.25" right="0.25" top="0.75" bottom="0.25" header="0" footer="0"/>
  <pageSetup scale="68" fitToWidth="3" orientation="landscape" r:id="rId15"/>
  <headerFooter alignWithMargins="0"/>
  <rowBreaks count="2" manualBreakCount="2">
    <brk id="53" max="16383" man="1"/>
    <brk id="105" max="16383" man="1"/>
  </rowBreaks>
  <customProperties>
    <customPr name="_pios_id" r:id="rId16"/>
  </customProperties>
</worksheet>
</file>

<file path=xl/worksheets/sheet14.xml><?xml version="1.0" encoding="utf-8"?>
<worksheet xmlns="http://schemas.openxmlformats.org/spreadsheetml/2006/main" xmlns:r="http://schemas.openxmlformats.org/officeDocument/2006/relationships">
  <sheetPr transitionEvaluation="1" codeName="Sheet14" enableFormatConditionsCalculation="0"/>
  <dimension ref="A1:AE136"/>
  <sheetViews>
    <sheetView defaultGridColor="0" colorId="22" zoomScale="70" zoomScaleNormal="70" workbookViewId="0">
      <pane ySplit="7" topLeftCell="A8" activePane="bottomLeft" state="frozen"/>
      <selection activeCell="C10" sqref="C10"/>
      <selection pane="bottomLeft"/>
    </sheetView>
  </sheetViews>
  <sheetFormatPr defaultColWidth="9.77734375" defaultRowHeight="15"/>
  <cols>
    <col min="1" max="1" width="4.77734375" customWidth="1"/>
    <col min="2" max="2" width="56.5546875" customWidth="1"/>
    <col min="3" max="3" width="3" customWidth="1"/>
    <col min="4" max="4" width="9.21875" customWidth="1"/>
    <col min="5" max="5" width="15.5546875" style="1069" customWidth="1"/>
    <col min="6" max="6" width="15.5546875" customWidth="1"/>
    <col min="7" max="7" width="4.6640625" style="1633" bestFit="1" customWidth="1"/>
    <col min="8" max="8" width="13.33203125" style="1633" bestFit="1" customWidth="1"/>
    <col min="9" max="9" width="11.77734375" style="1633" bestFit="1" customWidth="1"/>
    <col min="10" max="11" width="18.109375" style="2060" customWidth="1"/>
    <col min="12" max="12" width="15.5546875" customWidth="1"/>
    <col min="13" max="13" width="10.33203125" customWidth="1"/>
    <col min="14" max="14" width="13.21875" style="1069" bestFit="1" customWidth="1"/>
    <col min="18" max="18" width="11.44140625" customWidth="1"/>
  </cols>
  <sheetData>
    <row r="1" spans="1:14" ht="15.75" thickBot="1">
      <c r="A1" s="1745" t="str">
        <f>'Data sheet'!$A$53</f>
        <v>Annual Report of New York American Water Company, Inc. (f/k/a Long Island Water Corp)                                   Year Ended  December 31, 2013</v>
      </c>
      <c r="B1" s="1635"/>
      <c r="C1" s="230"/>
      <c r="D1" s="230"/>
      <c r="E1" s="2620"/>
      <c r="F1" s="230"/>
      <c r="G1" s="1635"/>
      <c r="H1"/>
      <c r="I1"/>
      <c r="J1"/>
      <c r="K1"/>
      <c r="N1"/>
    </row>
    <row r="2" spans="1:14">
      <c r="A2" s="292"/>
      <c r="B2" s="174"/>
      <c r="C2" s="174"/>
      <c r="D2" s="174"/>
      <c r="E2" s="2621"/>
      <c r="F2" s="144"/>
      <c r="G2" s="1635"/>
      <c r="H2"/>
      <c r="I2"/>
      <c r="J2"/>
      <c r="K2"/>
      <c r="N2"/>
    </row>
    <row r="3" spans="1:14" ht="15.75">
      <c r="A3" s="176" t="s">
        <v>1060</v>
      </c>
      <c r="B3" s="177"/>
      <c r="C3" s="177"/>
      <c r="D3" s="177"/>
      <c r="E3" s="2622"/>
      <c r="F3" s="178"/>
      <c r="G3" s="1635"/>
      <c r="H3"/>
      <c r="I3"/>
      <c r="J3"/>
      <c r="K3"/>
      <c r="N3"/>
    </row>
    <row r="4" spans="1:14">
      <c r="A4" s="187"/>
      <c r="B4" s="193"/>
      <c r="C4" s="193"/>
      <c r="D4" s="109"/>
      <c r="E4" s="2623"/>
      <c r="F4" s="112"/>
      <c r="G4" s="1635"/>
      <c r="H4"/>
      <c r="I4"/>
      <c r="J4"/>
      <c r="K4"/>
      <c r="N4"/>
    </row>
    <row r="5" spans="1:14">
      <c r="A5" s="295"/>
      <c r="B5" s="177"/>
      <c r="C5" s="177"/>
      <c r="D5" s="192" t="s">
        <v>1061</v>
      </c>
      <c r="E5" s="2624" t="s">
        <v>1062</v>
      </c>
      <c r="F5" s="332" t="s">
        <v>1062</v>
      </c>
      <c r="G5" s="1635"/>
      <c r="H5"/>
      <c r="I5"/>
      <c r="J5"/>
      <c r="K5"/>
      <c r="N5"/>
    </row>
    <row r="6" spans="1:14">
      <c r="A6" s="295" t="s">
        <v>1129</v>
      </c>
      <c r="B6" s="177" t="s">
        <v>3649</v>
      </c>
      <c r="C6" s="177"/>
      <c r="D6" s="192" t="s">
        <v>4029</v>
      </c>
      <c r="E6" s="2624" t="s">
        <v>1063</v>
      </c>
      <c r="F6" s="332" t="s">
        <v>2423</v>
      </c>
      <c r="G6" s="1635"/>
      <c r="H6"/>
      <c r="I6"/>
      <c r="J6"/>
      <c r="K6"/>
      <c r="N6"/>
    </row>
    <row r="7" spans="1:14">
      <c r="A7" s="296" t="s">
        <v>3324</v>
      </c>
      <c r="B7" s="180" t="s">
        <v>4032</v>
      </c>
      <c r="C7" s="180"/>
      <c r="D7" s="297" t="s">
        <v>4033</v>
      </c>
      <c r="E7" s="2625" t="s">
        <v>4034</v>
      </c>
      <c r="F7" s="330" t="s">
        <v>4035</v>
      </c>
      <c r="G7" s="1635"/>
      <c r="H7"/>
      <c r="I7"/>
      <c r="J7"/>
      <c r="K7"/>
      <c r="N7"/>
    </row>
    <row r="8" spans="1:14">
      <c r="A8" s="296">
        <v>1</v>
      </c>
      <c r="B8" s="378" t="s">
        <v>2425</v>
      </c>
      <c r="C8" s="180"/>
      <c r="D8" s="297"/>
      <c r="E8" s="2626"/>
      <c r="F8" s="1789"/>
      <c r="G8" s="1635"/>
      <c r="H8"/>
      <c r="I8"/>
      <c r="J8"/>
      <c r="K8"/>
      <c r="N8"/>
    </row>
    <row r="9" spans="1:14">
      <c r="A9" s="296">
        <v>2</v>
      </c>
      <c r="B9" s="852" t="s">
        <v>2426</v>
      </c>
      <c r="C9" s="180"/>
      <c r="D9" s="298" t="s">
        <v>3376</v>
      </c>
      <c r="E9" s="2636">
        <v>206358173.55000001</v>
      </c>
      <c r="F9" s="2061">
        <v>225013813.20956475</v>
      </c>
      <c r="G9" s="1635"/>
      <c r="H9"/>
      <c r="I9"/>
      <c r="J9"/>
      <c r="K9"/>
      <c r="N9"/>
    </row>
    <row r="10" spans="1:14">
      <c r="A10" s="296">
        <v>3</v>
      </c>
      <c r="B10" s="852" t="s">
        <v>2427</v>
      </c>
      <c r="C10" s="180"/>
      <c r="D10" s="298" t="s">
        <v>3376</v>
      </c>
      <c r="E10" s="2628">
        <v>51902699.259999998</v>
      </c>
      <c r="F10" s="1627">
        <v>53293937.599999994</v>
      </c>
      <c r="G10" s="1635"/>
      <c r="H10"/>
      <c r="I10"/>
      <c r="J10"/>
      <c r="K10"/>
      <c r="N10"/>
    </row>
    <row r="11" spans="1:14">
      <c r="A11" s="296">
        <v>4</v>
      </c>
      <c r="B11" s="852" t="s">
        <v>2429</v>
      </c>
      <c r="C11" s="180"/>
      <c r="D11" s="298" t="s">
        <v>2430</v>
      </c>
      <c r="E11" s="2628">
        <f>E9-E10</f>
        <v>154455474.29000002</v>
      </c>
      <c r="F11" s="1627">
        <f>F9-F10</f>
        <v>171719875.60956475</v>
      </c>
      <c r="G11" s="1725"/>
      <c r="H11"/>
      <c r="I11"/>
      <c r="J11"/>
      <c r="K11"/>
      <c r="N11"/>
    </row>
    <row r="12" spans="1:14">
      <c r="A12" s="296">
        <v>5</v>
      </c>
      <c r="B12" s="378" t="s">
        <v>2923</v>
      </c>
      <c r="C12" s="180"/>
      <c r="D12" s="298" t="s">
        <v>2430</v>
      </c>
      <c r="E12" s="2626"/>
      <c r="F12" s="874"/>
      <c r="G12" s="1635"/>
      <c r="H12"/>
      <c r="I12"/>
      <c r="J12"/>
      <c r="K12"/>
      <c r="N12"/>
    </row>
    <row r="13" spans="1:14">
      <c r="A13" s="296">
        <v>6</v>
      </c>
      <c r="B13" s="852" t="s">
        <v>2924</v>
      </c>
      <c r="C13" s="180"/>
      <c r="D13" s="298">
        <v>211</v>
      </c>
      <c r="E13" s="2628">
        <v>63368.44</v>
      </c>
      <c r="F13" s="1627">
        <v>63368.44</v>
      </c>
      <c r="G13" s="1725"/>
      <c r="H13"/>
      <c r="I13"/>
      <c r="J13"/>
      <c r="K13"/>
      <c r="N13"/>
    </row>
    <row r="14" spans="1:14">
      <c r="A14" s="296">
        <v>7</v>
      </c>
      <c r="B14" s="852" t="s">
        <v>345</v>
      </c>
      <c r="C14" s="180"/>
      <c r="D14" s="298" t="s">
        <v>2430</v>
      </c>
      <c r="E14" s="2628">
        <v>0</v>
      </c>
      <c r="F14" s="1627">
        <v>0</v>
      </c>
      <c r="G14" s="1635"/>
      <c r="H14"/>
      <c r="I14"/>
      <c r="J14"/>
      <c r="K14"/>
      <c r="N14"/>
    </row>
    <row r="15" spans="1:14">
      <c r="A15" s="296">
        <v>8</v>
      </c>
      <c r="B15" s="852" t="s">
        <v>346</v>
      </c>
      <c r="C15" s="180"/>
      <c r="D15" s="298" t="s">
        <v>4037</v>
      </c>
      <c r="E15" s="2628">
        <v>0</v>
      </c>
      <c r="F15" s="1627">
        <v>0</v>
      </c>
      <c r="G15" s="1635"/>
      <c r="H15"/>
      <c r="I15"/>
      <c r="J15"/>
      <c r="K15"/>
      <c r="N15"/>
    </row>
    <row r="16" spans="1:14">
      <c r="A16" s="296">
        <v>9</v>
      </c>
      <c r="B16" s="852" t="s">
        <v>1153</v>
      </c>
      <c r="C16" s="180"/>
      <c r="D16" s="298" t="s">
        <v>2430</v>
      </c>
      <c r="E16" s="2626"/>
      <c r="F16" s="874"/>
      <c r="G16" s="1635"/>
      <c r="H16"/>
      <c r="I16"/>
      <c r="J16"/>
      <c r="K16"/>
      <c r="N16"/>
    </row>
    <row r="17" spans="1:14">
      <c r="A17" s="296">
        <v>10</v>
      </c>
      <c r="B17" s="852" t="s">
        <v>1154</v>
      </c>
      <c r="C17" s="180"/>
      <c r="D17" s="298" t="s">
        <v>4037</v>
      </c>
      <c r="E17" s="2628">
        <v>0</v>
      </c>
      <c r="F17" s="1627">
        <v>0</v>
      </c>
      <c r="G17" s="1635"/>
      <c r="H17"/>
      <c r="I17"/>
      <c r="J17"/>
      <c r="K17"/>
      <c r="N17"/>
    </row>
    <row r="18" spans="1:14">
      <c r="A18" s="296">
        <v>11</v>
      </c>
      <c r="B18" s="109" t="s">
        <v>2673</v>
      </c>
      <c r="C18" s="180"/>
      <c r="D18" s="298" t="s">
        <v>88</v>
      </c>
      <c r="E18" s="2628">
        <v>0</v>
      </c>
      <c r="F18" s="1627">
        <v>0</v>
      </c>
      <c r="G18" s="1635"/>
      <c r="H18"/>
      <c r="I18"/>
      <c r="J18"/>
      <c r="K18"/>
      <c r="N18"/>
    </row>
    <row r="19" spans="1:14">
      <c r="A19" s="296">
        <v>12</v>
      </c>
      <c r="B19" s="109" t="s">
        <v>2674</v>
      </c>
      <c r="C19" s="180"/>
      <c r="D19" s="298" t="s">
        <v>88</v>
      </c>
      <c r="E19" s="2628">
        <v>0</v>
      </c>
      <c r="F19" s="1627">
        <v>0</v>
      </c>
      <c r="G19" s="1635"/>
      <c r="H19"/>
      <c r="I19"/>
      <c r="J19"/>
      <c r="K19"/>
      <c r="N19"/>
    </row>
    <row r="20" spans="1:14">
      <c r="A20" s="296">
        <v>13</v>
      </c>
      <c r="B20" s="852" t="s">
        <v>2675</v>
      </c>
      <c r="C20" s="180"/>
      <c r="D20" s="298" t="s">
        <v>88</v>
      </c>
      <c r="E20" s="2628">
        <v>0</v>
      </c>
      <c r="F20" s="1627">
        <v>0</v>
      </c>
      <c r="G20" s="1635"/>
      <c r="H20"/>
      <c r="I20"/>
      <c r="J20"/>
      <c r="K20"/>
      <c r="N20"/>
    </row>
    <row r="21" spans="1:14">
      <c r="A21" s="296">
        <v>14</v>
      </c>
      <c r="B21" s="852" t="s">
        <v>1046</v>
      </c>
      <c r="C21" s="180"/>
      <c r="D21" s="298" t="s">
        <v>2430</v>
      </c>
      <c r="E21" s="2627">
        <f>E13-E14+SUM(E15:E20)</f>
        <v>63368.44</v>
      </c>
      <c r="F21" s="2045">
        <f>F13-F14+SUM(F15:F20)</f>
        <v>63368.44</v>
      </c>
      <c r="G21" s="1635"/>
      <c r="H21"/>
      <c r="I21"/>
      <c r="J21"/>
      <c r="K21"/>
      <c r="N21"/>
    </row>
    <row r="22" spans="1:14">
      <c r="A22" s="296">
        <v>15</v>
      </c>
      <c r="B22" s="378" t="s">
        <v>1047</v>
      </c>
      <c r="C22" s="180"/>
      <c r="D22" s="298" t="s">
        <v>2430</v>
      </c>
      <c r="E22" s="2626"/>
      <c r="F22" s="874"/>
      <c r="G22" s="1635"/>
      <c r="H22"/>
      <c r="I22"/>
      <c r="J22"/>
      <c r="K22"/>
      <c r="N22"/>
    </row>
    <row r="23" spans="1:14">
      <c r="A23" s="296">
        <v>16</v>
      </c>
      <c r="B23" s="852" t="s">
        <v>1048</v>
      </c>
      <c r="C23" s="180"/>
      <c r="D23" s="298" t="s">
        <v>2430</v>
      </c>
      <c r="E23" s="2628">
        <v>72706.520000000048</v>
      </c>
      <c r="F23" s="1627">
        <v>141426.38131266568</v>
      </c>
      <c r="G23" s="1635"/>
      <c r="H23"/>
      <c r="I23"/>
      <c r="J23"/>
      <c r="K23"/>
      <c r="N23"/>
    </row>
    <row r="24" spans="1:14">
      <c r="A24" s="296">
        <v>17</v>
      </c>
      <c r="B24" s="852" t="s">
        <v>1038</v>
      </c>
      <c r="C24" s="180"/>
      <c r="D24" s="298" t="s">
        <v>88</v>
      </c>
      <c r="E24" s="2628">
        <v>0</v>
      </c>
      <c r="F24" s="1627">
        <v>0</v>
      </c>
      <c r="G24" s="1635"/>
      <c r="H24"/>
      <c r="I24"/>
      <c r="J24"/>
      <c r="K24"/>
      <c r="N24"/>
    </row>
    <row r="25" spans="1:14">
      <c r="A25" s="296">
        <v>18</v>
      </c>
      <c r="B25" s="852" t="s">
        <v>2255</v>
      </c>
      <c r="C25" s="180"/>
      <c r="D25" s="298" t="s">
        <v>88</v>
      </c>
      <c r="E25" s="2628">
        <v>0</v>
      </c>
      <c r="F25" s="1627">
        <v>0</v>
      </c>
      <c r="G25" s="1635"/>
      <c r="H25"/>
      <c r="I25"/>
      <c r="J25"/>
      <c r="K25"/>
      <c r="N25"/>
    </row>
    <row r="26" spans="1:14">
      <c r="A26" s="296">
        <v>19</v>
      </c>
      <c r="B26" s="852" t="s">
        <v>4008</v>
      </c>
      <c r="C26" s="180"/>
      <c r="D26" s="298" t="s">
        <v>88</v>
      </c>
      <c r="E26" s="2628">
        <v>0</v>
      </c>
      <c r="F26" s="1627">
        <v>0</v>
      </c>
      <c r="G26" s="1635"/>
      <c r="H26"/>
      <c r="I26"/>
      <c r="J26"/>
      <c r="K26"/>
      <c r="N26"/>
    </row>
    <row r="27" spans="1:14">
      <c r="A27" s="296">
        <v>20</v>
      </c>
      <c r="B27" s="852" t="s">
        <v>4009</v>
      </c>
      <c r="C27" s="180"/>
      <c r="D27" s="298" t="s">
        <v>2430</v>
      </c>
      <c r="E27" s="2628">
        <v>0</v>
      </c>
      <c r="F27" s="1627">
        <v>0</v>
      </c>
      <c r="G27" s="1635"/>
      <c r="H27"/>
      <c r="I27"/>
      <c r="J27"/>
      <c r="K27"/>
      <c r="N27"/>
    </row>
    <row r="28" spans="1:14">
      <c r="A28" s="296">
        <v>21</v>
      </c>
      <c r="B28" s="852" t="s">
        <v>4010</v>
      </c>
      <c r="C28" s="180"/>
      <c r="D28" s="298" t="s">
        <v>2430</v>
      </c>
      <c r="E28" s="2628">
        <v>0</v>
      </c>
      <c r="F28" s="1627">
        <v>0</v>
      </c>
      <c r="G28" s="1635"/>
      <c r="H28"/>
      <c r="I28"/>
      <c r="J28"/>
      <c r="K28"/>
      <c r="N28"/>
    </row>
    <row r="29" spans="1:14">
      <c r="A29" s="296">
        <v>22</v>
      </c>
      <c r="B29" s="852" t="s">
        <v>1465</v>
      </c>
      <c r="C29" s="180"/>
      <c r="D29" s="298" t="s">
        <v>2895</v>
      </c>
      <c r="E29" s="2628">
        <v>0</v>
      </c>
      <c r="F29" s="1627">
        <v>0</v>
      </c>
      <c r="G29" s="1635"/>
      <c r="H29"/>
      <c r="I29"/>
      <c r="J29"/>
      <c r="K29"/>
      <c r="N29"/>
    </row>
    <row r="30" spans="1:14">
      <c r="A30" s="296">
        <v>23</v>
      </c>
      <c r="B30" s="852" t="s">
        <v>1466</v>
      </c>
      <c r="C30" s="180"/>
      <c r="D30" s="298" t="s">
        <v>2895</v>
      </c>
      <c r="E30" s="2628">
        <v>3064286.36</v>
      </c>
      <c r="F30" s="1627">
        <v>3885083.3774728309</v>
      </c>
      <c r="G30" s="1719"/>
      <c r="H30"/>
      <c r="I30"/>
      <c r="J30"/>
      <c r="K30"/>
      <c r="N30"/>
    </row>
    <row r="31" spans="1:14">
      <c r="A31" s="296">
        <v>24</v>
      </c>
      <c r="B31" s="852" t="s">
        <v>1467</v>
      </c>
      <c r="C31" s="180"/>
      <c r="D31" s="298" t="s">
        <v>2895</v>
      </c>
      <c r="E31" s="2628">
        <v>133404.73000000001</v>
      </c>
      <c r="F31" s="1627">
        <v>473470.5325127758</v>
      </c>
      <c r="G31" s="1719"/>
      <c r="H31"/>
      <c r="I31"/>
      <c r="J31"/>
      <c r="K31"/>
      <c r="N31"/>
    </row>
    <row r="32" spans="1:14">
      <c r="A32" s="296">
        <v>25</v>
      </c>
      <c r="B32" s="852" t="s">
        <v>673</v>
      </c>
      <c r="C32" s="180"/>
      <c r="D32" s="298" t="s">
        <v>2895</v>
      </c>
      <c r="E32" s="2628">
        <v>331458.36</v>
      </c>
      <c r="F32" s="1627">
        <v>368369.16420677269</v>
      </c>
      <c r="G32" s="1719"/>
      <c r="H32"/>
      <c r="I32"/>
      <c r="J32"/>
      <c r="K32"/>
      <c r="N32"/>
    </row>
    <row r="33" spans="1:14">
      <c r="A33" s="296">
        <v>26</v>
      </c>
      <c r="B33" s="852" t="s">
        <v>2544</v>
      </c>
      <c r="C33" s="180"/>
      <c r="D33" s="298" t="s">
        <v>2898</v>
      </c>
      <c r="E33" s="2628">
        <v>0</v>
      </c>
      <c r="F33" s="1627">
        <v>0</v>
      </c>
      <c r="G33" s="1635"/>
      <c r="H33"/>
      <c r="I33"/>
      <c r="J33"/>
      <c r="K33"/>
      <c r="N33"/>
    </row>
    <row r="34" spans="1:14">
      <c r="A34" s="296">
        <v>27</v>
      </c>
      <c r="B34" s="852" t="s">
        <v>2545</v>
      </c>
      <c r="C34" s="180"/>
      <c r="D34" s="298" t="s">
        <v>2898</v>
      </c>
      <c r="E34" s="2628">
        <v>771031.86</v>
      </c>
      <c r="F34" s="1627">
        <v>139668.34699511612</v>
      </c>
      <c r="G34" s="1719"/>
      <c r="H34"/>
      <c r="I34"/>
      <c r="J34"/>
      <c r="K34"/>
      <c r="N34"/>
    </row>
    <row r="35" spans="1:14">
      <c r="A35" s="296">
        <v>28</v>
      </c>
      <c r="B35" s="852" t="s">
        <v>2546</v>
      </c>
      <c r="C35" s="180"/>
      <c r="D35" s="298" t="s">
        <v>2077</v>
      </c>
      <c r="E35" s="2628">
        <v>770930.39</v>
      </c>
      <c r="F35" s="1627">
        <v>466070.59</v>
      </c>
      <c r="G35" s="1719"/>
      <c r="H35"/>
      <c r="I35"/>
      <c r="J35"/>
      <c r="K35"/>
      <c r="N35"/>
    </row>
    <row r="36" spans="1:14">
      <c r="A36" s="296">
        <v>29</v>
      </c>
      <c r="B36" s="852" t="s">
        <v>2825</v>
      </c>
      <c r="C36" s="180"/>
      <c r="D36" s="298" t="s">
        <v>2077</v>
      </c>
      <c r="E36" s="2628">
        <v>981395.00000000012</v>
      </c>
      <c r="F36" s="1627">
        <v>1108248.33</v>
      </c>
      <c r="G36" s="1719"/>
      <c r="H36"/>
      <c r="I36"/>
      <c r="J36"/>
      <c r="K36"/>
      <c r="N36"/>
    </row>
    <row r="37" spans="1:14">
      <c r="A37" s="296">
        <v>30</v>
      </c>
      <c r="B37" s="852" t="s">
        <v>2826</v>
      </c>
      <c r="C37" s="180"/>
      <c r="D37" s="298" t="s">
        <v>2430</v>
      </c>
      <c r="E37" s="2628">
        <v>0</v>
      </c>
      <c r="F37" s="1627">
        <v>0</v>
      </c>
      <c r="G37" s="1635"/>
      <c r="H37"/>
      <c r="I37"/>
      <c r="J37"/>
      <c r="K37"/>
      <c r="N37"/>
    </row>
    <row r="38" spans="1:14">
      <c r="A38" s="296">
        <v>31</v>
      </c>
      <c r="B38" s="852" t="s">
        <v>2827</v>
      </c>
      <c r="C38" s="180"/>
      <c r="D38" s="298" t="s">
        <v>2430</v>
      </c>
      <c r="E38" s="2628">
        <v>0</v>
      </c>
      <c r="F38" s="1627">
        <v>0</v>
      </c>
      <c r="G38" s="1635"/>
      <c r="H38"/>
      <c r="I38"/>
      <c r="J38"/>
      <c r="K38"/>
      <c r="N38"/>
    </row>
    <row r="39" spans="1:14">
      <c r="A39" s="296">
        <v>32</v>
      </c>
      <c r="B39" s="852" t="s">
        <v>2828</v>
      </c>
      <c r="C39" s="180"/>
      <c r="D39" s="298" t="s">
        <v>2430</v>
      </c>
      <c r="E39" s="2628">
        <v>2319931.8199999998</v>
      </c>
      <c r="F39" s="1627">
        <v>2528532.1100001335</v>
      </c>
      <c r="G39" s="1719"/>
      <c r="H39"/>
      <c r="I39"/>
      <c r="J39"/>
      <c r="K39"/>
      <c r="N39"/>
    </row>
    <row r="40" spans="1:14">
      <c r="A40" s="296">
        <v>33</v>
      </c>
      <c r="B40" s="852" t="s">
        <v>270</v>
      </c>
      <c r="C40" s="180"/>
      <c r="D40" s="298" t="s">
        <v>2430</v>
      </c>
      <c r="E40" s="2628">
        <v>174358.16</v>
      </c>
      <c r="F40" s="1627">
        <v>134384.95278187466</v>
      </c>
      <c r="G40" s="1635"/>
      <c r="H40"/>
      <c r="I40"/>
      <c r="J40"/>
      <c r="K40"/>
      <c r="N40"/>
    </row>
    <row r="41" spans="1:14">
      <c r="A41" s="296">
        <v>34</v>
      </c>
      <c r="B41" s="852" t="s">
        <v>582</v>
      </c>
      <c r="C41" s="180"/>
      <c r="D41" s="304" t="s">
        <v>2430</v>
      </c>
      <c r="E41" s="2635">
        <f>SUM(E23:E31)-E32+SUM(E33:E40)</f>
        <v>7956586.4800000004</v>
      </c>
      <c r="F41" s="1627">
        <f>SUM(F23:F31)-F32+SUM(F33:F40)</f>
        <v>8508515.4568686243</v>
      </c>
      <c r="G41" s="1719"/>
      <c r="H41"/>
      <c r="I41"/>
      <c r="J41"/>
      <c r="K41"/>
      <c r="N41"/>
    </row>
    <row r="42" spans="1:14">
      <c r="A42" s="296">
        <v>35</v>
      </c>
      <c r="B42" s="852" t="s">
        <v>583</v>
      </c>
      <c r="C42" s="180"/>
      <c r="D42" s="306" t="s">
        <v>2430</v>
      </c>
      <c r="E42" s="2626"/>
      <c r="F42" s="875"/>
      <c r="G42" s="1635"/>
      <c r="H42"/>
      <c r="I42"/>
      <c r="J42"/>
      <c r="K42"/>
      <c r="N42"/>
    </row>
    <row r="43" spans="1:14">
      <c r="A43" s="296">
        <v>36</v>
      </c>
      <c r="B43" s="852" t="s">
        <v>740</v>
      </c>
      <c r="C43" s="180"/>
      <c r="D43" s="306" t="s">
        <v>2430</v>
      </c>
      <c r="E43" s="2628">
        <v>2483738.3499999996</v>
      </c>
      <c r="F43" s="1627">
        <v>2417818.67</v>
      </c>
      <c r="G43" s="1635"/>
      <c r="H43"/>
      <c r="I43"/>
      <c r="J43"/>
      <c r="K43"/>
      <c r="N43"/>
    </row>
    <row r="44" spans="1:14">
      <c r="A44" s="296">
        <v>37</v>
      </c>
      <c r="B44" s="852" t="s">
        <v>354</v>
      </c>
      <c r="C44" s="180"/>
      <c r="D44" s="306" t="s">
        <v>3646</v>
      </c>
      <c r="E44" s="2628">
        <v>0</v>
      </c>
      <c r="F44" s="1627">
        <v>0</v>
      </c>
      <c r="G44" s="1635"/>
      <c r="H44"/>
      <c r="I44"/>
      <c r="J44"/>
      <c r="K44"/>
      <c r="N44"/>
    </row>
    <row r="45" spans="1:14">
      <c r="A45" s="296">
        <v>38</v>
      </c>
      <c r="B45" s="852" t="s">
        <v>2973</v>
      </c>
      <c r="C45" s="180"/>
      <c r="D45" s="306" t="s">
        <v>2430</v>
      </c>
      <c r="E45" s="2628">
        <v>0</v>
      </c>
      <c r="F45" s="1627">
        <v>0</v>
      </c>
      <c r="G45" s="1719"/>
      <c r="H45"/>
      <c r="I45"/>
      <c r="J45"/>
      <c r="K45"/>
      <c r="N45"/>
    </row>
    <row r="46" spans="1:14">
      <c r="A46" s="296">
        <v>39</v>
      </c>
      <c r="B46" s="852" t="s">
        <v>2974</v>
      </c>
      <c r="C46" s="180"/>
      <c r="D46" s="306" t="s">
        <v>2430</v>
      </c>
      <c r="E46" s="2628">
        <v>0</v>
      </c>
      <c r="F46" s="1627">
        <v>0</v>
      </c>
      <c r="G46" s="1635"/>
      <c r="H46"/>
      <c r="I46"/>
      <c r="J46"/>
      <c r="K46"/>
      <c r="N46"/>
    </row>
    <row r="47" spans="1:14">
      <c r="A47" s="296">
        <v>40</v>
      </c>
      <c r="B47" s="852" t="s">
        <v>3085</v>
      </c>
      <c r="C47" s="180"/>
      <c r="D47" s="306" t="s">
        <v>2430</v>
      </c>
      <c r="E47" s="2628">
        <v>0</v>
      </c>
      <c r="F47" s="1627">
        <v>0</v>
      </c>
      <c r="G47" s="1635"/>
      <c r="H47"/>
      <c r="I47"/>
      <c r="J47"/>
      <c r="K47"/>
      <c r="N47"/>
    </row>
    <row r="48" spans="1:14">
      <c r="A48" s="296">
        <v>41</v>
      </c>
      <c r="B48" s="852" t="s">
        <v>3086</v>
      </c>
      <c r="C48" s="180"/>
      <c r="D48" s="306" t="s">
        <v>3646</v>
      </c>
      <c r="E48" s="2628">
        <v>7830166.21</v>
      </c>
      <c r="F48" s="1627">
        <v>7199778.2599999998</v>
      </c>
      <c r="G48" s="1719"/>
      <c r="H48"/>
      <c r="I48"/>
      <c r="J48"/>
      <c r="K48"/>
      <c r="N48"/>
    </row>
    <row r="49" spans="1:14">
      <c r="A49" s="296">
        <v>42</v>
      </c>
      <c r="B49" s="852" t="s">
        <v>718</v>
      </c>
      <c r="C49" s="180"/>
      <c r="D49" s="1015" t="s">
        <v>2430</v>
      </c>
      <c r="E49" s="2628">
        <v>0</v>
      </c>
      <c r="F49" s="1627">
        <v>0</v>
      </c>
      <c r="H49"/>
      <c r="I49"/>
      <c r="J49"/>
      <c r="K49"/>
      <c r="N49"/>
    </row>
    <row r="50" spans="1:14">
      <c r="A50" s="296">
        <v>43</v>
      </c>
      <c r="B50" s="852" t="s">
        <v>1533</v>
      </c>
      <c r="C50" s="180"/>
      <c r="D50" s="306" t="s">
        <v>2430</v>
      </c>
      <c r="E50" s="2629"/>
      <c r="F50" s="875"/>
      <c r="G50" s="1635"/>
      <c r="H50"/>
      <c r="I50"/>
      <c r="J50"/>
      <c r="K50"/>
      <c r="N50"/>
    </row>
    <row r="51" spans="1:14">
      <c r="A51" s="296">
        <v>44</v>
      </c>
      <c r="B51" s="852" t="s">
        <v>1534</v>
      </c>
      <c r="C51" s="180"/>
      <c r="D51" s="306" t="s">
        <v>2460</v>
      </c>
      <c r="E51" s="2628">
        <v>5810848.6200000001</v>
      </c>
      <c r="F51" s="1627">
        <v>5801602.32399185</v>
      </c>
      <c r="G51" s="1725"/>
      <c r="H51"/>
      <c r="I51"/>
      <c r="J51"/>
      <c r="K51"/>
      <c r="N51"/>
    </row>
    <row r="52" spans="1:14">
      <c r="A52" s="296">
        <v>45</v>
      </c>
      <c r="B52" s="852" t="s">
        <v>2789</v>
      </c>
      <c r="C52" s="180"/>
      <c r="D52" s="306" t="s">
        <v>2430</v>
      </c>
      <c r="E52" s="2628">
        <f>SUM(E43:E51)</f>
        <v>16124753.18</v>
      </c>
      <c r="F52" s="1627">
        <f>SUM(F43:F51)</f>
        <v>15419199.25399185</v>
      </c>
      <c r="G52" s="1724"/>
      <c r="H52"/>
      <c r="I52"/>
      <c r="J52"/>
      <c r="K52"/>
      <c r="N52"/>
    </row>
    <row r="53" spans="1:14">
      <c r="A53" s="295">
        <v>46</v>
      </c>
      <c r="B53" s="209" t="s">
        <v>2790</v>
      </c>
      <c r="C53" s="177"/>
      <c r="D53" s="307" t="s">
        <v>2430</v>
      </c>
      <c r="E53" s="2628"/>
      <c r="F53" s="1627"/>
      <c r="G53" s="1635"/>
      <c r="H53"/>
      <c r="I53"/>
      <c r="J53"/>
      <c r="K53"/>
      <c r="N53"/>
    </row>
    <row r="54" spans="1:14" ht="16.5" thickBot="1">
      <c r="A54" s="310"/>
      <c r="B54" s="211" t="s">
        <v>243</v>
      </c>
      <c r="C54" s="226"/>
      <c r="D54" s="311" t="s">
        <v>2430</v>
      </c>
      <c r="E54" s="2637">
        <f>E11+E21+E41+E52</f>
        <v>178600182.39000002</v>
      </c>
      <c r="F54" s="2638">
        <f>F11+F21+F41+F52</f>
        <v>195710958.76042521</v>
      </c>
      <c r="G54" s="1791"/>
      <c r="H54"/>
      <c r="I54"/>
      <c r="J54"/>
      <c r="K54"/>
      <c r="N54"/>
    </row>
    <row r="55" spans="1:14">
      <c r="A55" s="195" t="s">
        <v>4066</v>
      </c>
      <c r="B55" s="195"/>
      <c r="C55" s="177"/>
      <c r="D55" s="195"/>
      <c r="E55" s="2630"/>
      <c r="F55" s="223"/>
      <c r="H55"/>
      <c r="I55"/>
      <c r="J55"/>
      <c r="K55"/>
      <c r="N55"/>
    </row>
    <row r="56" spans="1:14">
      <c r="A56" s="177" t="s">
        <v>244</v>
      </c>
      <c r="B56" s="177"/>
      <c r="C56" s="177"/>
      <c r="D56" s="177"/>
      <c r="E56" s="2622"/>
      <c r="F56" s="229"/>
      <c r="G56" s="1635"/>
      <c r="H56"/>
      <c r="I56"/>
      <c r="J56"/>
      <c r="K56"/>
      <c r="N56"/>
    </row>
    <row r="57" spans="1:14">
      <c r="A57" s="177"/>
      <c r="B57" s="177"/>
      <c r="C57" s="177"/>
      <c r="D57" s="177"/>
      <c r="E57" s="2622"/>
      <c r="F57" s="229"/>
      <c r="G57" s="1635"/>
      <c r="H57"/>
      <c r="I57"/>
      <c r="J57"/>
      <c r="K57"/>
      <c r="N57"/>
    </row>
    <row r="58" spans="1:14" ht="15.75" thickBot="1">
      <c r="A58" s="1745" t="str">
        <f>'Data sheet'!$A$53</f>
        <v>Annual Report of New York American Water Company, Inc. (f/k/a Long Island Water Corp)                                   Year Ended  December 31, 2013</v>
      </c>
      <c r="B58" s="195"/>
      <c r="C58" s="195"/>
      <c r="D58" s="195"/>
      <c r="E58" s="2630"/>
      <c r="F58" s="223"/>
      <c r="G58" s="1635"/>
      <c r="H58"/>
      <c r="I58"/>
      <c r="J58"/>
      <c r="K58"/>
      <c r="N58"/>
    </row>
    <row r="59" spans="1:14">
      <c r="A59" s="292"/>
      <c r="B59" s="174"/>
      <c r="C59" s="174"/>
      <c r="D59" s="174"/>
      <c r="E59" s="2621"/>
      <c r="F59" s="144"/>
      <c r="G59" s="1635"/>
      <c r="H59"/>
      <c r="I59"/>
      <c r="J59"/>
      <c r="K59"/>
      <c r="N59"/>
    </row>
    <row r="60" spans="1:14" ht="15.75">
      <c r="A60" s="176" t="s">
        <v>4242</v>
      </c>
      <c r="B60" s="313"/>
      <c r="C60" s="177"/>
      <c r="D60" s="177"/>
      <c r="E60" s="2622"/>
      <c r="F60" s="178"/>
      <c r="G60" s="1635"/>
      <c r="H60"/>
      <c r="I60"/>
      <c r="J60"/>
      <c r="K60"/>
      <c r="N60"/>
    </row>
    <row r="61" spans="1:14">
      <c r="A61" s="187"/>
      <c r="B61" s="193"/>
      <c r="C61" s="193"/>
      <c r="D61" s="109"/>
      <c r="E61" s="2623"/>
      <c r="F61" s="112"/>
      <c r="G61" s="1635"/>
      <c r="H61"/>
      <c r="I61"/>
      <c r="J61"/>
      <c r="K61"/>
      <c r="N61"/>
    </row>
    <row r="62" spans="1:14">
      <c r="A62" s="191"/>
      <c r="B62" s="177"/>
      <c r="C62" s="177"/>
      <c r="D62" s="192" t="s">
        <v>1061</v>
      </c>
      <c r="E62" s="2624" t="s">
        <v>1062</v>
      </c>
      <c r="F62" s="332" t="s">
        <v>1062</v>
      </c>
      <c r="G62" s="1635"/>
      <c r="H62"/>
      <c r="I62"/>
      <c r="J62"/>
      <c r="K62"/>
      <c r="N62"/>
    </row>
    <row r="63" spans="1:14">
      <c r="A63" s="191" t="s">
        <v>1129</v>
      </c>
      <c r="B63" s="177" t="s">
        <v>3649</v>
      </c>
      <c r="C63" s="177"/>
      <c r="D63" s="192" t="s">
        <v>4029</v>
      </c>
      <c r="E63" s="2624" t="s">
        <v>1070</v>
      </c>
      <c r="F63" s="332" t="s">
        <v>2423</v>
      </c>
      <c r="G63" s="1635"/>
      <c r="H63"/>
      <c r="I63"/>
      <c r="J63"/>
      <c r="K63"/>
      <c r="N63"/>
    </row>
    <row r="64" spans="1:14">
      <c r="A64" s="199" t="s">
        <v>3324</v>
      </c>
      <c r="B64" s="180" t="s">
        <v>4032</v>
      </c>
      <c r="C64" s="180"/>
      <c r="D64" s="297" t="s">
        <v>4033</v>
      </c>
      <c r="E64" s="2625" t="s">
        <v>4034</v>
      </c>
      <c r="F64" s="330" t="s">
        <v>4035</v>
      </c>
      <c r="G64" s="1635"/>
      <c r="H64"/>
      <c r="I64"/>
      <c r="J64"/>
      <c r="K64"/>
      <c r="N64"/>
    </row>
    <row r="65" spans="1:14">
      <c r="A65" s="199">
        <v>1</v>
      </c>
      <c r="B65" s="378" t="s">
        <v>4243</v>
      </c>
      <c r="C65" s="180"/>
      <c r="D65" s="306" t="s">
        <v>2430</v>
      </c>
      <c r="E65" s="2626"/>
      <c r="F65" s="875"/>
      <c r="G65" s="1635"/>
      <c r="H65"/>
      <c r="I65"/>
      <c r="J65"/>
      <c r="K65"/>
      <c r="N65"/>
    </row>
    <row r="66" spans="1:14">
      <c r="A66" s="199">
        <v>2</v>
      </c>
      <c r="B66" s="852" t="s">
        <v>4244</v>
      </c>
      <c r="C66" s="180"/>
      <c r="D66" s="306" t="s">
        <v>1650</v>
      </c>
      <c r="E66" s="2628">
        <v>10000000</v>
      </c>
      <c r="F66" s="1721">
        <v>10000000</v>
      </c>
      <c r="G66" s="1635"/>
      <c r="H66"/>
      <c r="I66"/>
      <c r="J66"/>
      <c r="K66"/>
      <c r="N66"/>
    </row>
    <row r="67" spans="1:14">
      <c r="A67" s="199">
        <v>3</v>
      </c>
      <c r="B67" s="852" t="s">
        <v>4245</v>
      </c>
      <c r="C67" s="180"/>
      <c r="D67" s="306" t="s">
        <v>1650</v>
      </c>
      <c r="E67" s="2628">
        <v>1125000</v>
      </c>
      <c r="F67" s="1721">
        <v>1125000</v>
      </c>
      <c r="G67" s="1635"/>
      <c r="H67"/>
      <c r="I67"/>
      <c r="J67"/>
      <c r="K67"/>
      <c r="N67"/>
    </row>
    <row r="68" spans="1:14">
      <c r="A68" s="199">
        <v>4</v>
      </c>
      <c r="B68" s="852" t="s">
        <v>4246</v>
      </c>
      <c r="C68" s="180"/>
      <c r="D68" s="306" t="s">
        <v>4095</v>
      </c>
      <c r="E68" s="2628">
        <v>0</v>
      </c>
      <c r="F68" s="1627">
        <v>0</v>
      </c>
      <c r="G68" s="1635"/>
      <c r="H68"/>
      <c r="I68"/>
      <c r="J68"/>
      <c r="K68"/>
      <c r="N68"/>
    </row>
    <row r="69" spans="1:14">
      <c r="A69" s="199">
        <v>5</v>
      </c>
      <c r="B69" s="852" t="s">
        <v>4247</v>
      </c>
      <c r="C69" s="180"/>
      <c r="D69" s="306" t="s">
        <v>4095</v>
      </c>
      <c r="E69" s="2628">
        <v>0</v>
      </c>
      <c r="F69" s="1627">
        <v>0</v>
      </c>
      <c r="G69" s="1635"/>
      <c r="H69"/>
      <c r="I69"/>
      <c r="J69"/>
      <c r="K69"/>
      <c r="N69"/>
    </row>
    <row r="70" spans="1:14">
      <c r="A70" s="199">
        <v>6</v>
      </c>
      <c r="B70" s="852" t="s">
        <v>2145</v>
      </c>
      <c r="C70" s="180"/>
      <c r="D70" s="306" t="s">
        <v>4095</v>
      </c>
      <c r="E70" s="2628">
        <v>0</v>
      </c>
      <c r="F70" s="1627">
        <v>0</v>
      </c>
      <c r="G70" s="1635"/>
      <c r="H70"/>
      <c r="I70"/>
      <c r="J70"/>
      <c r="K70"/>
      <c r="N70"/>
    </row>
    <row r="71" spans="1:14">
      <c r="A71" s="199">
        <v>7</v>
      </c>
      <c r="B71" s="852" t="s">
        <v>3514</v>
      </c>
      <c r="C71" s="180"/>
      <c r="D71" s="306" t="s">
        <v>1512</v>
      </c>
      <c r="E71" s="2628">
        <v>24654383.690000001</v>
      </c>
      <c r="F71" s="1627">
        <v>30510410.349999998</v>
      </c>
      <c r="G71" s="1635"/>
      <c r="H71"/>
      <c r="I71"/>
      <c r="J71"/>
      <c r="K71"/>
      <c r="N71"/>
    </row>
    <row r="72" spans="1:14">
      <c r="A72" s="199">
        <v>8</v>
      </c>
      <c r="B72" s="852" t="s">
        <v>1869</v>
      </c>
      <c r="C72" s="180"/>
      <c r="D72" s="306" t="s">
        <v>4095</v>
      </c>
      <c r="E72" s="2631">
        <v>0</v>
      </c>
      <c r="F72" s="1627">
        <v>0</v>
      </c>
      <c r="G72" s="1635"/>
      <c r="H72"/>
      <c r="I72"/>
      <c r="J72"/>
      <c r="K72"/>
      <c r="N72"/>
    </row>
    <row r="73" spans="1:14">
      <c r="A73" s="199">
        <v>9</v>
      </c>
      <c r="B73" s="852" t="s">
        <v>1870</v>
      </c>
      <c r="C73" s="180"/>
      <c r="D73" s="306" t="s">
        <v>2430</v>
      </c>
      <c r="E73" s="2626"/>
      <c r="F73" s="875"/>
      <c r="G73" s="1635"/>
      <c r="H73"/>
      <c r="I73"/>
      <c r="J73"/>
      <c r="K73"/>
      <c r="N73"/>
    </row>
    <row r="74" spans="1:14">
      <c r="A74" s="199">
        <v>10</v>
      </c>
      <c r="B74" s="852" t="s">
        <v>2925</v>
      </c>
      <c r="C74" s="180"/>
      <c r="D74" s="306" t="s">
        <v>460</v>
      </c>
      <c r="E74" s="2631">
        <v>0</v>
      </c>
      <c r="F74" s="302">
        <v>0</v>
      </c>
      <c r="G74" s="1635"/>
      <c r="H74"/>
      <c r="I74"/>
      <c r="J74"/>
      <c r="K74"/>
      <c r="N74"/>
    </row>
    <row r="75" spans="1:14" ht="15.75">
      <c r="A75" s="199">
        <v>11</v>
      </c>
      <c r="B75" s="852" t="s">
        <v>2926</v>
      </c>
      <c r="C75" s="180"/>
      <c r="D75" s="306" t="s">
        <v>1885</v>
      </c>
      <c r="E75" s="2628">
        <v>21030346</v>
      </c>
      <c r="F75" s="1627">
        <v>22575638.949999534</v>
      </c>
      <c r="G75" s="1675"/>
      <c r="H75"/>
      <c r="I75"/>
      <c r="J75"/>
      <c r="K75"/>
      <c r="N75"/>
    </row>
    <row r="76" spans="1:14">
      <c r="A76" s="199">
        <v>12</v>
      </c>
      <c r="B76" s="852" t="s">
        <v>2927</v>
      </c>
      <c r="C76" s="180"/>
      <c r="D76" s="306" t="s">
        <v>1885</v>
      </c>
      <c r="E76" s="2628">
        <v>0</v>
      </c>
      <c r="F76" s="1627">
        <v>0</v>
      </c>
      <c r="G76" s="1635"/>
      <c r="H76"/>
      <c r="I76"/>
      <c r="J76"/>
      <c r="K76"/>
      <c r="N76"/>
    </row>
    <row r="77" spans="1:14">
      <c r="A77" s="199">
        <v>13</v>
      </c>
      <c r="B77" s="852" t="s">
        <v>1548</v>
      </c>
      <c r="C77" s="180"/>
      <c r="D77" s="306" t="s">
        <v>2430</v>
      </c>
      <c r="E77" s="2631">
        <f>SUM(E66:E72)-SUM(E73:E74)+E75-E76</f>
        <v>56809729.689999998</v>
      </c>
      <c r="F77" s="1627">
        <f>SUM(F66:F72)-SUM(F73:F74)+F75-F76</f>
        <v>64211049.299999528</v>
      </c>
      <c r="G77" s="1635"/>
      <c r="H77"/>
      <c r="I77"/>
      <c r="J77"/>
      <c r="K77"/>
      <c r="N77"/>
    </row>
    <row r="78" spans="1:14">
      <c r="A78" s="199">
        <v>14</v>
      </c>
      <c r="B78" s="378" t="s">
        <v>1549</v>
      </c>
      <c r="C78" s="180"/>
      <c r="D78" s="306" t="s">
        <v>2430</v>
      </c>
      <c r="E78" s="2626"/>
      <c r="F78" s="875"/>
      <c r="G78" s="1635"/>
      <c r="H78"/>
      <c r="I78"/>
      <c r="J78"/>
      <c r="K78"/>
      <c r="N78"/>
    </row>
    <row r="79" spans="1:14">
      <c r="A79" s="199">
        <v>15</v>
      </c>
      <c r="B79" s="852" t="s">
        <v>1550</v>
      </c>
      <c r="C79" s="180"/>
      <c r="D79" s="306" t="s">
        <v>1043</v>
      </c>
      <c r="E79" s="2628">
        <v>56914713.329999998</v>
      </c>
      <c r="F79" s="1721">
        <v>70611060.640000001</v>
      </c>
      <c r="G79" s="1635"/>
      <c r="H79"/>
      <c r="I79"/>
      <c r="J79"/>
      <c r="K79"/>
      <c r="N79"/>
    </row>
    <row r="80" spans="1:14">
      <c r="A80" s="199">
        <v>16</v>
      </c>
      <c r="B80" s="852" t="s">
        <v>1551</v>
      </c>
      <c r="C80" s="180"/>
      <c r="D80" s="306" t="s">
        <v>1043</v>
      </c>
      <c r="E80" s="2631">
        <v>0</v>
      </c>
      <c r="F80" s="302">
        <v>0</v>
      </c>
      <c r="G80" s="1635"/>
      <c r="H80"/>
      <c r="I80"/>
      <c r="J80"/>
      <c r="K80"/>
      <c r="N80"/>
    </row>
    <row r="81" spans="1:14">
      <c r="A81" s="199">
        <v>17</v>
      </c>
      <c r="B81" s="852" t="s">
        <v>3187</v>
      </c>
      <c r="C81" s="180"/>
      <c r="D81" s="306" t="s">
        <v>1043</v>
      </c>
      <c r="E81" s="2631">
        <v>0</v>
      </c>
      <c r="F81" s="302">
        <v>0</v>
      </c>
      <c r="G81" s="1635"/>
      <c r="H81"/>
      <c r="I81"/>
      <c r="J81"/>
      <c r="K81"/>
      <c r="N81"/>
    </row>
    <row r="82" spans="1:14">
      <c r="A82" s="199">
        <v>18</v>
      </c>
      <c r="B82" s="852" t="s">
        <v>3188</v>
      </c>
      <c r="C82" s="180"/>
      <c r="D82" s="306" t="s">
        <v>1043</v>
      </c>
      <c r="E82" s="2631">
        <v>0</v>
      </c>
      <c r="F82" s="302">
        <v>0</v>
      </c>
      <c r="G82" s="1635"/>
      <c r="H82"/>
      <c r="I82"/>
      <c r="J82"/>
      <c r="K82"/>
      <c r="N82"/>
    </row>
    <row r="83" spans="1:14">
      <c r="A83" s="199">
        <v>19</v>
      </c>
      <c r="B83" s="852" t="s">
        <v>3189</v>
      </c>
      <c r="C83" s="180"/>
      <c r="D83" s="306" t="s">
        <v>1043</v>
      </c>
      <c r="E83" s="2631">
        <v>0</v>
      </c>
      <c r="F83" s="302">
        <v>0</v>
      </c>
      <c r="G83" s="1635"/>
      <c r="H83"/>
      <c r="I83"/>
      <c r="J83"/>
      <c r="K83"/>
      <c r="N83"/>
    </row>
    <row r="84" spans="1:14">
      <c r="A84" s="199">
        <v>20</v>
      </c>
      <c r="B84" s="852" t="s">
        <v>1948</v>
      </c>
      <c r="C84" s="180"/>
      <c r="D84" s="306" t="s">
        <v>1043</v>
      </c>
      <c r="E84" s="2631">
        <v>0</v>
      </c>
      <c r="F84" s="302">
        <v>0</v>
      </c>
      <c r="G84" s="1635"/>
      <c r="H84"/>
      <c r="I84"/>
      <c r="J84"/>
      <c r="K84"/>
      <c r="N84"/>
    </row>
    <row r="85" spans="1:14">
      <c r="A85" s="199">
        <v>21</v>
      </c>
      <c r="B85" s="852" t="s">
        <v>1844</v>
      </c>
      <c r="C85" s="180"/>
      <c r="D85" s="306" t="s">
        <v>2430</v>
      </c>
      <c r="E85" s="2632">
        <f>E79-E80+SUM(E81:E83)-E84</f>
        <v>56914713.329999998</v>
      </c>
      <c r="F85" s="2063">
        <f>F79-F80+SUM(F81:F83)-F84</f>
        <v>70611060.640000001</v>
      </c>
      <c r="G85" s="1635"/>
      <c r="H85"/>
      <c r="I85"/>
      <c r="J85"/>
      <c r="K85"/>
      <c r="N85"/>
    </row>
    <row r="86" spans="1:14">
      <c r="A86" s="199">
        <v>22</v>
      </c>
      <c r="B86" s="378" t="s">
        <v>3591</v>
      </c>
      <c r="C86" s="180"/>
      <c r="D86" s="306" t="s">
        <v>2430</v>
      </c>
      <c r="E86" s="2626"/>
      <c r="F86" s="875"/>
      <c r="G86" s="1635"/>
      <c r="H86"/>
      <c r="I86"/>
      <c r="J86"/>
      <c r="K86"/>
      <c r="N86"/>
    </row>
    <row r="87" spans="1:14">
      <c r="A87" s="199">
        <v>23</v>
      </c>
      <c r="B87" s="852" t="s">
        <v>3592</v>
      </c>
      <c r="C87" s="180"/>
      <c r="D87" s="306" t="s">
        <v>2430</v>
      </c>
      <c r="E87" s="2626"/>
      <c r="F87" s="875"/>
      <c r="G87" s="1635"/>
      <c r="H87"/>
      <c r="I87"/>
      <c r="J87"/>
      <c r="K87"/>
      <c r="N87"/>
    </row>
    <row r="88" spans="1:14">
      <c r="A88" s="199">
        <v>24</v>
      </c>
      <c r="B88" s="852" t="s">
        <v>319</v>
      </c>
      <c r="C88" s="180"/>
      <c r="D88" s="306" t="s">
        <v>2430</v>
      </c>
      <c r="E88" s="2631">
        <v>0</v>
      </c>
      <c r="F88" s="302">
        <v>0</v>
      </c>
      <c r="G88" s="1635"/>
      <c r="H88"/>
      <c r="I88"/>
      <c r="J88"/>
      <c r="K88"/>
      <c r="N88"/>
    </row>
    <row r="89" spans="1:14">
      <c r="A89" s="199">
        <v>25</v>
      </c>
      <c r="B89" s="852" t="s">
        <v>147</v>
      </c>
      <c r="C89" s="180"/>
      <c r="D89" s="306" t="s">
        <v>2430</v>
      </c>
      <c r="E89" s="2631">
        <v>0</v>
      </c>
      <c r="F89" s="302">
        <v>0</v>
      </c>
      <c r="G89" s="1635"/>
      <c r="H89"/>
      <c r="I89"/>
      <c r="J89"/>
      <c r="K89"/>
      <c r="N89"/>
    </row>
    <row r="90" spans="1:14">
      <c r="A90" s="199">
        <v>26</v>
      </c>
      <c r="B90" s="852" t="s">
        <v>148</v>
      </c>
      <c r="C90" s="180"/>
      <c r="D90" s="306" t="s">
        <v>2430</v>
      </c>
      <c r="E90" s="2631">
        <v>0</v>
      </c>
      <c r="F90" s="302">
        <v>0</v>
      </c>
      <c r="G90" s="1635"/>
      <c r="H90"/>
      <c r="I90"/>
      <c r="J90"/>
      <c r="K90"/>
      <c r="N90"/>
    </row>
    <row r="91" spans="1:14">
      <c r="A91" s="199">
        <v>27</v>
      </c>
      <c r="B91" s="852" t="s">
        <v>149</v>
      </c>
      <c r="C91" s="180"/>
      <c r="D91" s="306" t="s">
        <v>2430</v>
      </c>
      <c r="E91" s="2628">
        <v>1756305.51</v>
      </c>
      <c r="F91" s="302">
        <v>1265791.2124542333</v>
      </c>
      <c r="G91" s="1635"/>
      <c r="H91"/>
      <c r="I91"/>
      <c r="J91"/>
      <c r="K91"/>
      <c r="N91"/>
    </row>
    <row r="92" spans="1:14">
      <c r="A92" s="199">
        <v>28</v>
      </c>
      <c r="B92" s="852" t="s">
        <v>1316</v>
      </c>
      <c r="C92" s="180"/>
      <c r="D92" s="306" t="s">
        <v>2430</v>
      </c>
      <c r="E92" s="2628">
        <f>SUM(E87:E91)</f>
        <v>1756305.51</v>
      </c>
      <c r="F92" s="302">
        <f>SUM(F87:F91)</f>
        <v>1265791.2124542333</v>
      </c>
      <c r="G92" s="1635"/>
      <c r="H92"/>
      <c r="I92"/>
      <c r="J92"/>
      <c r="K92"/>
      <c r="N92"/>
    </row>
    <row r="93" spans="1:14">
      <c r="A93" s="199">
        <v>29</v>
      </c>
      <c r="B93" s="378" t="s">
        <v>1317</v>
      </c>
      <c r="C93" s="180"/>
      <c r="D93" s="306" t="s">
        <v>2430</v>
      </c>
      <c r="E93" s="2626"/>
      <c r="F93" s="875"/>
      <c r="G93" s="1635"/>
      <c r="H93"/>
      <c r="I93"/>
      <c r="J93"/>
      <c r="K93"/>
      <c r="N93"/>
    </row>
    <row r="94" spans="1:14">
      <c r="A94" s="199">
        <v>30</v>
      </c>
      <c r="B94" s="852" t="s">
        <v>1907</v>
      </c>
      <c r="C94" s="180"/>
      <c r="D94" s="306" t="s">
        <v>1041</v>
      </c>
      <c r="E94" s="2631">
        <v>0</v>
      </c>
      <c r="F94" s="302">
        <v>0</v>
      </c>
      <c r="G94" s="1635"/>
      <c r="H94"/>
      <c r="I94"/>
      <c r="J94"/>
      <c r="K94"/>
      <c r="N94"/>
    </row>
    <row r="95" spans="1:14">
      <c r="A95" s="199">
        <v>31</v>
      </c>
      <c r="B95" s="852" t="s">
        <v>1908</v>
      </c>
      <c r="C95" s="180"/>
      <c r="D95" s="1015" t="s">
        <v>2430</v>
      </c>
      <c r="E95" s="2628">
        <v>4074619.8000000003</v>
      </c>
      <c r="F95" s="1627">
        <v>2020292.1921243288</v>
      </c>
      <c r="G95" s="1635"/>
      <c r="H95"/>
      <c r="I95"/>
      <c r="J95"/>
      <c r="K95"/>
      <c r="N95"/>
    </row>
    <row r="96" spans="1:14">
      <c r="A96" s="199">
        <v>32</v>
      </c>
      <c r="B96" s="852" t="s">
        <v>1638</v>
      </c>
      <c r="C96" s="180"/>
      <c r="D96" s="306" t="s">
        <v>1041</v>
      </c>
      <c r="E96" s="2628">
        <v>15350616.380000001</v>
      </c>
      <c r="F96" s="1627">
        <v>12698577.645695873</v>
      </c>
      <c r="G96" s="1635"/>
      <c r="H96"/>
      <c r="I96"/>
      <c r="J96"/>
      <c r="K96"/>
      <c r="N96"/>
    </row>
    <row r="97" spans="1:31">
      <c r="A97" s="199">
        <v>33</v>
      </c>
      <c r="B97" s="852" t="s">
        <v>3185</v>
      </c>
      <c r="C97" s="180"/>
      <c r="D97" s="306" t="s">
        <v>1041</v>
      </c>
      <c r="E97" s="2628">
        <v>1778811.3099999998</v>
      </c>
      <c r="F97" s="1627">
        <v>248593.27933824621</v>
      </c>
      <c r="G97" s="1719"/>
      <c r="H97"/>
      <c r="I97"/>
      <c r="J97"/>
      <c r="K97"/>
      <c r="N97"/>
    </row>
    <row r="98" spans="1:31">
      <c r="A98" s="199">
        <v>34</v>
      </c>
      <c r="B98" s="852" t="s">
        <v>3186</v>
      </c>
      <c r="C98" s="180"/>
      <c r="D98" s="306" t="s">
        <v>2430</v>
      </c>
      <c r="E98" s="2628">
        <v>0</v>
      </c>
      <c r="F98" s="1627">
        <v>0</v>
      </c>
      <c r="G98" s="1635"/>
      <c r="H98"/>
      <c r="I98"/>
      <c r="J98"/>
      <c r="K98"/>
      <c r="N98"/>
    </row>
    <row r="99" spans="1:31">
      <c r="A99" s="1967">
        <v>35</v>
      </c>
      <c r="B99" s="1888" t="s">
        <v>1658</v>
      </c>
      <c r="C99" s="1966"/>
      <c r="D99" s="1720" t="s">
        <v>1045</v>
      </c>
      <c r="E99" s="2628">
        <v>1098912.48</v>
      </c>
      <c r="F99" s="1627">
        <v>3735709.7406486231</v>
      </c>
      <c r="G99" s="1719"/>
      <c r="H99"/>
      <c r="I99"/>
      <c r="J99"/>
      <c r="K99"/>
      <c r="N99"/>
    </row>
    <row r="100" spans="1:31">
      <c r="A100" s="199">
        <v>36</v>
      </c>
      <c r="B100" s="852" t="s">
        <v>1659</v>
      </c>
      <c r="C100" s="180"/>
      <c r="D100" s="1720" t="s">
        <v>2430</v>
      </c>
      <c r="E100" s="2628">
        <v>473196.12</v>
      </c>
      <c r="F100" s="1627">
        <v>532187.34000000125</v>
      </c>
      <c r="G100" s="1635"/>
      <c r="H100"/>
      <c r="I100"/>
      <c r="J100"/>
      <c r="K100"/>
      <c r="N100"/>
    </row>
    <row r="101" spans="1:31">
      <c r="A101" s="199">
        <v>37</v>
      </c>
      <c r="B101" s="852" t="s">
        <v>1660</v>
      </c>
      <c r="C101" s="180"/>
      <c r="D101" s="306" t="s">
        <v>2430</v>
      </c>
      <c r="E101" s="2628">
        <v>12656</v>
      </c>
      <c r="F101" s="1627">
        <v>12656</v>
      </c>
      <c r="G101" s="1635"/>
      <c r="H101"/>
      <c r="I101"/>
      <c r="J101"/>
      <c r="K101"/>
      <c r="N101"/>
    </row>
    <row r="102" spans="1:31">
      <c r="A102" s="199">
        <v>38</v>
      </c>
      <c r="B102" s="852" t="s">
        <v>1661</v>
      </c>
      <c r="C102" s="180"/>
      <c r="D102" s="306" t="s">
        <v>2430</v>
      </c>
      <c r="E102" s="2628">
        <v>0</v>
      </c>
      <c r="F102" s="1627">
        <v>0</v>
      </c>
      <c r="G102" s="1635"/>
      <c r="H102"/>
      <c r="I102"/>
      <c r="J102"/>
      <c r="K102"/>
      <c r="N102"/>
    </row>
    <row r="103" spans="1:31">
      <c r="A103" s="199">
        <v>39</v>
      </c>
      <c r="B103" s="852" t="s">
        <v>1662</v>
      </c>
      <c r="C103" s="180"/>
      <c r="D103" s="306" t="s">
        <v>2430</v>
      </c>
      <c r="E103" s="2628">
        <v>0</v>
      </c>
      <c r="F103" s="1627">
        <v>0</v>
      </c>
      <c r="G103" s="1635"/>
      <c r="H103"/>
      <c r="I103"/>
      <c r="J103"/>
      <c r="K103"/>
      <c r="N103"/>
    </row>
    <row r="104" spans="1:31">
      <c r="A104" s="199">
        <v>40</v>
      </c>
      <c r="B104" s="852" t="s">
        <v>770</v>
      </c>
      <c r="C104" s="180"/>
      <c r="D104" s="306" t="s">
        <v>2430</v>
      </c>
      <c r="E104" s="2628">
        <v>178109.82</v>
      </c>
      <c r="F104" s="1627">
        <v>328570.63284074003</v>
      </c>
      <c r="G104" s="1635"/>
      <c r="H104"/>
      <c r="I104"/>
      <c r="J104"/>
      <c r="K104"/>
      <c r="N104"/>
    </row>
    <row r="105" spans="1:31">
      <c r="A105" s="199">
        <v>41</v>
      </c>
      <c r="B105" s="852" t="s">
        <v>157</v>
      </c>
      <c r="C105" s="180"/>
      <c r="D105" s="1720" t="s">
        <v>2430</v>
      </c>
      <c r="E105" s="2628">
        <v>1941957.84</v>
      </c>
      <c r="F105" s="1627">
        <v>1354036.3995877807</v>
      </c>
      <c r="G105" s="1719"/>
      <c r="H105"/>
      <c r="I105"/>
      <c r="J105"/>
      <c r="K105"/>
      <c r="N105"/>
    </row>
    <row r="106" spans="1:31">
      <c r="A106" s="199">
        <v>42</v>
      </c>
      <c r="B106" s="852" t="s">
        <v>158</v>
      </c>
      <c r="C106" s="180"/>
      <c r="D106" s="306" t="s">
        <v>2430</v>
      </c>
      <c r="E106" s="2626"/>
      <c r="F106" s="875"/>
      <c r="G106" s="1635"/>
      <c r="H106"/>
      <c r="I106"/>
      <c r="J106"/>
      <c r="K106"/>
      <c r="N106"/>
    </row>
    <row r="107" spans="1:31">
      <c r="A107" s="199">
        <v>43</v>
      </c>
      <c r="B107" s="852" t="s">
        <v>159</v>
      </c>
      <c r="C107" s="180"/>
      <c r="D107" s="306" t="s">
        <v>2430</v>
      </c>
      <c r="E107" s="2631">
        <f>SUM(E94:E106)</f>
        <v>24908879.75</v>
      </c>
      <c r="F107" s="2063">
        <f>SUM(F94:F106)</f>
        <v>20930623.230235592</v>
      </c>
      <c r="G107" s="1725"/>
      <c r="H107"/>
      <c r="I107"/>
      <c r="J107"/>
      <c r="K107"/>
      <c r="N107"/>
    </row>
    <row r="108" spans="1:31">
      <c r="A108" s="199">
        <v>44</v>
      </c>
      <c r="B108" s="378" t="s">
        <v>160</v>
      </c>
      <c r="C108" s="180"/>
      <c r="D108" s="306" t="s">
        <v>2430</v>
      </c>
      <c r="E108" s="2626"/>
      <c r="F108" s="875"/>
      <c r="G108" s="1635"/>
      <c r="H108"/>
      <c r="I108"/>
      <c r="J108"/>
      <c r="K108"/>
      <c r="N108"/>
    </row>
    <row r="109" spans="1:31">
      <c r="A109" s="199">
        <v>45</v>
      </c>
      <c r="B109" s="852" t="s">
        <v>161</v>
      </c>
      <c r="C109" s="180"/>
      <c r="D109" s="306" t="s">
        <v>2430</v>
      </c>
      <c r="E109" s="2628">
        <v>47000</v>
      </c>
      <c r="F109" s="1627">
        <v>0</v>
      </c>
      <c r="G109" s="1635"/>
      <c r="H109"/>
      <c r="I109"/>
      <c r="J109"/>
      <c r="K109"/>
      <c r="N109"/>
      <c r="U109" s="1633"/>
      <c r="V109" s="1633"/>
      <c r="W109" s="1633"/>
    </row>
    <row r="110" spans="1:31">
      <c r="A110" s="1967">
        <v>46</v>
      </c>
      <c r="B110" s="1888" t="s">
        <v>3549</v>
      </c>
      <c r="C110" s="1966"/>
      <c r="D110" s="1720" t="s">
        <v>2507</v>
      </c>
      <c r="E110" s="2628">
        <v>6127327.9699999988</v>
      </c>
      <c r="F110" s="1627">
        <v>-217078.23999999982</v>
      </c>
      <c r="H110"/>
      <c r="I110"/>
      <c r="J110"/>
      <c r="K110"/>
      <c r="N110"/>
      <c r="U110" s="1633"/>
      <c r="V110" s="1633"/>
      <c r="W110" s="1633"/>
      <c r="X110" s="1633"/>
      <c r="Y110" s="1633"/>
      <c r="Z110" s="1633"/>
      <c r="AA110" s="1633"/>
      <c r="AB110" s="1633"/>
      <c r="AC110" s="1633"/>
      <c r="AD110" s="1633"/>
      <c r="AE110" s="1633"/>
    </row>
    <row r="111" spans="1:31">
      <c r="A111" s="199">
        <v>47</v>
      </c>
      <c r="B111" s="852" t="s">
        <v>3550</v>
      </c>
      <c r="C111" s="180"/>
      <c r="D111" s="306" t="s">
        <v>1878</v>
      </c>
      <c r="E111" s="2628">
        <v>238822.15</v>
      </c>
      <c r="F111" s="1627">
        <v>223822.15</v>
      </c>
      <c r="G111" s="1635"/>
      <c r="H111"/>
      <c r="I111"/>
      <c r="J111"/>
      <c r="K111"/>
      <c r="N111"/>
    </row>
    <row r="112" spans="1:31">
      <c r="A112" s="199">
        <v>48</v>
      </c>
      <c r="B112" s="119" t="s">
        <v>3551</v>
      </c>
      <c r="C112" s="180"/>
      <c r="D112" s="306" t="s">
        <v>2430</v>
      </c>
      <c r="E112" s="2626"/>
      <c r="F112" s="874"/>
      <c r="G112" s="1635"/>
      <c r="H112"/>
      <c r="I112"/>
      <c r="J112"/>
      <c r="K112"/>
      <c r="N112"/>
    </row>
    <row r="113" spans="1:14" ht="14.25" customHeight="1">
      <c r="A113" s="199">
        <v>49</v>
      </c>
      <c r="B113" s="873" t="s">
        <v>2181</v>
      </c>
      <c r="C113" s="180"/>
      <c r="D113" s="306" t="s">
        <v>2430</v>
      </c>
      <c r="E113" s="2626"/>
      <c r="F113" s="874"/>
      <c r="H113"/>
      <c r="I113"/>
      <c r="J113"/>
      <c r="K113"/>
      <c r="N113"/>
    </row>
    <row r="114" spans="1:14">
      <c r="A114" s="1967">
        <v>50</v>
      </c>
      <c r="B114" s="1888" t="s">
        <v>738</v>
      </c>
      <c r="C114" s="1966"/>
      <c r="D114" s="1720" t="s">
        <v>1879</v>
      </c>
      <c r="E114" s="2628">
        <v>31797403.809999999</v>
      </c>
      <c r="F114" s="1627">
        <v>38685690.217735305</v>
      </c>
      <c r="H114"/>
      <c r="I114"/>
      <c r="J114"/>
      <c r="K114"/>
      <c r="N114"/>
    </row>
    <row r="115" spans="1:14">
      <c r="A115" s="1967">
        <v>51</v>
      </c>
      <c r="B115" s="1888" t="s">
        <v>739</v>
      </c>
      <c r="C115" s="1966"/>
      <c r="D115" s="1720" t="s">
        <v>2430</v>
      </c>
      <c r="E115" s="2628">
        <f>SUM(E109:E114)</f>
        <v>38210553.93</v>
      </c>
      <c r="F115" s="1627">
        <f>SUM(F109:F114)</f>
        <v>38692434.127735309</v>
      </c>
      <c r="G115" s="1719"/>
      <c r="H115"/>
      <c r="I115"/>
      <c r="J115"/>
      <c r="K115"/>
      <c r="N115"/>
    </row>
    <row r="116" spans="1:14">
      <c r="A116" s="191">
        <v>52</v>
      </c>
      <c r="B116" s="209" t="s">
        <v>1322</v>
      </c>
      <c r="C116" s="177"/>
      <c r="D116" s="307" t="s">
        <v>2430</v>
      </c>
      <c r="E116" s="2633"/>
      <c r="F116" s="315"/>
      <c r="G116" s="1635"/>
      <c r="H116"/>
      <c r="I116"/>
      <c r="J116"/>
      <c r="K116"/>
      <c r="N116"/>
    </row>
    <row r="117" spans="1:14" ht="16.5" thickBot="1">
      <c r="A117" s="210"/>
      <c r="B117" s="211" t="s">
        <v>1323</v>
      </c>
      <c r="C117" s="226"/>
      <c r="D117" s="316"/>
      <c r="E117" s="2634">
        <f>E77+E85+E92+E107+E115</f>
        <v>178600182.21000001</v>
      </c>
      <c r="F117" s="312">
        <f>F77+F85+F92+F107+F115</f>
        <v>195710958.51042467</v>
      </c>
      <c r="G117" s="1791"/>
      <c r="H117"/>
      <c r="I117"/>
      <c r="J117"/>
      <c r="K117"/>
      <c r="N117"/>
    </row>
    <row r="118" spans="1:14" ht="15.75">
      <c r="A118" s="195"/>
      <c r="B118" s="195"/>
      <c r="C118" s="177"/>
      <c r="D118" s="177"/>
      <c r="E118" s="2622"/>
      <c r="F118" s="195" t="s">
        <v>4066</v>
      </c>
      <c r="G118" s="261"/>
      <c r="H118"/>
      <c r="I118"/>
      <c r="J118"/>
      <c r="K118"/>
      <c r="N118"/>
    </row>
    <row r="119" spans="1:14" ht="15.75">
      <c r="A119" s="195"/>
      <c r="B119" s="195"/>
      <c r="C119" s="177"/>
      <c r="D119" s="177"/>
      <c r="E119" s="2622"/>
      <c r="F119" s="195"/>
      <c r="G119" s="261"/>
      <c r="H119"/>
      <c r="I119"/>
      <c r="J119"/>
      <c r="K119"/>
      <c r="N119"/>
    </row>
    <row r="120" spans="1:14" ht="15.75">
      <c r="A120" s="195"/>
      <c r="B120" s="195"/>
      <c r="C120" s="177"/>
      <c r="D120" s="177"/>
      <c r="E120" s="2622"/>
      <c r="F120" s="195"/>
      <c r="G120" s="261"/>
      <c r="H120"/>
      <c r="I120"/>
      <c r="J120"/>
      <c r="K120"/>
      <c r="N120"/>
    </row>
    <row r="121" spans="1:14">
      <c r="A121" s="177" t="s">
        <v>1324</v>
      </c>
      <c r="B121" s="131"/>
      <c r="C121" s="177"/>
      <c r="D121" s="177"/>
      <c r="E121" s="2622"/>
      <c r="F121" s="229"/>
      <c r="G121" s="1649"/>
      <c r="H121"/>
      <c r="I121"/>
      <c r="J121"/>
      <c r="K121"/>
      <c r="N121"/>
    </row>
    <row r="122" spans="1:14" ht="15.75" thickBot="1">
      <c r="A122" s="195"/>
      <c r="B122" s="195"/>
      <c r="C122" s="195"/>
      <c r="H122"/>
      <c r="I122"/>
      <c r="J122"/>
      <c r="K122"/>
      <c r="N122"/>
    </row>
    <row r="123" spans="1:14" ht="15.75" thickBot="1">
      <c r="A123" s="195"/>
      <c r="B123" s="195"/>
      <c r="C123" s="1944"/>
      <c r="D123" s="1945" t="s">
        <v>4333</v>
      </c>
      <c r="E123" s="2066">
        <f>+E117-E54</f>
        <v>-0.18000000715255737</v>
      </c>
      <c r="F123" s="2066">
        <f>+F117-F54</f>
        <v>-0.25000053644180298</v>
      </c>
      <c r="H123"/>
      <c r="I123"/>
      <c r="J123"/>
      <c r="K123"/>
      <c r="N123"/>
    </row>
    <row r="124" spans="1:14">
      <c r="A124" s="317"/>
      <c r="B124" s="195"/>
      <c r="C124" s="195"/>
      <c r="D124" s="195"/>
      <c r="E124" s="2630"/>
      <c r="F124" s="223"/>
      <c r="H124"/>
      <c r="I124"/>
      <c r="J124"/>
      <c r="K124"/>
      <c r="N124"/>
    </row>
    <row r="125" spans="1:14">
      <c r="A125" s="317"/>
      <c r="B125" s="195"/>
      <c r="C125" s="195"/>
      <c r="D125" s="195"/>
      <c r="E125" s="2630"/>
      <c r="F125" s="223"/>
      <c r="H125"/>
      <c r="I125"/>
      <c r="J125"/>
      <c r="K125"/>
      <c r="N125"/>
    </row>
    <row r="126" spans="1:14">
      <c r="A126" s="317"/>
      <c r="B126" s="195"/>
      <c r="C126" s="195"/>
      <c r="D126" s="195"/>
      <c r="E126" s="2630"/>
      <c r="F126" s="223"/>
      <c r="H126"/>
      <c r="I126"/>
      <c r="J126"/>
      <c r="K126"/>
      <c r="N126"/>
    </row>
    <row r="127" spans="1:14">
      <c r="A127" s="317"/>
      <c r="B127" s="195"/>
      <c r="C127" s="195"/>
      <c r="D127" s="195"/>
      <c r="E127" s="2630"/>
      <c r="F127" s="223"/>
      <c r="H127"/>
      <c r="I127"/>
      <c r="J127"/>
      <c r="K127"/>
      <c r="N127"/>
    </row>
    <row r="128" spans="1:14">
      <c r="A128" s="317"/>
      <c r="B128" s="195"/>
      <c r="C128" s="195"/>
      <c r="D128" s="195"/>
      <c r="E128" s="2630"/>
      <c r="F128" s="223"/>
      <c r="H128"/>
      <c r="I128"/>
      <c r="J128"/>
      <c r="K128"/>
      <c r="N128"/>
    </row>
    <row r="129" spans="1:14">
      <c r="A129" s="317"/>
      <c r="B129" s="195"/>
      <c r="C129" s="195"/>
      <c r="D129" s="195"/>
      <c r="E129" s="2630"/>
      <c r="F129" s="223"/>
      <c r="H129"/>
      <c r="I129"/>
      <c r="J129"/>
      <c r="K129"/>
      <c r="N129"/>
    </row>
    <row r="130" spans="1:14">
      <c r="A130" s="317"/>
      <c r="B130" s="195"/>
      <c r="C130" s="195"/>
      <c r="D130" s="195"/>
      <c r="E130" s="2630"/>
      <c r="F130" s="223"/>
    </row>
    <row r="131" spans="1:14">
      <c r="A131" s="317"/>
      <c r="B131" s="195"/>
      <c r="C131" s="195"/>
      <c r="D131" s="195"/>
      <c r="E131" s="2630"/>
      <c r="F131" s="223"/>
    </row>
    <row r="132" spans="1:14">
      <c r="A132" s="317"/>
      <c r="B132" s="195"/>
      <c r="C132" s="195"/>
      <c r="D132" s="195"/>
      <c r="E132" s="2630"/>
      <c r="F132" s="223"/>
    </row>
    <row r="133" spans="1:14">
      <c r="A133" s="317"/>
      <c r="B133" s="195"/>
      <c r="C133" s="195"/>
      <c r="D133" s="195"/>
      <c r="E133" s="2630"/>
      <c r="F133" s="223"/>
    </row>
    <row r="134" spans="1:14">
      <c r="A134" s="317"/>
      <c r="B134" s="195"/>
      <c r="C134" s="195"/>
      <c r="D134" s="195"/>
      <c r="E134" s="2630"/>
      <c r="F134" s="223"/>
    </row>
    <row r="135" spans="1:14">
      <c r="A135" s="317"/>
      <c r="B135" s="195"/>
      <c r="C135" s="195"/>
      <c r="D135" s="195"/>
      <c r="E135" s="2630"/>
      <c r="F135" s="195"/>
    </row>
    <row r="136" spans="1:14">
      <c r="A136" s="317"/>
      <c r="B136" s="195"/>
      <c r="C136" s="195"/>
      <c r="D136" s="195"/>
      <c r="E136" s="2630"/>
      <c r="F136" s="195"/>
    </row>
  </sheetData>
  <customSheetViews>
    <customSheetView guid="{1BA452AD-1A45-4D9C-9666-ADFFA6F2F567}" scale="85" colorId="22">
      <pane ySplit="7" topLeftCell="A74" activePane="bottomLeft" state="frozen"/>
      <selection pane="bottomLeft" activeCell="E9" sqref="E9"/>
      <rowBreaks count="1" manualBreakCount="1">
        <brk id="57" max="5" man="1"/>
      </rowBreaks>
      <pageMargins left="0.4" right="0.4" top="0.3" bottom="0.3" header="0" footer="0"/>
      <printOptions horizontalCentered="1" verticalCentered="1"/>
      <pageSetup scale="77" fitToWidth="2" fitToHeight="2" orientation="portrait" r:id="rId1"/>
      <headerFooter alignWithMargins="0"/>
    </customSheetView>
    <customSheetView guid="{EEF7ABD6-0F96-4791-B749-C06F707E7673}" colorId="22" showRuler="0">
      <pane ySplit="7" topLeftCell="A8" activePane="bottomLeft" state="frozen"/>
      <selection pane="bottomLeft" activeCell="F11" activeCellId="1" sqref="F13 F11"/>
      <rowBreaks count="1" manualBreakCount="1">
        <brk id="56" max="16383" man="1"/>
      </rowBreaks>
      <pageMargins left="0.4" right="0.4" top="0.3" bottom="0.3" header="0" footer="0"/>
      <printOptions horizontalCentered="1" verticalCentered="1"/>
      <pageSetup scale="75" fitToWidth="0" orientation="portrait" r:id="rId2"/>
      <headerFooter alignWithMargins="0"/>
    </customSheetView>
    <customSheetView guid="{A7D7DB3C-AFE6-468E-8C6B-9531F6711497}" scale="75" colorId="22" showRuler="0">
      <pane ySplit="7" topLeftCell="A92" activePane="bottomLeft" state="frozen"/>
      <selection pane="bottomLeft" activeCell="E98" sqref="E98"/>
      <rowBreaks count="1" manualBreakCount="1">
        <brk id="56" max="16383" man="1"/>
      </rowBreaks>
      <pageMargins left="0.4" right="0.4" top="0.3" bottom="0.3" header="0" footer="0"/>
      <printOptions horizontalCentered="1" verticalCentered="1"/>
      <pageSetup scale="75" fitToWidth="0" orientation="portrait" r:id="rId3"/>
      <headerFooter alignWithMargins="0"/>
    </customSheetView>
    <customSheetView guid="{4436FEB5-BFEC-4348-9286-CB706802873E}" scale="75" colorId="22" showRuler="0">
      <pane ySplit="7" topLeftCell="A92" activePane="bottomLeft" state="frozen"/>
      <selection pane="bottomLeft" activeCell="E98" sqref="E98"/>
      <rowBreaks count="1" manualBreakCount="1">
        <brk id="56" max="16383" man="1"/>
      </rowBreaks>
      <pageMargins left="0.4" right="0.4" top="0.3" bottom="0.3" header="0" footer="0"/>
      <printOptions horizontalCentered="1" verticalCentered="1"/>
      <pageSetup scale="75" fitToWidth="0" orientation="portrait" r:id="rId4"/>
      <headerFooter alignWithMargins="0"/>
    </customSheetView>
    <customSheetView guid="{044CF00C-469F-44B3-B2C4-9B4049CE70CB}" scale="75" colorId="22" showRuler="0" topLeftCell="A85">
      <selection activeCell="F110" sqref="F110"/>
      <rowBreaks count="1" manualBreakCount="1">
        <brk id="56" max="16383" man="1"/>
      </rowBreaks>
      <pageMargins left="0.4" right="0.4" top="0.3" bottom="0.3" header="0" footer="0"/>
      <printOptions horizontalCentered="1" verticalCentered="1"/>
      <pageSetup scale="75" fitToWidth="0" orientation="portrait" r:id="rId5"/>
      <headerFooter alignWithMargins="0"/>
    </customSheetView>
    <customSheetView guid="{4826FCC0-BDD6-4B2C-ACC6-ACE271DDF0E3}" scale="75" colorId="22" showRuler="0">
      <pane ySplit="7" topLeftCell="A11" activePane="bottomLeft" state="frozen"/>
      <selection pane="bottomLeft" activeCell="F32" sqref="F32"/>
      <rowBreaks count="1" manualBreakCount="1">
        <brk id="56" max="16383" man="1"/>
      </rowBreaks>
      <pageMargins left="0.4" right="0.4" top="0.3" bottom="0.3" header="0" footer="0"/>
      <printOptions horizontalCentered="1" verticalCentered="1"/>
      <pageSetup scale="75" fitToWidth="0" orientation="portrait" r:id="rId6"/>
      <headerFooter alignWithMargins="0"/>
    </customSheetView>
    <customSheetView guid="{EF376D10-23D6-4FE2-AB5B-4460D52CC93F}" colorId="22" showRuler="0" topLeftCell="B1">
      <pane ySplit="7" topLeftCell="A95" activePane="bottomLeft" state="frozen"/>
      <selection pane="bottomLeft" activeCell="H98" sqref="H98"/>
      <rowBreaks count="1" manualBreakCount="1">
        <brk id="56" max="16383" man="1"/>
      </rowBreaks>
      <pageMargins left="0.4" right="0.4" top="0.3" bottom="0.3" header="0" footer="0"/>
      <printOptions horizontalCentered="1" verticalCentered="1"/>
      <pageSetup scale="75" fitToWidth="0" orientation="portrait" r:id="rId7"/>
      <headerFooter alignWithMargins="0"/>
    </customSheetView>
    <customSheetView guid="{1C046605-15CE-44F1-BFCD-2CA8588E7ACF}" scale="60" colorId="22" showPageBreaks="1" printArea="1" view="pageBreakPreview" showRuler="0">
      <pane ySplit="7" topLeftCell="A46" activePane="bottomLeft" state="frozen"/>
      <selection pane="bottomLeft" activeCell="E62" sqref="E62"/>
      <rowBreaks count="1" manualBreakCount="1">
        <brk id="56" max="5" man="1"/>
      </rowBreaks>
      <pageMargins left="0.4" right="0.4" top="0.3" bottom="0.3" header="0" footer="0"/>
      <printOptions horizontalCentered="1" verticalCentered="1"/>
      <pageSetup scale="77" fitToWidth="2" fitToHeight="2" orientation="portrait" r:id="rId8"/>
      <headerFooter alignWithMargins="0"/>
    </customSheetView>
    <customSheetView guid="{3911D713-188C-46A1-A299-F21DD3B7A146}" scale="60" colorId="22" showPageBreaks="1" printArea="1" view="pageBreakPreview" showRuler="0">
      <pane ySplit="7" topLeftCell="A46" activePane="bottomLeft" state="frozen"/>
      <selection pane="bottomLeft" activeCell="E62" sqref="E62"/>
      <rowBreaks count="1" manualBreakCount="1">
        <brk id="56" max="5" man="1"/>
      </rowBreaks>
      <pageMargins left="0.4" right="0.4" top="0.3" bottom="0.3" header="0" footer="0"/>
      <printOptions horizontalCentered="1" verticalCentered="1"/>
      <pageSetup scale="77" fitToWidth="2" fitToHeight="2" orientation="portrait" r:id="rId9"/>
      <headerFooter alignWithMargins="0"/>
    </customSheetView>
    <customSheetView guid="{78BB1E60-60BE-4F56-9763-075185EFEFAB}" scale="85" colorId="22">
      <pane ySplit="7" topLeftCell="A89" activePane="bottomLeft" state="frozen"/>
      <selection pane="bottomLeft" activeCell="F110" sqref="F110"/>
      <rowBreaks count="1" manualBreakCount="1">
        <brk id="57" max="5" man="1"/>
      </rowBreaks>
      <pageMargins left="0.4" right="0.4" top="0.3" bottom="0.3" header="0" footer="0"/>
      <printOptions horizontalCentered="1" verticalCentered="1"/>
      <pageSetup scale="77" fitToWidth="2" fitToHeight="2" orientation="portrait" r:id="rId10"/>
      <headerFooter alignWithMargins="0"/>
    </customSheetView>
    <customSheetView guid="{9C30803E-1E2D-4850-B0A5-591CA6F246A1}" scale="85" colorId="22">
      <pane ySplit="7" topLeftCell="A83" activePane="bottomLeft" state="frozen"/>
      <selection pane="bottomLeft" activeCell="H114" sqref="H114"/>
      <rowBreaks count="1" manualBreakCount="1">
        <brk id="57" max="5" man="1"/>
      </rowBreaks>
      <pageMargins left="0.4" right="0.4" top="0.3" bottom="0.3" header="0" footer="0"/>
      <printOptions horizontalCentered="1" verticalCentered="1"/>
      <pageSetup scale="77" fitToWidth="2" fitToHeight="2" orientation="portrait" r:id="rId11"/>
      <headerFooter alignWithMargins="0"/>
    </customSheetView>
    <customSheetView guid="{3B1006FF-A2CA-49E7-9B25-DAC8815279AF}" scale="85" colorId="22">
      <pane ySplit="7" topLeftCell="A86" activePane="bottomLeft" state="frozen"/>
      <selection pane="bottomLeft" activeCell="F99" sqref="F99"/>
      <rowBreaks count="1" manualBreakCount="1">
        <brk id="57" max="5" man="1"/>
      </rowBreaks>
      <pageMargins left="0.4" right="0.4" top="0.3" bottom="0.3" header="0" footer="0"/>
      <printOptions horizontalCentered="1" verticalCentered="1"/>
      <pageSetup scale="77" fitToWidth="2" fitToHeight="2" orientation="portrait" r:id="rId12"/>
      <headerFooter alignWithMargins="0"/>
    </customSheetView>
    <customSheetView guid="{FB1A60C8-E1F9-4DF0-8E0E-1C965F86027F}" scale="85" colorId="22">
      <pane ySplit="7" topLeftCell="A8" activePane="bottomLeft" state="frozen"/>
      <selection pane="bottomLeft" activeCell="F23" sqref="F23"/>
      <rowBreaks count="1" manualBreakCount="1">
        <brk id="57" max="5" man="1"/>
      </rowBreaks>
      <pageMargins left="0.4" right="0.4" top="0.3" bottom="0.3" header="0" footer="0"/>
      <printOptions horizontalCentered="1" verticalCentered="1"/>
      <pageSetup scale="77" fitToWidth="2" fitToHeight="2" orientation="portrait" r:id="rId13"/>
      <headerFooter alignWithMargins="0"/>
    </customSheetView>
    <customSheetView guid="{C5B6D812-CBE6-46AA-99F7-02494E9802B4}" scale="70" colorId="22">
      <pane ySplit="7" topLeftCell="A32" activePane="bottomLeft" state="frozen"/>
      <selection pane="bottomLeft" activeCell="E51" sqref="E51"/>
      <rowBreaks count="1" manualBreakCount="1">
        <brk id="57" max="5" man="1"/>
      </rowBreaks>
      <pageMargins left="0.4" right="0.4" top="0.3" bottom="0.3" header="0" footer="0"/>
      <printOptions horizontalCentered="1" verticalCentered="1"/>
      <pageSetup scale="77" fitToWidth="2" fitToHeight="2" orientation="portrait" r:id="rId14"/>
      <headerFooter alignWithMargins="0"/>
    </customSheetView>
  </customSheetViews>
  <phoneticPr fontId="0" type="noConversion"/>
  <printOptions horizontalCentered="1" verticalCentered="1"/>
  <pageMargins left="0.4" right="0.4" top="0.3" bottom="0.3" header="0" footer="0"/>
  <pageSetup scale="77" fitToWidth="2" fitToHeight="2" orientation="portrait" r:id="rId15"/>
  <headerFooter alignWithMargins="0"/>
  <rowBreaks count="1" manualBreakCount="1">
    <brk id="57" max="5" man="1"/>
  </rowBreaks>
  <customProperties>
    <customPr name="_pios_id" r:id="rId16"/>
  </customProperties>
  <legacyDrawing r:id="rId17"/>
</worksheet>
</file>

<file path=xl/worksheets/sheet15.xml><?xml version="1.0" encoding="utf-8"?>
<worksheet xmlns="http://schemas.openxmlformats.org/spreadsheetml/2006/main" xmlns:r="http://schemas.openxmlformats.org/officeDocument/2006/relationships">
  <sheetPr transitionEvaluation="1" codeName="Sheet15" enableFormatConditionsCalculation="0">
    <pageSetUpPr fitToPage="1"/>
  </sheetPr>
  <dimension ref="A1:U137"/>
  <sheetViews>
    <sheetView defaultGridColor="0" colorId="22" zoomScale="70" zoomScaleNormal="70" zoomScaleSheetLayoutView="85" workbookViewId="0"/>
  </sheetViews>
  <sheetFormatPr defaultColWidth="9.77734375" defaultRowHeight="15"/>
  <cols>
    <col min="1" max="1" width="4.77734375" customWidth="1"/>
    <col min="2" max="2" width="54.109375" customWidth="1"/>
    <col min="3" max="3" width="3.77734375" customWidth="1"/>
    <col min="4" max="5" width="2.77734375" customWidth="1"/>
    <col min="6" max="6" width="13.77734375" customWidth="1"/>
    <col min="7" max="7" width="13.88671875" customWidth="1"/>
    <col min="8" max="8" width="16.77734375" customWidth="1"/>
    <col min="9" max="9" width="1.33203125" customWidth="1"/>
    <col min="10" max="11" width="16.77734375" customWidth="1"/>
    <col min="12" max="12" width="18.77734375" customWidth="1"/>
    <col min="13" max="15" width="16.77734375" customWidth="1"/>
    <col min="16" max="16" width="4.77734375" customWidth="1"/>
    <col min="20" max="20" width="11.77734375" bestFit="1" customWidth="1"/>
  </cols>
  <sheetData>
    <row r="1" spans="1:21" ht="15.75" thickBot="1">
      <c r="A1" s="48" t="str">
        <f>'Data sheet'!$A$61</f>
        <v>Annual Report of New York American Water Company, Inc. (f/k/a Long Island Water Corp)                                    Year Ended  December 31, 2013</v>
      </c>
      <c r="I1" s="1718"/>
      <c r="J1" s="48" t="str">
        <f>'Data sheet'!$A$61</f>
        <v>Annual Report of New York American Water Company, Inc. (f/k/a Long Island Water Corp)                                    Year Ended  December 31, 2013</v>
      </c>
    </row>
    <row r="2" spans="1:21" ht="15.75" thickTop="1">
      <c r="A2" s="2742"/>
      <c r="B2" s="2743"/>
      <c r="C2" s="2743"/>
      <c r="D2" s="2743"/>
      <c r="E2" s="2743"/>
      <c r="F2" s="2743"/>
      <c r="G2" s="2743"/>
      <c r="H2" s="2744"/>
      <c r="I2" s="1786"/>
      <c r="J2" s="2736"/>
      <c r="K2" s="2771"/>
      <c r="L2" s="2737"/>
      <c r="M2" s="2737"/>
      <c r="N2" s="2737"/>
      <c r="O2" s="2737"/>
      <c r="P2" s="2739"/>
      <c r="Q2" s="11"/>
      <c r="R2" s="195"/>
      <c r="S2" s="195"/>
      <c r="T2" s="195"/>
      <c r="U2" s="195"/>
    </row>
    <row r="3" spans="1:21" ht="15.75">
      <c r="A3" s="3033" t="s">
        <v>1325</v>
      </c>
      <c r="B3" s="3034"/>
      <c r="C3" s="3034"/>
      <c r="D3" s="3034"/>
      <c r="E3" s="3034"/>
      <c r="F3" s="3034"/>
      <c r="G3" s="3034"/>
      <c r="H3" s="3035"/>
      <c r="I3" s="2850"/>
      <c r="J3" s="1092" t="s">
        <v>1503</v>
      </c>
      <c r="K3" s="1087"/>
      <c r="L3" s="1087"/>
      <c r="M3" s="1087"/>
      <c r="N3" s="1087"/>
      <c r="O3" s="1087"/>
      <c r="P3" s="1093"/>
      <c r="Q3" s="11"/>
      <c r="R3" s="313"/>
      <c r="S3" s="177"/>
      <c r="T3" s="177"/>
      <c r="U3" s="177"/>
    </row>
    <row r="4" spans="1:21">
      <c r="A4" s="2746"/>
      <c r="B4" s="318"/>
      <c r="C4" s="193"/>
      <c r="D4" s="193"/>
      <c r="E4" s="193"/>
      <c r="F4" s="193"/>
      <c r="G4" s="141"/>
      <c r="H4" s="2747"/>
      <c r="I4" s="2729"/>
      <c r="J4" s="1094"/>
      <c r="K4" s="293"/>
      <c r="L4" s="193"/>
      <c r="M4" s="293"/>
      <c r="N4" s="141"/>
      <c r="O4" s="293"/>
      <c r="P4" s="2772"/>
      <c r="Q4" s="11"/>
      <c r="R4" s="195"/>
      <c r="S4" s="319"/>
      <c r="T4" s="195"/>
      <c r="U4" s="195"/>
    </row>
    <row r="5" spans="1:21">
      <c r="A5" s="2748"/>
      <c r="B5" s="2741" t="s">
        <v>1504</v>
      </c>
      <c r="C5" s="1087"/>
      <c r="D5" s="2741" t="s">
        <v>2504</v>
      </c>
      <c r="E5" s="1087"/>
      <c r="F5" s="1084"/>
      <c r="G5" s="1087"/>
      <c r="H5" s="2745"/>
      <c r="I5" s="2728"/>
      <c r="J5" s="2773" t="s">
        <v>1236</v>
      </c>
      <c r="K5" s="1087"/>
      <c r="L5" s="1087"/>
      <c r="M5" s="2044" t="s">
        <v>1237</v>
      </c>
      <c r="N5" s="1087"/>
      <c r="O5" s="1087"/>
      <c r="P5" s="1109"/>
    </row>
    <row r="6" spans="1:21">
      <c r="A6" s="2748"/>
      <c r="B6" s="2741" t="s">
        <v>1888</v>
      </c>
      <c r="C6" s="1087"/>
      <c r="D6" s="2741" t="s">
        <v>1461</v>
      </c>
      <c r="E6" s="1087"/>
      <c r="F6" s="1084"/>
      <c r="G6" s="1087"/>
      <c r="H6" s="2745"/>
      <c r="I6" s="2728"/>
      <c r="J6" s="2773" t="s">
        <v>2591</v>
      </c>
      <c r="K6" s="1087"/>
      <c r="L6" s="1087"/>
      <c r="M6" s="2044" t="s">
        <v>2053</v>
      </c>
      <c r="N6" s="1087"/>
      <c r="O6" s="1087"/>
      <c r="P6" s="1109"/>
    </row>
    <row r="7" spans="1:21">
      <c r="A7" s="2748"/>
      <c r="B7" s="2741" t="s">
        <v>269</v>
      </c>
      <c r="C7" s="1087"/>
      <c r="D7" s="2741" t="s">
        <v>3933</v>
      </c>
      <c r="E7" s="1087"/>
      <c r="F7" s="1084"/>
      <c r="G7" s="1087"/>
      <c r="H7" s="2745"/>
      <c r="I7" s="2728"/>
      <c r="J7" s="2773" t="s">
        <v>3934</v>
      </c>
      <c r="K7" s="1087"/>
      <c r="L7" s="1087"/>
      <c r="M7" s="2044" t="s">
        <v>3935</v>
      </c>
      <c r="N7" s="1087"/>
      <c r="O7" s="1087"/>
      <c r="P7" s="1109"/>
    </row>
    <row r="8" spans="1:21">
      <c r="A8" s="2748"/>
      <c r="B8" s="2741" t="s">
        <v>3936</v>
      </c>
      <c r="C8" s="1087"/>
      <c r="D8" s="2741" t="s">
        <v>3937</v>
      </c>
      <c r="E8" s="1087"/>
      <c r="F8" s="1084"/>
      <c r="G8" s="1087"/>
      <c r="H8" s="2745"/>
      <c r="I8" s="2728"/>
      <c r="J8" s="2773" t="s">
        <v>3938</v>
      </c>
      <c r="K8" s="1087"/>
      <c r="L8" s="1087"/>
      <c r="M8" s="2044" t="s">
        <v>1827</v>
      </c>
      <c r="N8" s="1087"/>
      <c r="O8" s="2774"/>
      <c r="P8" s="1109"/>
    </row>
    <row r="9" spans="1:21">
      <c r="A9" s="2748"/>
      <c r="B9" s="2741" t="s">
        <v>2034</v>
      </c>
      <c r="C9" s="1087"/>
      <c r="D9" s="2741" t="s">
        <v>2035</v>
      </c>
      <c r="E9" s="1087"/>
      <c r="F9" s="1084"/>
      <c r="G9" s="1087"/>
      <c r="H9" s="2745"/>
      <c r="I9" s="2728"/>
      <c r="J9" s="2773" t="s">
        <v>1942</v>
      </c>
      <c r="K9" s="1087"/>
      <c r="L9" s="1087"/>
      <c r="M9" s="2044" t="s">
        <v>1943</v>
      </c>
      <c r="N9" s="1087"/>
      <c r="O9" s="1087"/>
      <c r="P9" s="1109"/>
    </row>
    <row r="10" spans="1:21">
      <c r="A10" s="2748"/>
      <c r="B10" s="2741" t="s">
        <v>1944</v>
      </c>
      <c r="C10" s="1087"/>
      <c r="D10" s="2741" t="s">
        <v>1945</v>
      </c>
      <c r="E10" s="1087"/>
      <c r="F10" s="1084"/>
      <c r="G10" s="1087"/>
      <c r="H10" s="2745"/>
      <c r="I10" s="2728"/>
      <c r="J10" s="2773" t="s">
        <v>4114</v>
      </c>
      <c r="K10" s="1087"/>
      <c r="L10" s="1087"/>
      <c r="M10" s="2044"/>
      <c r="N10" s="1087"/>
      <c r="O10" s="1087"/>
      <c r="P10" s="1109"/>
    </row>
    <row r="11" spans="1:21">
      <c r="A11" s="2748"/>
      <c r="B11" s="2741" t="s">
        <v>4115</v>
      </c>
      <c r="C11" s="1087"/>
      <c r="D11" s="2741" t="s">
        <v>1055</v>
      </c>
      <c r="E11" s="1087"/>
      <c r="F11" s="1084"/>
      <c r="G11" s="1954"/>
      <c r="H11" s="2749"/>
      <c r="I11" s="2730"/>
      <c r="J11" s="2773" t="s">
        <v>1239</v>
      </c>
      <c r="K11" s="1087"/>
      <c r="L11" s="1087"/>
      <c r="M11" s="2044"/>
      <c r="N11" s="1954"/>
      <c r="O11" s="1954"/>
      <c r="P11" s="1109"/>
    </row>
    <row r="12" spans="1:21">
      <c r="A12" s="2748"/>
      <c r="B12" s="2741" t="s">
        <v>1240</v>
      </c>
      <c r="C12" s="1087"/>
      <c r="D12" s="2741" t="s">
        <v>1413</v>
      </c>
      <c r="E12" s="1087"/>
      <c r="F12" s="1084"/>
      <c r="G12" s="1954"/>
      <c r="H12" s="2749"/>
      <c r="I12" s="2730"/>
      <c r="J12" s="2773" t="s">
        <v>3042</v>
      </c>
      <c r="K12" s="1085"/>
      <c r="L12" s="1087"/>
      <c r="M12" s="1087"/>
      <c r="N12" s="1954"/>
      <c r="O12" s="1954"/>
      <c r="P12" s="1109"/>
    </row>
    <row r="13" spans="1:21">
      <c r="A13" s="2748"/>
      <c r="B13" s="2741" t="s">
        <v>3334</v>
      </c>
      <c r="C13" s="1087"/>
      <c r="D13" s="2741" t="s">
        <v>3335</v>
      </c>
      <c r="E13" s="1087"/>
      <c r="F13" s="1084"/>
      <c r="G13" s="1954"/>
      <c r="H13" s="2749"/>
      <c r="I13" s="2730"/>
      <c r="J13" s="2773" t="s">
        <v>286</v>
      </c>
      <c r="K13" s="1085"/>
      <c r="L13" s="1087"/>
      <c r="M13" s="1087"/>
      <c r="N13" s="1954"/>
      <c r="O13" s="1954"/>
      <c r="P13" s="1109"/>
    </row>
    <row r="14" spans="1:21">
      <c r="A14" s="2748"/>
      <c r="B14" s="2741" t="s">
        <v>287</v>
      </c>
      <c r="C14" s="1087"/>
      <c r="D14" s="2741" t="s">
        <v>288</v>
      </c>
      <c r="E14" s="1087"/>
      <c r="F14" s="1084"/>
      <c r="G14" s="1954"/>
      <c r="H14" s="2749"/>
      <c r="I14" s="2730"/>
      <c r="J14" s="2773"/>
      <c r="K14" s="1087"/>
      <c r="L14" s="1087"/>
      <c r="M14" s="1087"/>
      <c r="N14" s="1954"/>
      <c r="O14" s="1954"/>
      <c r="P14" s="1109"/>
    </row>
    <row r="15" spans="1:21">
      <c r="A15" s="2748"/>
      <c r="B15" s="2741" t="s">
        <v>4373</v>
      </c>
      <c r="C15" s="1087"/>
      <c r="D15" s="2741" t="s">
        <v>881</v>
      </c>
      <c r="E15" s="1087"/>
      <c r="F15" s="1084"/>
      <c r="G15" s="1954"/>
      <c r="H15" s="2749"/>
      <c r="I15" s="2730"/>
      <c r="J15" s="2773"/>
      <c r="K15" s="1087"/>
      <c r="L15" s="1087"/>
      <c r="M15" s="1087"/>
      <c r="N15" s="1954"/>
      <c r="O15" s="1954"/>
      <c r="P15" s="1109"/>
    </row>
    <row r="16" spans="1:21">
      <c r="A16" s="2748"/>
      <c r="B16" s="2741" t="s">
        <v>4373</v>
      </c>
      <c r="C16" s="1087"/>
      <c r="D16" s="2741" t="s">
        <v>882</v>
      </c>
      <c r="E16" s="1087"/>
      <c r="F16" s="1084"/>
      <c r="G16" s="1087"/>
      <c r="H16" s="2745"/>
      <c r="I16" s="2728"/>
      <c r="J16" s="2773"/>
      <c r="K16" s="1087"/>
      <c r="L16" s="1087"/>
      <c r="M16" s="1087"/>
      <c r="N16" s="1087"/>
      <c r="O16" s="1087"/>
      <c r="P16" s="1109"/>
    </row>
    <row r="17" spans="1:17">
      <c r="A17" s="2746"/>
      <c r="B17" s="854"/>
      <c r="C17" s="180"/>
      <c r="D17" s="854"/>
      <c r="E17" s="180"/>
      <c r="F17" s="180"/>
      <c r="G17" s="180"/>
      <c r="H17" s="2750"/>
      <c r="I17" s="2728"/>
      <c r="J17" s="2775"/>
      <c r="K17" s="180"/>
      <c r="L17" s="180"/>
      <c r="M17" s="180"/>
      <c r="N17" s="180"/>
      <c r="O17" s="180"/>
      <c r="P17" s="1109"/>
      <c r="Q17" s="230"/>
    </row>
    <row r="18" spans="1:17">
      <c r="A18" s="2751"/>
      <c r="B18" s="1087"/>
      <c r="C18" s="1087"/>
      <c r="D18" s="1087"/>
      <c r="E18" s="1087"/>
      <c r="F18" s="307" t="s">
        <v>883</v>
      </c>
      <c r="G18" s="3038" t="s">
        <v>1135</v>
      </c>
      <c r="H18" s="3039"/>
      <c r="I18" s="2866"/>
      <c r="J18" s="2776" t="s">
        <v>1136</v>
      </c>
      <c r="K18" s="180"/>
      <c r="L18" s="297" t="s">
        <v>1137</v>
      </c>
      <c r="M18" s="180"/>
      <c r="N18" s="305" t="s">
        <v>1138</v>
      </c>
      <c r="O18" s="324"/>
      <c r="P18" s="2777"/>
    </row>
    <row r="19" spans="1:17">
      <c r="A19" s="2752" t="s">
        <v>1129</v>
      </c>
      <c r="B19" s="996" t="s">
        <v>1139</v>
      </c>
      <c r="C19" s="1087"/>
      <c r="D19" s="1087"/>
      <c r="E19" s="1087"/>
      <c r="F19" s="307" t="s">
        <v>1140</v>
      </c>
      <c r="G19" s="809" t="s">
        <v>1141</v>
      </c>
      <c r="H19" s="2753" t="s">
        <v>1338</v>
      </c>
      <c r="I19" s="1786"/>
      <c r="J19" s="2752" t="s">
        <v>1141</v>
      </c>
      <c r="K19" s="197" t="s">
        <v>1338</v>
      </c>
      <c r="L19" s="996" t="s">
        <v>1339</v>
      </c>
      <c r="M19" s="364" t="s">
        <v>1340</v>
      </c>
      <c r="N19" s="803" t="s">
        <v>1141</v>
      </c>
      <c r="O19" s="364" t="s">
        <v>1340</v>
      </c>
      <c r="P19" s="1097" t="s">
        <v>1129</v>
      </c>
    </row>
    <row r="20" spans="1:17">
      <c r="A20" s="2752" t="s">
        <v>3324</v>
      </c>
      <c r="B20" s="1087"/>
      <c r="C20" s="1087"/>
      <c r="D20" s="1087"/>
      <c r="E20" s="1087"/>
      <c r="F20" s="307" t="s">
        <v>3324</v>
      </c>
      <c r="G20" s="308"/>
      <c r="H20" s="2754"/>
      <c r="I20" s="1724"/>
      <c r="J20" s="1096"/>
      <c r="K20" s="197"/>
      <c r="L20" s="1087"/>
      <c r="M20" s="322"/>
      <c r="N20" s="308"/>
      <c r="O20" s="325"/>
      <c r="P20" s="1097" t="s">
        <v>3324</v>
      </c>
    </row>
    <row r="21" spans="1:17">
      <c r="A21" s="2755"/>
      <c r="B21" s="378" t="s">
        <v>4032</v>
      </c>
      <c r="C21" s="180"/>
      <c r="D21" s="180"/>
      <c r="E21" s="180"/>
      <c r="F21" s="306" t="s">
        <v>4033</v>
      </c>
      <c r="G21" s="810" t="s">
        <v>4034</v>
      </c>
      <c r="H21" s="2756" t="s">
        <v>4035</v>
      </c>
      <c r="I21" s="2731"/>
      <c r="J21" s="1099" t="s">
        <v>2277</v>
      </c>
      <c r="K21" s="812" t="s">
        <v>2278</v>
      </c>
      <c r="L21" s="812" t="s">
        <v>2279</v>
      </c>
      <c r="M21" s="812" t="s">
        <v>2280</v>
      </c>
      <c r="N21" s="810" t="s">
        <v>2281</v>
      </c>
      <c r="O21" s="813" t="s">
        <v>2282</v>
      </c>
      <c r="P21" s="2772"/>
    </row>
    <row r="22" spans="1:17">
      <c r="A22" s="2757">
        <v>1</v>
      </c>
      <c r="B22" s="180" t="s">
        <v>3076</v>
      </c>
      <c r="C22" s="180"/>
      <c r="D22" s="180"/>
      <c r="E22" s="180"/>
      <c r="F22" s="306" t="s">
        <v>2430</v>
      </c>
      <c r="G22" s="326"/>
      <c r="H22" s="2758"/>
      <c r="I22" s="1724"/>
      <c r="J22" s="2907"/>
      <c r="K22" s="2910"/>
      <c r="L22" s="327"/>
      <c r="M22" s="328"/>
      <c r="N22" s="326"/>
      <c r="O22" s="329"/>
      <c r="P22" s="2778">
        <v>1</v>
      </c>
    </row>
    <row r="23" spans="1:17">
      <c r="A23" s="2757">
        <v>2</v>
      </c>
      <c r="B23" s="852" t="s">
        <v>3077</v>
      </c>
      <c r="C23" s="180"/>
      <c r="D23" s="180"/>
      <c r="E23" s="180"/>
      <c r="F23" s="306" t="s">
        <v>1163</v>
      </c>
      <c r="G23" s="1723">
        <f>+J23+L23</f>
        <v>56884180.889999866</v>
      </c>
      <c r="H23" s="2759">
        <f>+K23+M23</f>
        <v>53442819.170000009</v>
      </c>
      <c r="I23" s="1724"/>
      <c r="J23" s="2780">
        <v>56884180.889999866</v>
      </c>
      <c r="K23" s="2068">
        <v>53442819.170000009</v>
      </c>
      <c r="L23" s="994"/>
      <c r="M23" s="314"/>
      <c r="N23" s="314"/>
      <c r="O23" s="299"/>
      <c r="P23" s="2778">
        <v>2</v>
      </c>
    </row>
    <row r="24" spans="1:17">
      <c r="A24" s="2757">
        <v>3</v>
      </c>
      <c r="B24" s="852" t="s">
        <v>3755</v>
      </c>
      <c r="C24" s="180"/>
      <c r="D24" s="180"/>
      <c r="E24" s="180"/>
      <c r="F24" s="306" t="s">
        <v>2430</v>
      </c>
      <c r="G24" s="326"/>
      <c r="H24" s="2758"/>
      <c r="I24" s="1724"/>
      <c r="J24" s="2907" t="s">
        <v>4373</v>
      </c>
      <c r="K24" s="2911" t="s">
        <v>4373</v>
      </c>
      <c r="L24" s="327"/>
      <c r="M24" s="328"/>
      <c r="N24" s="326"/>
      <c r="O24" s="329"/>
      <c r="P24" s="2778">
        <v>3</v>
      </c>
    </row>
    <row r="25" spans="1:17" ht="15.75">
      <c r="A25" s="2757">
        <v>4</v>
      </c>
      <c r="B25" s="852" t="s">
        <v>3078</v>
      </c>
      <c r="C25" s="180"/>
      <c r="D25" s="180"/>
      <c r="E25" s="180"/>
      <c r="F25" s="306" t="s">
        <v>652</v>
      </c>
      <c r="G25" s="1722">
        <f t="shared" ref="G25:H29" si="0">J25+L25+N25</f>
        <v>20804576.280000009</v>
      </c>
      <c r="H25" s="2759">
        <f t="shared" si="0"/>
        <v>21305451.579999998</v>
      </c>
      <c r="I25" s="1724"/>
      <c r="J25" s="2780">
        <v>20804576.280000009</v>
      </c>
      <c r="K25" s="1942">
        <v>21305451.579999998</v>
      </c>
      <c r="L25" s="995"/>
      <c r="M25" s="303"/>
      <c r="N25" s="303"/>
      <c r="O25" s="301"/>
      <c r="P25" s="2778">
        <v>4</v>
      </c>
      <c r="Q25" s="261"/>
    </row>
    <row r="26" spans="1:17">
      <c r="A26" s="2757">
        <v>5</v>
      </c>
      <c r="B26" s="852" t="s">
        <v>729</v>
      </c>
      <c r="C26" s="180"/>
      <c r="D26" s="180"/>
      <c r="E26" s="180"/>
      <c r="F26" s="306" t="s">
        <v>652</v>
      </c>
      <c r="G26" s="1722">
        <f t="shared" si="0"/>
        <v>2021310.0700000003</v>
      </c>
      <c r="H26" s="2759">
        <f t="shared" si="0"/>
        <v>2814980.0000000005</v>
      </c>
      <c r="I26" s="1724"/>
      <c r="J26" s="2780">
        <v>2021310.0700000003</v>
      </c>
      <c r="K26" s="1942">
        <v>2814980.0000000005</v>
      </c>
      <c r="L26" s="995"/>
      <c r="M26" s="303"/>
      <c r="N26" s="303"/>
      <c r="O26" s="301"/>
      <c r="P26" s="2778">
        <v>5</v>
      </c>
    </row>
    <row r="27" spans="1:17">
      <c r="A27" s="2757">
        <v>6</v>
      </c>
      <c r="B27" s="852" t="s">
        <v>730</v>
      </c>
      <c r="C27" s="180"/>
      <c r="D27" s="180"/>
      <c r="E27" s="180"/>
      <c r="F27" s="306" t="s">
        <v>4480</v>
      </c>
      <c r="G27" s="1722">
        <f t="shared" si="0"/>
        <v>4437755.74</v>
      </c>
      <c r="H27" s="2759">
        <f t="shared" si="0"/>
        <v>3965984.12</v>
      </c>
      <c r="I27" s="1724"/>
      <c r="J27" s="2780">
        <v>4437755.74</v>
      </c>
      <c r="K27" s="1942">
        <v>3965984.12</v>
      </c>
      <c r="L27" s="995"/>
      <c r="M27" s="303"/>
      <c r="N27" s="303"/>
      <c r="O27" s="301"/>
      <c r="P27" s="2778">
        <v>6</v>
      </c>
    </row>
    <row r="28" spans="1:17">
      <c r="A28" s="2757">
        <v>7</v>
      </c>
      <c r="B28" s="852" t="s">
        <v>731</v>
      </c>
      <c r="C28" s="180"/>
      <c r="D28" s="180"/>
      <c r="E28" s="180"/>
      <c r="F28" s="306" t="s">
        <v>4480</v>
      </c>
      <c r="G28" s="303">
        <f t="shared" si="0"/>
        <v>0</v>
      </c>
      <c r="H28" s="2760">
        <f t="shared" si="0"/>
        <v>0</v>
      </c>
      <c r="I28" s="1724"/>
      <c r="J28" s="2780">
        <v>0</v>
      </c>
      <c r="K28" s="1942">
        <v>0</v>
      </c>
      <c r="L28" s="331"/>
      <c r="M28" s="303"/>
      <c r="N28" s="303"/>
      <c r="O28" s="301"/>
      <c r="P28" s="2778">
        <v>7</v>
      </c>
    </row>
    <row r="29" spans="1:17">
      <c r="A29" s="2757">
        <v>8</v>
      </c>
      <c r="B29" s="852" t="s">
        <v>732</v>
      </c>
      <c r="C29" s="180"/>
      <c r="D29" s="180"/>
      <c r="E29" s="180"/>
      <c r="F29" s="306" t="s">
        <v>4480</v>
      </c>
      <c r="G29" s="303">
        <f t="shared" si="0"/>
        <v>18669.72</v>
      </c>
      <c r="H29" s="2760">
        <f t="shared" si="0"/>
        <v>15592.56</v>
      </c>
      <c r="I29" s="1724"/>
      <c r="J29" s="2780">
        <v>18669.72</v>
      </c>
      <c r="K29" s="1942">
        <v>15592.56</v>
      </c>
      <c r="L29" s="331"/>
      <c r="M29" s="303"/>
      <c r="N29" s="303"/>
      <c r="O29" s="301"/>
      <c r="P29" s="2778">
        <v>8</v>
      </c>
    </row>
    <row r="30" spans="1:17">
      <c r="A30" s="2752">
        <v>9</v>
      </c>
      <c r="B30" s="2044" t="s">
        <v>733</v>
      </c>
      <c r="C30" s="1087"/>
      <c r="D30" s="1087"/>
      <c r="E30" s="1087"/>
      <c r="F30" s="322"/>
      <c r="G30" s="308"/>
      <c r="H30" s="2754"/>
      <c r="I30" s="1724"/>
      <c r="J30" s="2909"/>
      <c r="K30" s="2912"/>
      <c r="L30" s="1954"/>
      <c r="M30" s="308"/>
      <c r="N30" s="308"/>
      <c r="O30" s="325"/>
      <c r="P30" s="1097">
        <v>9</v>
      </c>
    </row>
    <row r="31" spans="1:17">
      <c r="A31" s="2757"/>
      <c r="B31" s="852" t="s">
        <v>2019</v>
      </c>
      <c r="C31" s="180"/>
      <c r="D31" s="180"/>
      <c r="E31" s="180"/>
      <c r="F31" s="306" t="s">
        <v>2430</v>
      </c>
      <c r="G31" s="1722">
        <f t="shared" ref="G31:G43" si="1">J31+L31+N31</f>
        <v>0</v>
      </c>
      <c r="H31" s="2759">
        <f t="shared" ref="H31:H43" si="2">K31+M31+O31</f>
        <v>0</v>
      </c>
      <c r="I31" s="1724"/>
      <c r="J31" s="2908">
        <v>0</v>
      </c>
      <c r="K31" s="1942">
        <v>0</v>
      </c>
      <c r="L31" s="331"/>
      <c r="M31" s="303"/>
      <c r="N31" s="303"/>
      <c r="O31" s="301"/>
      <c r="P31" s="2778"/>
    </row>
    <row r="32" spans="1:17">
      <c r="A32" s="2757">
        <v>10</v>
      </c>
      <c r="B32" s="852" t="s">
        <v>1206</v>
      </c>
      <c r="C32" s="180"/>
      <c r="D32" s="180"/>
      <c r="E32" s="180"/>
      <c r="F32" s="306" t="s">
        <v>2430</v>
      </c>
      <c r="G32" s="303">
        <f t="shared" si="1"/>
        <v>0</v>
      </c>
      <c r="H32" s="2760">
        <f t="shared" si="2"/>
        <v>0</v>
      </c>
      <c r="I32" s="1724"/>
      <c r="J32" s="2908">
        <v>0</v>
      </c>
      <c r="K32" s="1942">
        <v>0</v>
      </c>
      <c r="L32" s="331"/>
      <c r="M32" s="303"/>
      <c r="N32" s="303"/>
      <c r="O32" s="301"/>
      <c r="P32" s="2778">
        <v>10</v>
      </c>
    </row>
    <row r="33" spans="1:21">
      <c r="A33" s="2757">
        <v>11</v>
      </c>
      <c r="B33" s="852" t="s">
        <v>1766</v>
      </c>
      <c r="C33" s="180"/>
      <c r="D33" s="180"/>
      <c r="E33" s="180"/>
      <c r="F33" s="306" t="s">
        <v>2430</v>
      </c>
      <c r="G33" s="333">
        <f t="shared" si="1"/>
        <v>0</v>
      </c>
      <c r="H33" s="2761">
        <f t="shared" si="2"/>
        <v>0</v>
      </c>
      <c r="I33" s="1724"/>
      <c r="J33" s="2780">
        <v>0</v>
      </c>
      <c r="K33" s="2068">
        <v>0</v>
      </c>
      <c r="L33" s="334"/>
      <c r="M33" s="335"/>
      <c r="N33" s="333"/>
      <c r="O33" s="336"/>
      <c r="P33" s="2778">
        <v>11</v>
      </c>
    </row>
    <row r="34" spans="1:21">
      <c r="A34" s="2757">
        <v>12</v>
      </c>
      <c r="B34" s="852" t="s">
        <v>79</v>
      </c>
      <c r="C34" s="180"/>
      <c r="D34" s="180"/>
      <c r="E34" s="180"/>
      <c r="F34" s="306" t="s">
        <v>2430</v>
      </c>
      <c r="G34" s="333">
        <f t="shared" si="1"/>
        <v>0</v>
      </c>
      <c r="H34" s="2761">
        <f t="shared" si="2"/>
        <v>0</v>
      </c>
      <c r="I34" s="1724"/>
      <c r="J34" s="2780">
        <v>0</v>
      </c>
      <c r="K34" s="2068">
        <v>0</v>
      </c>
      <c r="L34" s="334"/>
      <c r="M34" s="335"/>
      <c r="N34" s="333"/>
      <c r="O34" s="336"/>
      <c r="P34" s="2778">
        <v>12</v>
      </c>
    </row>
    <row r="35" spans="1:21">
      <c r="A35" s="2757">
        <v>13</v>
      </c>
      <c r="B35" s="852" t="s">
        <v>1224</v>
      </c>
      <c r="C35" s="180"/>
      <c r="D35" s="180"/>
      <c r="E35" s="180"/>
      <c r="F35" s="306" t="s">
        <v>1045</v>
      </c>
      <c r="G35" s="1722">
        <f>J35+L35+N35</f>
        <v>16041982.200000001</v>
      </c>
      <c r="H35" s="2759">
        <f t="shared" si="2"/>
        <v>13982865.9</v>
      </c>
      <c r="I35" s="1724"/>
      <c r="J35" s="2908">
        <v>16041982.200000001</v>
      </c>
      <c r="K35" s="1942">
        <v>13982865.9</v>
      </c>
      <c r="L35" s="995"/>
      <c r="M35" s="303"/>
      <c r="N35" s="303"/>
      <c r="O35" s="301"/>
      <c r="P35" s="2778">
        <v>13</v>
      </c>
    </row>
    <row r="36" spans="1:21" s="1633" customFormat="1" ht="15.75">
      <c r="A36" s="2762">
        <v>14</v>
      </c>
      <c r="B36" s="1888" t="s">
        <v>1225</v>
      </c>
      <c r="C36" s="1966"/>
      <c r="D36" s="1966"/>
      <c r="E36" s="1966"/>
      <c r="F36" s="1720" t="s">
        <v>1045</v>
      </c>
      <c r="G36" s="1722">
        <f>J36+L36+N36</f>
        <v>-1952052.1099999999</v>
      </c>
      <c r="H36" s="2759">
        <f>K36+M36+O36</f>
        <v>-5170771.6400000006</v>
      </c>
      <c r="I36" s="1724"/>
      <c r="J36" s="2908">
        <v>-1952052.1099999999</v>
      </c>
      <c r="K36" s="1942">
        <v>-5170771.6400000006</v>
      </c>
      <c r="L36" s="2067"/>
      <c r="M36" s="1722"/>
      <c r="N36" s="1722"/>
      <c r="O36" s="2068"/>
      <c r="P36" s="2779">
        <v>14</v>
      </c>
      <c r="Q36" s="1675"/>
      <c r="R36"/>
      <c r="S36"/>
      <c r="T36"/>
      <c r="U36"/>
    </row>
    <row r="37" spans="1:21">
      <c r="A37" s="2757">
        <v>15</v>
      </c>
      <c r="B37" s="852" t="s">
        <v>1226</v>
      </c>
      <c r="C37" s="180"/>
      <c r="D37" s="180"/>
      <c r="E37" s="180"/>
      <c r="F37" s="306" t="s">
        <v>1045</v>
      </c>
      <c r="G37" s="1722">
        <f t="shared" si="1"/>
        <v>9414.6199999999953</v>
      </c>
      <c r="H37" s="2759">
        <f t="shared" si="2"/>
        <v>-227028.55999999994</v>
      </c>
      <c r="I37" s="1724"/>
      <c r="J37" s="2908">
        <v>9414.6199999999953</v>
      </c>
      <c r="K37" s="1942">
        <v>-227028.55999999994</v>
      </c>
      <c r="L37" s="331"/>
      <c r="M37" s="303"/>
      <c r="N37" s="303"/>
      <c r="O37" s="301"/>
      <c r="P37" s="2778">
        <v>15</v>
      </c>
    </row>
    <row r="38" spans="1:21">
      <c r="A38" s="2757">
        <v>16</v>
      </c>
      <c r="B38" s="852" t="s">
        <v>1211</v>
      </c>
      <c r="C38" s="180"/>
      <c r="D38" s="180"/>
      <c r="E38" s="180"/>
      <c r="F38" s="306">
        <v>264</v>
      </c>
      <c r="G38" s="1722">
        <f>J38+L38+N38</f>
        <v>7199126.8499999996</v>
      </c>
      <c r="H38" s="2759">
        <f t="shared" si="2"/>
        <v>8816697.7200000007</v>
      </c>
      <c r="I38" s="1724"/>
      <c r="J38" s="2908">
        <v>7199126.8499999996</v>
      </c>
      <c r="K38" s="1942">
        <v>8816697.7200000007</v>
      </c>
      <c r="L38" s="995"/>
      <c r="M38" s="303"/>
      <c r="N38" s="303"/>
      <c r="O38" s="301"/>
      <c r="P38" s="2778">
        <v>16</v>
      </c>
    </row>
    <row r="39" spans="1:21">
      <c r="A39" s="2757">
        <v>17</v>
      </c>
      <c r="B39" s="852" t="s">
        <v>1089</v>
      </c>
      <c r="C39" s="180"/>
      <c r="D39" s="180"/>
      <c r="E39" s="180"/>
      <c r="F39" s="306" t="s">
        <v>2430</v>
      </c>
      <c r="G39" s="1722">
        <f t="shared" si="1"/>
        <v>0</v>
      </c>
      <c r="H39" s="2759">
        <f t="shared" si="2"/>
        <v>0</v>
      </c>
      <c r="I39" s="1724"/>
      <c r="J39" s="2908">
        <v>0</v>
      </c>
      <c r="K39" s="1942">
        <v>0</v>
      </c>
      <c r="L39" s="331"/>
      <c r="M39" s="303"/>
      <c r="N39" s="303"/>
      <c r="O39" s="301"/>
      <c r="P39" s="2778">
        <v>17</v>
      </c>
    </row>
    <row r="40" spans="1:21">
      <c r="A40" s="2757">
        <v>18</v>
      </c>
      <c r="B40" s="852" t="s">
        <v>1090</v>
      </c>
      <c r="C40" s="180"/>
      <c r="D40" s="180"/>
      <c r="E40" s="180"/>
      <c r="F40" s="306">
        <v>262</v>
      </c>
      <c r="G40" s="1722">
        <f t="shared" si="1"/>
        <v>-15000</v>
      </c>
      <c r="H40" s="2759">
        <f t="shared" si="2"/>
        <v>-15000</v>
      </c>
      <c r="I40" s="1724"/>
      <c r="J40" s="2908">
        <v>-15000</v>
      </c>
      <c r="K40" s="1942">
        <v>-15000</v>
      </c>
      <c r="L40" s="331"/>
      <c r="M40" s="303"/>
      <c r="N40" s="303"/>
      <c r="O40" s="301"/>
      <c r="P40" s="2778">
        <v>18</v>
      </c>
    </row>
    <row r="41" spans="1:21">
      <c r="A41" s="2757">
        <v>19</v>
      </c>
      <c r="B41" s="852" t="s">
        <v>1091</v>
      </c>
      <c r="C41" s="180"/>
      <c r="D41" s="180"/>
      <c r="E41" s="180"/>
      <c r="F41" s="306" t="s">
        <v>2430</v>
      </c>
      <c r="G41" s="303">
        <f t="shared" si="1"/>
        <v>0</v>
      </c>
      <c r="H41" s="2759">
        <f t="shared" si="2"/>
        <v>0</v>
      </c>
      <c r="I41" s="1724"/>
      <c r="J41" s="2908">
        <v>0</v>
      </c>
      <c r="K41" s="1942">
        <v>0</v>
      </c>
      <c r="L41" s="331"/>
      <c r="M41" s="303"/>
      <c r="N41" s="303"/>
      <c r="O41" s="301"/>
      <c r="P41" s="2778">
        <v>19</v>
      </c>
    </row>
    <row r="42" spans="1:21">
      <c r="A42" s="2757">
        <v>20</v>
      </c>
      <c r="B42" s="852" t="s">
        <v>2743</v>
      </c>
      <c r="C42" s="180"/>
      <c r="D42" s="180"/>
      <c r="E42" s="180"/>
      <c r="F42" s="306" t="s">
        <v>2430</v>
      </c>
      <c r="G42" s="326">
        <f t="shared" si="1"/>
        <v>0</v>
      </c>
      <c r="H42" s="2759">
        <f t="shared" si="2"/>
        <v>0</v>
      </c>
      <c r="I42" s="1724"/>
      <c r="J42" s="2908">
        <v>0</v>
      </c>
      <c r="K42" s="1942">
        <v>0</v>
      </c>
      <c r="L42" s="327"/>
      <c r="M42" s="328"/>
      <c r="N42" s="326"/>
      <c r="O42" s="329"/>
      <c r="P42" s="2778">
        <v>20</v>
      </c>
    </row>
    <row r="43" spans="1:21">
      <c r="A43" s="2757">
        <v>21</v>
      </c>
      <c r="B43" s="852" t="s">
        <v>2744</v>
      </c>
      <c r="C43" s="180"/>
      <c r="D43" s="180"/>
      <c r="E43" s="180"/>
      <c r="F43" s="306" t="s">
        <v>2430</v>
      </c>
      <c r="G43" s="326">
        <f t="shared" si="1"/>
        <v>0</v>
      </c>
      <c r="H43" s="2759">
        <f t="shared" si="2"/>
        <v>0</v>
      </c>
      <c r="I43" s="1724"/>
      <c r="J43" s="2908">
        <v>0</v>
      </c>
      <c r="K43" s="1942">
        <v>0</v>
      </c>
      <c r="L43" s="327"/>
      <c r="M43" s="328"/>
      <c r="N43" s="326"/>
      <c r="O43" s="329"/>
      <c r="P43" s="2778">
        <v>21</v>
      </c>
    </row>
    <row r="44" spans="1:21">
      <c r="A44" s="2757">
        <v>22</v>
      </c>
      <c r="B44" s="852" t="s">
        <v>4172</v>
      </c>
      <c r="C44" s="180"/>
      <c r="D44" s="180"/>
      <c r="E44" s="180"/>
      <c r="F44" s="306" t="s">
        <v>2430</v>
      </c>
      <c r="G44" s="303">
        <f>SUM(G25:G33)-G34+SUM(G35:G38)-G39+G40+G41-G42+G43</f>
        <v>48565783.370000012</v>
      </c>
      <c r="H44" s="2759">
        <f>SUM(H25:H33)-H34+SUM(H35:H38)-H39+H40+H41-H42+H43+1</f>
        <v>45488772.68</v>
      </c>
      <c r="I44" s="1724"/>
      <c r="J44" s="2780">
        <f t="shared" ref="J44:O44" si="3">SUM(J25:J33)-J34+SUM(J35:J38)-J39+J40+J41-J42+J43</f>
        <v>48565783.370000012</v>
      </c>
      <c r="K44" s="2068">
        <f t="shared" si="3"/>
        <v>45488771.68</v>
      </c>
      <c r="L44" s="1955">
        <f t="shared" si="3"/>
        <v>0</v>
      </c>
      <c r="M44" s="303">
        <f t="shared" si="3"/>
        <v>0</v>
      </c>
      <c r="N44" s="303">
        <f t="shared" si="3"/>
        <v>0</v>
      </c>
      <c r="O44" s="303">
        <f t="shared" si="3"/>
        <v>0</v>
      </c>
      <c r="P44" s="2778">
        <v>22</v>
      </c>
    </row>
    <row r="45" spans="1:21">
      <c r="A45" s="2752">
        <v>23</v>
      </c>
      <c r="B45" s="2044" t="s">
        <v>529</v>
      </c>
      <c r="C45" s="1087"/>
      <c r="D45" s="1087"/>
      <c r="E45" s="1087"/>
      <c r="F45" s="307"/>
      <c r="G45" s="308"/>
      <c r="H45" s="2763"/>
      <c r="I45" s="1724"/>
      <c r="J45" s="2909"/>
      <c r="K45" s="2913"/>
      <c r="L45" s="1087"/>
      <c r="M45" s="322"/>
      <c r="N45" s="308"/>
      <c r="O45" s="325"/>
      <c r="P45" s="1097">
        <v>23</v>
      </c>
    </row>
    <row r="46" spans="1:21">
      <c r="A46" s="2757"/>
      <c r="B46" s="852" t="s">
        <v>1996</v>
      </c>
      <c r="C46" s="180"/>
      <c r="D46" s="180"/>
      <c r="E46" s="180"/>
      <c r="F46" s="306" t="s">
        <v>2430</v>
      </c>
      <c r="G46" s="314">
        <f>G23-G44</f>
        <v>8318397.5199998543</v>
      </c>
      <c r="H46" s="2764">
        <f>H23-H44</f>
        <v>7954046.4900000095</v>
      </c>
      <c r="I46" s="2727"/>
      <c r="J46" s="2780">
        <f t="shared" ref="J46:O46" si="4">J23-J44</f>
        <v>8318397.5199998543</v>
      </c>
      <c r="K46" s="2915">
        <f>K23-K44-1</f>
        <v>7954046.4900000095</v>
      </c>
      <c r="L46" s="2914">
        <f t="shared" si="4"/>
        <v>0</v>
      </c>
      <c r="M46" s="314">
        <f t="shared" si="4"/>
        <v>0</v>
      </c>
      <c r="N46" s="314">
        <f t="shared" si="4"/>
        <v>0</v>
      </c>
      <c r="O46" s="314">
        <f t="shared" si="4"/>
        <v>0</v>
      </c>
      <c r="P46" s="2781"/>
    </row>
    <row r="47" spans="1:21">
      <c r="A47" s="2748"/>
      <c r="B47" s="1085"/>
      <c r="C47" s="1087"/>
      <c r="D47" s="1087"/>
      <c r="E47" s="1087"/>
      <c r="F47" s="1085"/>
      <c r="G47" s="1088"/>
      <c r="H47" s="2765"/>
      <c r="I47" s="1724"/>
      <c r="J47" s="1091"/>
      <c r="K47" s="1085"/>
      <c r="L47" s="1087"/>
      <c r="M47" s="1085"/>
      <c r="N47" s="1088"/>
      <c r="O47" s="1088"/>
      <c r="P47" s="1109"/>
    </row>
    <row r="48" spans="1:21">
      <c r="A48" s="2748"/>
      <c r="B48" s="1085"/>
      <c r="C48" s="1087"/>
      <c r="D48" s="1087"/>
      <c r="E48" s="1087"/>
      <c r="F48" s="1085"/>
      <c r="G48" s="1088"/>
      <c r="H48" s="2765"/>
      <c r="I48" s="1724"/>
      <c r="J48" s="1091"/>
      <c r="K48" s="1085"/>
      <c r="L48" s="1087"/>
      <c r="M48" s="1085"/>
      <c r="N48" s="1088"/>
      <c r="O48" s="1088"/>
      <c r="P48" s="1109"/>
    </row>
    <row r="49" spans="1:16">
      <c r="A49" s="2748"/>
      <c r="B49" s="1085"/>
      <c r="C49" s="1087"/>
      <c r="D49" s="1087"/>
      <c r="E49" s="1087"/>
      <c r="F49" s="1085"/>
      <c r="G49" s="1088"/>
      <c r="H49" s="2765"/>
      <c r="I49" s="1724"/>
      <c r="J49" s="1091"/>
      <c r="K49" s="1085"/>
      <c r="L49" s="1087"/>
      <c r="M49" s="1085"/>
      <c r="N49" s="1088"/>
      <c r="O49" s="1088"/>
      <c r="P49" s="1109"/>
    </row>
    <row r="50" spans="1:16">
      <c r="A50" s="2748"/>
      <c r="B50" s="1085"/>
      <c r="C50" s="1087"/>
      <c r="D50" s="1087"/>
      <c r="E50" s="1087"/>
      <c r="F50" s="1085"/>
      <c r="G50" s="1088"/>
      <c r="H50" s="2765"/>
      <c r="I50" s="1724"/>
      <c r="J50" s="1091"/>
      <c r="K50" s="1085"/>
      <c r="L50" s="1087"/>
      <c r="M50" s="1085"/>
      <c r="N50" s="1088"/>
      <c r="O50" s="1088"/>
      <c r="P50" s="1109"/>
    </row>
    <row r="51" spans="1:16">
      <c r="A51" s="2748"/>
      <c r="B51" s="1085"/>
      <c r="C51" s="1087"/>
      <c r="D51" s="1087"/>
      <c r="E51" s="1087"/>
      <c r="F51" s="1085"/>
      <c r="G51" s="1088"/>
      <c r="H51" s="2765"/>
      <c r="I51" s="1724"/>
      <c r="J51" s="1091"/>
      <c r="K51" s="1085"/>
      <c r="L51" s="1087"/>
      <c r="M51" s="1085"/>
      <c r="N51" s="1088"/>
      <c r="O51" s="1088"/>
      <c r="P51" s="1109"/>
    </row>
    <row r="52" spans="1:16">
      <c r="A52" s="2748"/>
      <c r="B52" s="1085"/>
      <c r="C52" s="1087"/>
      <c r="D52" s="1087"/>
      <c r="E52" s="1087"/>
      <c r="F52" s="1085"/>
      <c r="G52" s="1088"/>
      <c r="H52" s="2765"/>
      <c r="I52" s="1724"/>
      <c r="J52" s="1091"/>
      <c r="K52" s="1085"/>
      <c r="L52" s="1087"/>
      <c r="M52" s="1085"/>
      <c r="N52" s="1088"/>
      <c r="O52" s="1088"/>
      <c r="P52" s="1109"/>
    </row>
    <row r="53" spans="1:16">
      <c r="A53" s="2748"/>
      <c r="B53" s="1085"/>
      <c r="C53" s="1087"/>
      <c r="D53" s="1087"/>
      <c r="E53" s="1087"/>
      <c r="F53" s="1085"/>
      <c r="G53" s="1088"/>
      <c r="H53" s="2765"/>
      <c r="I53" s="1724"/>
      <c r="J53" s="1091"/>
      <c r="K53" s="1085"/>
      <c r="L53" s="1087"/>
      <c r="M53" s="1085"/>
      <c r="N53" s="1088"/>
      <c r="O53" s="1088"/>
      <c r="P53" s="1109"/>
    </row>
    <row r="54" spans="1:16">
      <c r="A54" s="2748"/>
      <c r="B54" s="1085"/>
      <c r="C54" s="1087"/>
      <c r="D54" s="1087"/>
      <c r="E54" s="1087"/>
      <c r="F54" s="1085"/>
      <c r="G54" s="1088"/>
      <c r="H54" s="2765"/>
      <c r="I54" s="1724"/>
      <c r="J54" s="1091"/>
      <c r="K54" s="1085"/>
      <c r="L54" s="1087"/>
      <c r="M54" s="1085"/>
      <c r="N54" s="1088"/>
      <c r="O54" s="1088"/>
      <c r="P54" s="1109"/>
    </row>
    <row r="55" spans="1:16">
      <c r="A55" s="2748"/>
      <c r="B55" s="1085"/>
      <c r="C55" s="1087"/>
      <c r="D55" s="1087"/>
      <c r="E55" s="1087"/>
      <c r="F55" s="1085"/>
      <c r="G55" s="1088"/>
      <c r="H55" s="2765"/>
      <c r="I55" s="1724"/>
      <c r="J55" s="1091"/>
      <c r="K55" s="1085"/>
      <c r="L55" s="1087"/>
      <c r="M55" s="1085"/>
      <c r="N55" s="1088"/>
      <c r="O55" s="1088"/>
      <c r="P55" s="1109"/>
    </row>
    <row r="56" spans="1:16" ht="15.75" thickBot="1">
      <c r="A56" s="2766"/>
      <c r="B56" s="2767"/>
      <c r="C56" s="2768"/>
      <c r="D56" s="2768"/>
      <c r="E56" s="2768"/>
      <c r="F56" s="2767"/>
      <c r="G56" s="2769"/>
      <c r="H56" s="2770"/>
      <c r="I56" s="1724"/>
      <c r="J56" s="1101"/>
      <c r="K56" s="1102"/>
      <c r="L56" s="1103"/>
      <c r="M56" s="1102"/>
      <c r="N56" s="1104"/>
      <c r="O56" s="1104"/>
      <c r="P56" s="2782"/>
    </row>
    <row r="57" spans="1:16" ht="15.75" thickTop="1">
      <c r="A57" s="195" t="s">
        <v>4066</v>
      </c>
      <c r="B57" s="195"/>
      <c r="C57" s="177"/>
      <c r="D57" s="177"/>
      <c r="E57" s="177"/>
      <c r="F57" s="195"/>
      <c r="G57" s="223"/>
      <c r="H57" s="223"/>
      <c r="I57" s="1724"/>
      <c r="J57" s="195"/>
      <c r="K57" s="195"/>
      <c r="L57" s="177"/>
      <c r="M57" s="195"/>
      <c r="N57" s="223"/>
      <c r="O57" s="195" t="s">
        <v>4066</v>
      </c>
      <c r="P57" s="195"/>
    </row>
    <row r="58" spans="1:16">
      <c r="A58" s="177" t="s">
        <v>1997</v>
      </c>
      <c r="B58" s="177"/>
      <c r="C58" s="131"/>
      <c r="D58" s="131"/>
      <c r="E58" s="177"/>
      <c r="F58" s="177"/>
      <c r="G58" s="229"/>
      <c r="H58" s="131"/>
      <c r="I58" s="2732"/>
      <c r="J58" s="229" t="s">
        <v>1998</v>
      </c>
      <c r="K58" s="177"/>
      <c r="L58" s="177"/>
      <c r="M58" s="177"/>
      <c r="N58" s="229"/>
      <c r="O58" s="229"/>
      <c r="P58" s="177"/>
    </row>
    <row r="59" spans="1:16" ht="15.75" thickBot="1">
      <c r="A59" s="177"/>
      <c r="B59" s="177"/>
      <c r="C59" s="131"/>
      <c r="D59" s="131"/>
      <c r="E59" s="177"/>
      <c r="F59" s="177"/>
      <c r="G59" s="229"/>
      <c r="H59" s="131"/>
      <c r="I59" s="2732"/>
      <c r="J59" s="229"/>
      <c r="K59" s="177"/>
      <c r="L59" s="177"/>
      <c r="M59" s="177"/>
      <c r="N59" s="229"/>
      <c r="O59" s="229"/>
      <c r="P59" s="177"/>
    </row>
    <row r="60" spans="1:16" ht="16.5" thickTop="1" thickBot="1">
      <c r="A60" s="1686" t="str">
        <f>'Data sheet'!$A$61</f>
        <v>Annual Report of New York American Water Company, Inc. (f/k/a Long Island Water Corp)                                    Year Ended  December 31, 2013</v>
      </c>
      <c r="B60" s="1687"/>
      <c r="C60" s="1688"/>
      <c r="D60" s="1688"/>
      <c r="E60" s="1687"/>
      <c r="F60" s="1687"/>
      <c r="G60" s="1689"/>
      <c r="H60" s="1690"/>
      <c r="I60" s="2732"/>
      <c r="J60" s="2046" t="str">
        <f>'Data sheet'!$A$61</f>
        <v>Annual Report of New York American Water Company, Inc. (f/k/a Long Island Water Corp)                                    Year Ended  December 31, 2013</v>
      </c>
      <c r="K60" s="1089"/>
      <c r="L60" s="1089"/>
      <c r="M60" s="1089"/>
      <c r="N60" s="1106"/>
      <c r="O60" s="1090"/>
      <c r="P60" s="1107"/>
    </row>
    <row r="61" spans="1:16" ht="15.75" thickTop="1">
      <c r="A61" s="1091"/>
      <c r="B61" s="1085"/>
      <c r="C61" s="1085"/>
      <c r="D61" s="1085"/>
      <c r="E61" s="1085"/>
      <c r="F61" s="1085"/>
      <c r="G61" s="1085"/>
      <c r="H61" s="1109"/>
      <c r="I61" s="1786"/>
      <c r="J61" s="2736"/>
      <c r="K61" s="2737"/>
      <c r="L61" s="1089"/>
      <c r="M61" s="2737"/>
      <c r="N61" s="2738"/>
      <c r="O61" s="2738"/>
      <c r="P61" s="2739"/>
    </row>
    <row r="62" spans="1:16" ht="15.75">
      <c r="A62" s="3033" t="s">
        <v>1325</v>
      </c>
      <c r="B62" s="3034"/>
      <c r="C62" s="3034"/>
      <c r="D62" s="3034"/>
      <c r="E62" s="3034"/>
      <c r="F62" s="3034"/>
      <c r="G62" s="3034"/>
      <c r="H62" s="3035"/>
      <c r="I62" s="2850"/>
      <c r="J62" s="1108"/>
      <c r="K62" s="1084"/>
      <c r="L62" s="1085"/>
      <c r="M62" s="1085"/>
      <c r="N62" s="1088"/>
      <c r="O62" s="1088"/>
      <c r="P62" s="1109"/>
    </row>
    <row r="63" spans="1:16">
      <c r="A63" s="1094"/>
      <c r="B63" s="318"/>
      <c r="C63" s="193"/>
      <c r="D63" s="193"/>
      <c r="E63" s="193"/>
      <c r="F63" s="193"/>
      <c r="G63" s="141"/>
      <c r="H63" s="1095"/>
      <c r="I63" s="2729"/>
      <c r="J63" s="1091"/>
      <c r="K63" s="1085"/>
      <c r="L63" s="1085"/>
      <c r="M63" s="1085"/>
      <c r="N63" s="1088"/>
      <c r="O63" s="1088"/>
      <c r="P63" s="1109"/>
    </row>
    <row r="64" spans="1:16">
      <c r="A64" s="1096"/>
      <c r="B64" s="1085"/>
      <c r="C64" s="1085"/>
      <c r="D64" s="1085"/>
      <c r="E64" s="1085"/>
      <c r="F64" s="307" t="s">
        <v>1999</v>
      </c>
      <c r="G64" s="3036" t="s">
        <v>1135</v>
      </c>
      <c r="H64" s="3037"/>
      <c r="I64" s="2865"/>
      <c r="J64" s="1108"/>
      <c r="K64" s="1084"/>
      <c r="L64" s="1084"/>
      <c r="M64" s="1084"/>
      <c r="N64" s="1084"/>
      <c r="O64" s="1084"/>
      <c r="P64" s="1110"/>
    </row>
    <row r="65" spans="1:16">
      <c r="A65" s="1096" t="s">
        <v>1129</v>
      </c>
      <c r="B65" s="996" t="s">
        <v>2663</v>
      </c>
      <c r="C65" s="1085"/>
      <c r="D65" s="1085"/>
      <c r="E65" s="1085"/>
      <c r="F65" s="307" t="s">
        <v>4029</v>
      </c>
      <c r="G65" s="307" t="s">
        <v>1141</v>
      </c>
      <c r="H65" s="1097" t="s">
        <v>1340</v>
      </c>
      <c r="I65" s="2733"/>
      <c r="J65" s="1108"/>
      <c r="K65" s="1084"/>
      <c r="L65" s="1084"/>
      <c r="M65" s="1084"/>
      <c r="N65" s="1084"/>
      <c r="O65" s="1084"/>
      <c r="P65" s="1110"/>
    </row>
    <row r="66" spans="1:16">
      <c r="A66" s="1098" t="s">
        <v>3324</v>
      </c>
      <c r="B66" s="180" t="s">
        <v>2424</v>
      </c>
      <c r="C66" s="180"/>
      <c r="D66" s="180"/>
      <c r="E66" s="180"/>
      <c r="F66" s="297" t="s">
        <v>4033</v>
      </c>
      <c r="G66" s="297" t="s">
        <v>4034</v>
      </c>
      <c r="H66" s="2778" t="s">
        <v>4035</v>
      </c>
      <c r="I66" s="2728"/>
      <c r="J66" s="1108"/>
      <c r="K66" s="1084"/>
      <c r="L66" s="1084"/>
      <c r="M66" s="1084"/>
      <c r="N66" s="1084"/>
      <c r="O66" s="1084"/>
      <c r="P66" s="1110"/>
    </row>
    <row r="67" spans="1:16">
      <c r="A67" s="1099">
        <v>24</v>
      </c>
      <c r="B67" s="852" t="s">
        <v>1571</v>
      </c>
      <c r="C67" s="180"/>
      <c r="D67" s="180"/>
      <c r="E67" s="180"/>
      <c r="F67" s="297" t="s">
        <v>2430</v>
      </c>
      <c r="G67" s="2858">
        <f>G46</f>
        <v>8318397.5199998543</v>
      </c>
      <c r="H67" s="2851">
        <f>H46</f>
        <v>7954046.4900000095</v>
      </c>
      <c r="I67" s="2734"/>
      <c r="J67" s="1108"/>
      <c r="K67" s="1084"/>
      <c r="L67" s="1084"/>
      <c r="M67" s="1084"/>
      <c r="N67" s="1084"/>
      <c r="O67" s="1084"/>
      <c r="P67" s="1110"/>
    </row>
    <row r="68" spans="1:16">
      <c r="A68" s="1099">
        <v>25</v>
      </c>
      <c r="B68" s="852" t="s">
        <v>3756</v>
      </c>
      <c r="C68" s="193"/>
      <c r="D68" s="193"/>
      <c r="E68" s="193"/>
      <c r="F68" s="306" t="s">
        <v>2430</v>
      </c>
      <c r="G68" s="2859"/>
      <c r="H68" s="2905"/>
      <c r="I68" s="1786"/>
      <c r="J68" s="1108"/>
      <c r="K68" s="1084"/>
      <c r="L68" s="1084"/>
      <c r="M68" s="1084"/>
      <c r="N68" s="1084"/>
      <c r="O68" s="1084"/>
      <c r="P68" s="1110"/>
    </row>
    <row r="69" spans="1:16">
      <c r="A69" s="1099">
        <v>26</v>
      </c>
      <c r="B69" s="852" t="s">
        <v>1572</v>
      </c>
      <c r="C69" s="180"/>
      <c r="D69" s="180"/>
      <c r="E69" s="180"/>
      <c r="F69" s="306" t="s">
        <v>2430</v>
      </c>
      <c r="G69" s="2860"/>
      <c r="H69" s="2906"/>
      <c r="I69" s="1724"/>
      <c r="J69" s="1108"/>
      <c r="K69" s="1084"/>
      <c r="L69" s="1084"/>
      <c r="M69" s="1084"/>
      <c r="N69" s="1084"/>
      <c r="O69" s="1084"/>
      <c r="P69" s="1110"/>
    </row>
    <row r="70" spans="1:16">
      <c r="A70" s="1099">
        <v>27</v>
      </c>
      <c r="B70" s="852" t="s">
        <v>1817</v>
      </c>
      <c r="C70" s="180"/>
      <c r="D70" s="180"/>
      <c r="E70" s="180"/>
      <c r="F70" s="306" t="s">
        <v>2430</v>
      </c>
      <c r="G70" s="2859"/>
      <c r="H70" s="2852"/>
      <c r="I70" s="1786"/>
      <c r="J70" s="1108"/>
      <c r="K70" s="1084"/>
      <c r="L70" s="1084"/>
      <c r="M70" s="1084"/>
      <c r="N70" s="1084"/>
      <c r="O70" s="1084"/>
      <c r="P70" s="1110"/>
    </row>
    <row r="71" spans="1:16">
      <c r="A71" s="1099">
        <v>28</v>
      </c>
      <c r="B71" s="852" t="s">
        <v>3660</v>
      </c>
      <c r="C71" s="180"/>
      <c r="D71" s="180"/>
      <c r="E71" s="180"/>
      <c r="F71" s="306" t="s">
        <v>3066</v>
      </c>
      <c r="G71" s="2861">
        <v>1030.8499999999999</v>
      </c>
      <c r="H71" s="2853">
        <v>0</v>
      </c>
      <c r="I71" s="2043"/>
      <c r="J71" s="1108"/>
      <c r="K71" s="1084"/>
      <c r="L71" s="1084"/>
      <c r="M71" s="1084"/>
      <c r="N71" s="1084"/>
      <c r="O71" s="1084"/>
      <c r="P71" s="1110"/>
    </row>
    <row r="72" spans="1:16">
      <c r="A72" s="1099">
        <v>29</v>
      </c>
      <c r="B72" s="852" t="s">
        <v>3661</v>
      </c>
      <c r="C72" s="180"/>
      <c r="D72" s="180"/>
      <c r="E72" s="180"/>
      <c r="F72" s="306" t="s">
        <v>3066</v>
      </c>
      <c r="G72" s="2862">
        <v>0</v>
      </c>
      <c r="H72" s="2853">
        <v>187.5</v>
      </c>
      <c r="I72" s="2043"/>
      <c r="J72" s="1108"/>
      <c r="K72" s="1084"/>
      <c r="L72" s="1084"/>
      <c r="M72" s="1084"/>
      <c r="N72" s="1084"/>
      <c r="O72" s="1084"/>
      <c r="P72" s="1110"/>
    </row>
    <row r="73" spans="1:16" ht="15.75">
      <c r="A73" s="1099">
        <v>30</v>
      </c>
      <c r="B73" s="852" t="s">
        <v>3662</v>
      </c>
      <c r="C73" s="180"/>
      <c r="D73" s="180"/>
      <c r="E73" s="180"/>
      <c r="F73" s="306" t="s">
        <v>3069</v>
      </c>
      <c r="G73" s="2861">
        <v>0</v>
      </c>
      <c r="H73" s="2854">
        <v>0</v>
      </c>
      <c r="I73" s="2735"/>
      <c r="J73" s="2740"/>
      <c r="K73" s="1084"/>
      <c r="L73" s="1084"/>
      <c r="M73" s="1084"/>
      <c r="N73" s="1084"/>
      <c r="O73" s="1084"/>
      <c r="P73" s="1110"/>
    </row>
    <row r="74" spans="1:16">
      <c r="A74" s="1099">
        <v>31</v>
      </c>
      <c r="B74" s="852" t="s">
        <v>1410</v>
      </c>
      <c r="C74" s="180"/>
      <c r="D74" s="180"/>
      <c r="E74" s="180"/>
      <c r="F74" s="306" t="s">
        <v>3069</v>
      </c>
      <c r="G74" s="2861">
        <v>0</v>
      </c>
      <c r="H74" s="2854">
        <v>0</v>
      </c>
      <c r="I74" s="1724"/>
      <c r="J74" s="1108"/>
      <c r="K74" s="1084"/>
      <c r="L74" s="1084"/>
      <c r="M74" s="1084"/>
      <c r="N74" s="1084"/>
      <c r="O74" s="1084"/>
      <c r="P74" s="1110"/>
    </row>
    <row r="75" spans="1:16">
      <c r="A75" s="1099">
        <v>32</v>
      </c>
      <c r="B75" s="852" t="s">
        <v>137</v>
      </c>
      <c r="C75" s="180"/>
      <c r="D75" s="180"/>
      <c r="E75" s="180"/>
      <c r="F75" s="306" t="s">
        <v>2430</v>
      </c>
      <c r="G75" s="2862">
        <v>0</v>
      </c>
      <c r="H75" s="2853">
        <v>0</v>
      </c>
      <c r="I75" s="2043"/>
      <c r="J75" s="1108"/>
      <c r="K75" s="1084"/>
      <c r="L75" s="1084"/>
      <c r="M75" s="1084"/>
      <c r="N75" s="1084"/>
      <c r="O75" s="1084"/>
      <c r="P75" s="1110"/>
    </row>
    <row r="76" spans="1:16">
      <c r="A76" s="1099">
        <v>33</v>
      </c>
      <c r="B76" s="852" t="s">
        <v>1578</v>
      </c>
      <c r="C76" s="180"/>
      <c r="D76" s="180"/>
      <c r="E76" s="180"/>
      <c r="F76" s="306" t="s">
        <v>2430</v>
      </c>
      <c r="G76" s="2860"/>
      <c r="H76" s="2855"/>
      <c r="I76" s="1724"/>
      <c r="J76" s="1108"/>
      <c r="K76" s="1084"/>
      <c r="L76" s="1084"/>
      <c r="M76" s="1084"/>
      <c r="N76" s="1084"/>
      <c r="O76" s="1084"/>
      <c r="P76" s="1110"/>
    </row>
    <row r="77" spans="1:16">
      <c r="A77" s="1099">
        <v>34</v>
      </c>
      <c r="B77" s="852" t="s">
        <v>1579</v>
      </c>
      <c r="C77" s="180"/>
      <c r="D77" s="180"/>
      <c r="E77" s="180"/>
      <c r="F77" s="306" t="s">
        <v>2430</v>
      </c>
      <c r="G77" s="2862">
        <v>875.56</v>
      </c>
      <c r="H77" s="2853">
        <v>0</v>
      </c>
      <c r="I77" s="2043"/>
      <c r="J77" s="1108"/>
      <c r="K77" s="1084"/>
      <c r="L77" s="1084"/>
      <c r="M77" s="1084"/>
      <c r="N77" s="1084"/>
      <c r="O77" s="1084"/>
      <c r="P77" s="1110"/>
    </row>
    <row r="78" spans="1:16">
      <c r="A78" s="1099">
        <v>35</v>
      </c>
      <c r="B78" s="852" t="s">
        <v>613</v>
      </c>
      <c r="C78" s="180"/>
      <c r="D78" s="180"/>
      <c r="E78" s="180"/>
      <c r="F78" s="306" t="s">
        <v>2899</v>
      </c>
      <c r="G78" s="2862">
        <v>1314574.02</v>
      </c>
      <c r="H78" s="2853">
        <v>738381.45</v>
      </c>
      <c r="I78" s="2043"/>
      <c r="J78" s="1613"/>
      <c r="K78" s="1084"/>
      <c r="L78" s="1084"/>
      <c r="M78" s="1084"/>
      <c r="N78" s="1084"/>
      <c r="O78" s="1084"/>
      <c r="P78" s="1110"/>
    </row>
    <row r="79" spans="1:16">
      <c r="A79" s="1099">
        <v>36</v>
      </c>
      <c r="B79" s="852" t="s">
        <v>863</v>
      </c>
      <c r="C79" s="180"/>
      <c r="D79" s="180"/>
      <c r="E79" s="180"/>
      <c r="F79" s="306" t="s">
        <v>3069</v>
      </c>
      <c r="G79" s="2862">
        <v>0</v>
      </c>
      <c r="H79" s="2853">
        <v>0</v>
      </c>
      <c r="I79" s="2043"/>
      <c r="J79" s="1613"/>
      <c r="K79" s="1879"/>
      <c r="L79" s="1084"/>
      <c r="M79" s="1084"/>
      <c r="N79" s="1084"/>
      <c r="O79" s="1084"/>
      <c r="P79" s="1110"/>
    </row>
    <row r="80" spans="1:16">
      <c r="A80" s="1099">
        <v>37</v>
      </c>
      <c r="B80" s="852" t="s">
        <v>864</v>
      </c>
      <c r="C80" s="180"/>
      <c r="D80" s="180"/>
      <c r="E80" s="180"/>
      <c r="F80" s="306" t="s">
        <v>2860</v>
      </c>
      <c r="G80" s="2861"/>
      <c r="H80" s="2854"/>
      <c r="I80" s="1724"/>
      <c r="J80" s="1691"/>
      <c r="K80" s="1084"/>
      <c r="L80" s="1084"/>
      <c r="M80" s="1084"/>
      <c r="N80" s="1084"/>
      <c r="O80" s="1084"/>
      <c r="P80" s="1110"/>
    </row>
    <row r="81" spans="1:16">
      <c r="A81" s="1099">
        <v>38</v>
      </c>
      <c r="B81" s="852" t="s">
        <v>865</v>
      </c>
      <c r="C81" s="180"/>
      <c r="D81" s="180"/>
      <c r="E81" s="180"/>
      <c r="F81" s="306" t="s">
        <v>2430</v>
      </c>
      <c r="G81" s="2861">
        <f>G71-G72+G73-G74+SUM(G75:G80)</f>
        <v>1316480.4300000002</v>
      </c>
      <c r="H81" s="2856">
        <f>H71-H72+H73-H74+SUM(H75:H80)</f>
        <v>738193.95</v>
      </c>
      <c r="I81" s="1724"/>
      <c r="J81" s="1108"/>
      <c r="K81" s="1084"/>
      <c r="L81" s="1084"/>
      <c r="M81" s="1084"/>
      <c r="N81" s="1084"/>
      <c r="O81" s="1084"/>
      <c r="P81" s="1110"/>
    </row>
    <row r="82" spans="1:16">
      <c r="A82" s="1099">
        <v>39</v>
      </c>
      <c r="B82" s="852" t="s">
        <v>866</v>
      </c>
      <c r="C82" s="180"/>
      <c r="D82" s="180"/>
      <c r="E82" s="180"/>
      <c r="F82" s="306" t="s">
        <v>2430</v>
      </c>
      <c r="G82" s="2859"/>
      <c r="H82" s="2852"/>
      <c r="I82" s="1786"/>
      <c r="J82" s="1878"/>
      <c r="K82" s="1084"/>
      <c r="L82" s="1084"/>
      <c r="M82" s="1084"/>
      <c r="N82" s="1084"/>
      <c r="O82" s="1084"/>
      <c r="P82" s="1110"/>
    </row>
    <row r="83" spans="1:16">
      <c r="A83" s="1099">
        <v>40</v>
      </c>
      <c r="B83" s="852" t="s">
        <v>867</v>
      </c>
      <c r="C83" s="180"/>
      <c r="D83" s="180"/>
      <c r="E83" s="180"/>
      <c r="F83" s="306" t="s">
        <v>2860</v>
      </c>
      <c r="G83" s="2861">
        <v>0</v>
      </c>
      <c r="H83" s="2854">
        <v>0</v>
      </c>
      <c r="I83" s="1724"/>
      <c r="J83" s="1108"/>
      <c r="K83" s="1084"/>
      <c r="L83" s="1084"/>
      <c r="M83" s="1084"/>
      <c r="N83" s="1084"/>
      <c r="O83" s="1084"/>
      <c r="P83" s="1110"/>
    </row>
    <row r="84" spans="1:16">
      <c r="A84" s="1099">
        <v>41</v>
      </c>
      <c r="B84" s="852" t="s">
        <v>167</v>
      </c>
      <c r="C84" s="180"/>
      <c r="D84" s="180"/>
      <c r="E84" s="180"/>
      <c r="F84" s="306" t="s">
        <v>2864</v>
      </c>
      <c r="G84" s="2862">
        <v>0</v>
      </c>
      <c r="H84" s="2853">
        <v>0</v>
      </c>
      <c r="I84" s="2043"/>
      <c r="J84" s="1108"/>
      <c r="K84" s="1084"/>
      <c r="L84" s="1084"/>
      <c r="M84" s="1084"/>
      <c r="N84" s="1084"/>
      <c r="O84" s="1084"/>
      <c r="P84" s="1110"/>
    </row>
    <row r="85" spans="1:16">
      <c r="A85" s="1099">
        <v>42</v>
      </c>
      <c r="B85" s="852" t="s">
        <v>168</v>
      </c>
      <c r="C85" s="180"/>
      <c r="D85" s="180"/>
      <c r="E85" s="180"/>
      <c r="F85" s="306" t="s">
        <v>2864</v>
      </c>
      <c r="G85" s="2861">
        <v>1950.84</v>
      </c>
      <c r="H85" s="2854">
        <v>0</v>
      </c>
      <c r="I85" s="1724"/>
      <c r="J85" s="1108"/>
      <c r="K85" s="1084"/>
      <c r="L85" s="1084"/>
      <c r="M85" s="1084"/>
      <c r="N85" s="1084"/>
      <c r="O85" s="1084"/>
      <c r="P85" s="1110"/>
    </row>
    <row r="86" spans="1:16" ht="15.75">
      <c r="A86" s="1099">
        <v>43</v>
      </c>
      <c r="B86" s="852" t="s">
        <v>1342</v>
      </c>
      <c r="C86" s="180"/>
      <c r="D86" s="180"/>
      <c r="E86" s="180"/>
      <c r="F86" s="306" t="s">
        <v>2430</v>
      </c>
      <c r="G86" s="2863">
        <f>SUM(G83:G85)</f>
        <v>1950.84</v>
      </c>
      <c r="H86" s="2856">
        <f>SUM(H83:H85)</f>
        <v>0</v>
      </c>
      <c r="I86" s="1724"/>
      <c r="J86" s="1111" t="s">
        <v>1343</v>
      </c>
      <c r="K86" s="1086"/>
      <c r="L86" s="1086"/>
      <c r="M86" s="1086"/>
      <c r="N86" s="1086"/>
      <c r="O86" s="1086"/>
      <c r="P86" s="1112"/>
    </row>
    <row r="87" spans="1:16">
      <c r="A87" s="1099">
        <v>44</v>
      </c>
      <c r="B87" s="852" t="s">
        <v>1344</v>
      </c>
      <c r="C87" s="180"/>
      <c r="D87" s="180"/>
      <c r="E87" s="180"/>
      <c r="F87" s="306" t="s">
        <v>2430</v>
      </c>
      <c r="G87" s="2859"/>
      <c r="H87" s="2852"/>
      <c r="I87" s="1786"/>
      <c r="J87" s="1108"/>
      <c r="K87" s="1084"/>
      <c r="L87" s="1084"/>
      <c r="M87" s="1084"/>
      <c r="N87" s="1084"/>
      <c r="O87" s="1084"/>
      <c r="P87" s="1110"/>
    </row>
    <row r="88" spans="1:16">
      <c r="A88" s="1099">
        <v>45</v>
      </c>
      <c r="B88" s="852" t="s">
        <v>2000</v>
      </c>
      <c r="C88" s="180"/>
      <c r="D88" s="180"/>
      <c r="E88" s="180"/>
      <c r="F88" s="306" t="s">
        <v>1045</v>
      </c>
      <c r="G88" s="2861">
        <v>0</v>
      </c>
      <c r="H88" s="2854">
        <v>0</v>
      </c>
      <c r="I88" s="1724"/>
      <c r="J88" s="1108"/>
      <c r="K88" s="1084"/>
      <c r="L88" s="1084"/>
      <c r="M88" s="1084"/>
      <c r="N88" s="1084"/>
      <c r="O88" s="1084"/>
      <c r="P88" s="1110"/>
    </row>
    <row r="89" spans="1:16">
      <c r="A89" s="1099">
        <v>46</v>
      </c>
      <c r="B89" s="852" t="s">
        <v>2151</v>
      </c>
      <c r="C89" s="180"/>
      <c r="D89" s="180"/>
      <c r="E89" s="180"/>
      <c r="F89" s="306" t="s">
        <v>1045</v>
      </c>
      <c r="G89" s="2861">
        <v>239.30999999999997</v>
      </c>
      <c r="H89" s="2854">
        <v>-60.12</v>
      </c>
      <c r="I89" s="1724"/>
      <c r="J89" s="1108"/>
      <c r="K89" s="1084"/>
      <c r="L89" s="1084"/>
      <c r="M89" s="1084"/>
      <c r="N89" s="1084"/>
      <c r="O89" s="1084"/>
      <c r="P89" s="1110"/>
    </row>
    <row r="90" spans="1:16">
      <c r="A90" s="1099">
        <v>47</v>
      </c>
      <c r="B90" s="852" t="s">
        <v>2051</v>
      </c>
      <c r="C90" s="180"/>
      <c r="D90" s="180"/>
      <c r="E90" s="180"/>
      <c r="F90" s="306" t="s">
        <v>1045</v>
      </c>
      <c r="G90" s="2861">
        <v>64.580000000000013</v>
      </c>
      <c r="H90" s="2854">
        <v>-16.22</v>
      </c>
      <c r="I90" s="1724"/>
      <c r="J90" s="1108"/>
      <c r="K90" s="1084"/>
      <c r="L90" s="1084"/>
      <c r="M90" s="1084"/>
      <c r="N90" s="1084"/>
      <c r="O90" s="1084"/>
      <c r="P90" s="1110"/>
    </row>
    <row r="91" spans="1:16">
      <c r="A91" s="1099">
        <v>48</v>
      </c>
      <c r="B91" s="852" t="s">
        <v>1871</v>
      </c>
      <c r="C91" s="180"/>
      <c r="D91" s="180"/>
      <c r="E91" s="180"/>
      <c r="F91" s="306" t="s">
        <v>2430</v>
      </c>
      <c r="G91" s="2861"/>
      <c r="H91" s="2854"/>
      <c r="I91" s="1724"/>
      <c r="J91" s="1108"/>
      <c r="K91" s="1084"/>
      <c r="L91" s="1084"/>
      <c r="M91" s="1084"/>
      <c r="N91" s="1084"/>
      <c r="O91" s="1084"/>
      <c r="P91" s="1110"/>
    </row>
    <row r="92" spans="1:16">
      <c r="A92" s="1099">
        <v>49</v>
      </c>
      <c r="B92" s="852" t="s">
        <v>1309</v>
      </c>
      <c r="C92" s="180"/>
      <c r="D92" s="180"/>
      <c r="E92" s="180"/>
      <c r="F92" s="306" t="s">
        <v>2430</v>
      </c>
      <c r="G92" s="2861"/>
      <c r="H92" s="2854"/>
      <c r="I92" s="1724"/>
      <c r="J92" s="1108"/>
      <c r="K92" s="1084"/>
      <c r="L92" s="1084"/>
      <c r="M92" s="1084"/>
      <c r="N92" s="1084"/>
      <c r="O92" s="1084"/>
      <c r="P92" s="1110"/>
    </row>
    <row r="93" spans="1:16">
      <c r="A93" s="1099">
        <v>50</v>
      </c>
      <c r="B93" s="852" t="s">
        <v>289</v>
      </c>
      <c r="C93" s="180"/>
      <c r="D93" s="180"/>
      <c r="E93" s="180"/>
      <c r="F93" s="306" t="s">
        <v>2430</v>
      </c>
      <c r="G93" s="2861"/>
      <c r="H93" s="2854"/>
      <c r="I93" s="1724"/>
      <c r="J93" s="1108"/>
      <c r="K93" s="1084"/>
      <c r="L93" s="1084"/>
      <c r="M93" s="1084"/>
      <c r="N93" s="1084"/>
      <c r="O93" s="1084"/>
      <c r="P93" s="1110"/>
    </row>
    <row r="94" spans="1:16">
      <c r="A94" s="1099">
        <v>51</v>
      </c>
      <c r="B94" s="852" t="s">
        <v>290</v>
      </c>
      <c r="C94" s="180"/>
      <c r="D94" s="180"/>
      <c r="E94" s="180"/>
      <c r="F94" s="306" t="s">
        <v>2430</v>
      </c>
      <c r="G94" s="2861"/>
      <c r="H94" s="2854"/>
      <c r="I94" s="1724"/>
      <c r="J94" s="1108"/>
      <c r="K94" s="1084"/>
      <c r="L94" s="1084"/>
      <c r="M94" s="1084"/>
      <c r="N94" s="1084"/>
      <c r="O94" s="1084"/>
      <c r="P94" s="1110"/>
    </row>
    <row r="95" spans="1:16">
      <c r="A95" s="1099">
        <v>52</v>
      </c>
      <c r="B95" s="852" t="s">
        <v>2113</v>
      </c>
      <c r="C95" s="180"/>
      <c r="D95" s="180"/>
      <c r="E95" s="180"/>
      <c r="F95" s="306" t="s">
        <v>2430</v>
      </c>
      <c r="G95" s="2863">
        <v>303.89</v>
      </c>
      <c r="H95" s="2856">
        <v>-76.34</v>
      </c>
      <c r="I95" s="1724"/>
      <c r="J95" s="1108"/>
      <c r="K95" s="1084"/>
      <c r="L95" s="1084"/>
      <c r="M95" s="1084"/>
      <c r="N95" s="1084"/>
      <c r="O95" s="1084"/>
      <c r="P95" s="1110"/>
    </row>
    <row r="96" spans="1:16">
      <c r="A96" s="1099">
        <v>53</v>
      </c>
      <c r="B96" s="852" t="s">
        <v>2114</v>
      </c>
      <c r="C96" s="180"/>
      <c r="D96" s="180"/>
      <c r="E96" s="180"/>
      <c r="F96" s="306" t="s">
        <v>2430</v>
      </c>
      <c r="G96" s="2861">
        <f>G81-G86-G95</f>
        <v>1314225.7000000002</v>
      </c>
      <c r="H96" s="2856">
        <f>H81-H86-H95</f>
        <v>738270.28999999992</v>
      </c>
      <c r="I96" s="1724"/>
      <c r="J96" s="1108"/>
      <c r="K96" s="1084"/>
      <c r="L96" s="1084"/>
      <c r="M96" s="1084"/>
      <c r="N96" s="1084"/>
      <c r="O96" s="1084"/>
      <c r="P96" s="1110"/>
    </row>
    <row r="97" spans="1:16">
      <c r="A97" s="1099">
        <v>54</v>
      </c>
      <c r="B97" s="852" t="s">
        <v>3757</v>
      </c>
      <c r="C97" s="193"/>
      <c r="D97" s="193"/>
      <c r="E97" s="193"/>
      <c r="F97" s="306" t="s">
        <v>2430</v>
      </c>
      <c r="G97" s="2859"/>
      <c r="H97" s="2852"/>
      <c r="I97" s="1786"/>
      <c r="J97" s="1108"/>
      <c r="K97" s="1084"/>
      <c r="L97" s="1084"/>
      <c r="M97" s="1084"/>
      <c r="N97" s="1084"/>
      <c r="O97" s="1084"/>
      <c r="P97" s="1110"/>
    </row>
    <row r="98" spans="1:16" ht="15.75">
      <c r="A98" s="1099">
        <v>55</v>
      </c>
      <c r="B98" s="852" t="s">
        <v>2115</v>
      </c>
      <c r="C98" s="180"/>
      <c r="D98" s="180"/>
      <c r="E98" s="180"/>
      <c r="F98" s="306" t="s">
        <v>1043</v>
      </c>
      <c r="G98" s="2862">
        <v>3633414.38</v>
      </c>
      <c r="H98" s="2853">
        <v>3516302.21</v>
      </c>
      <c r="I98" s="2043"/>
      <c r="J98" s="1783"/>
      <c r="K98" s="1782"/>
      <c r="L98" s="1084"/>
      <c r="M98" s="1084"/>
      <c r="N98" s="1084"/>
      <c r="O98" s="1084"/>
      <c r="P98" s="1110"/>
    </row>
    <row r="99" spans="1:16">
      <c r="A99" s="1099">
        <v>56</v>
      </c>
      <c r="B99" s="852" t="s">
        <v>874</v>
      </c>
      <c r="C99" s="180"/>
      <c r="D99" s="180"/>
      <c r="E99" s="180"/>
      <c r="F99" s="306" t="s">
        <v>1043</v>
      </c>
      <c r="G99" s="2862">
        <v>105638.43</v>
      </c>
      <c r="H99" s="2853">
        <v>115134.20000000001</v>
      </c>
      <c r="I99" s="2043"/>
      <c r="J99" s="1108"/>
      <c r="K99" s="1084"/>
      <c r="L99" s="1084"/>
      <c r="M99" s="1084"/>
      <c r="N99" s="1084"/>
      <c r="O99" s="1084"/>
      <c r="P99" s="1110"/>
    </row>
    <row r="100" spans="1:16">
      <c r="A100" s="1099">
        <v>57</v>
      </c>
      <c r="B100" s="852" t="s">
        <v>4381</v>
      </c>
      <c r="C100" s="180"/>
      <c r="D100" s="180"/>
      <c r="E100" s="180"/>
      <c r="F100" s="306" t="s">
        <v>2430</v>
      </c>
      <c r="G100" s="2860"/>
      <c r="H100" s="2855"/>
      <c r="I100" s="1724"/>
      <c r="J100" s="1108"/>
      <c r="K100" s="1084"/>
      <c r="L100" s="1084"/>
      <c r="M100" s="1084"/>
      <c r="N100" s="1084"/>
      <c r="O100" s="1084"/>
      <c r="P100" s="1110"/>
    </row>
    <row r="101" spans="1:16">
      <c r="A101" s="1099">
        <v>58</v>
      </c>
      <c r="B101" s="852" t="s">
        <v>1484</v>
      </c>
      <c r="C101" s="180"/>
      <c r="D101" s="180"/>
      <c r="E101" s="180"/>
      <c r="F101" s="306" t="s">
        <v>1043</v>
      </c>
      <c r="G101" s="2862">
        <v>0</v>
      </c>
      <c r="H101" s="2853">
        <v>0</v>
      </c>
      <c r="I101" s="2043"/>
      <c r="J101" s="1108"/>
      <c r="K101" s="1084"/>
      <c r="L101" s="1084"/>
      <c r="M101" s="1084"/>
      <c r="N101" s="1084"/>
      <c r="O101" s="1084"/>
      <c r="P101" s="1110"/>
    </row>
    <row r="102" spans="1:16">
      <c r="A102" s="1099">
        <v>59</v>
      </c>
      <c r="B102" s="852" t="s">
        <v>1485</v>
      </c>
      <c r="C102" s="180"/>
      <c r="D102" s="180"/>
      <c r="E102" s="180"/>
      <c r="F102" s="306" t="s">
        <v>2430</v>
      </c>
      <c r="G102" s="2860"/>
      <c r="H102" s="2855"/>
      <c r="I102" s="1724"/>
      <c r="J102" s="1108"/>
      <c r="K102" s="1084"/>
      <c r="L102" s="1084"/>
      <c r="M102" s="1084"/>
      <c r="N102" s="1084"/>
      <c r="O102" s="1084"/>
      <c r="P102" s="1110"/>
    </row>
    <row r="103" spans="1:16">
      <c r="A103" s="1099">
        <v>60</v>
      </c>
      <c r="B103" s="852" t="s">
        <v>248</v>
      </c>
      <c r="C103" s="180"/>
      <c r="D103" s="180"/>
      <c r="E103" s="180"/>
      <c r="F103" s="306" t="s">
        <v>2864</v>
      </c>
      <c r="G103" s="2862">
        <v>0</v>
      </c>
      <c r="H103" s="2853">
        <v>0</v>
      </c>
      <c r="I103" s="2043"/>
      <c r="J103" s="1108"/>
      <c r="K103" s="1084"/>
      <c r="L103" s="1084"/>
      <c r="M103" s="1084"/>
      <c r="N103" s="1084"/>
      <c r="O103" s="1084"/>
      <c r="P103" s="1110"/>
    </row>
    <row r="104" spans="1:16" ht="15.75">
      <c r="A104" s="1099">
        <v>61</v>
      </c>
      <c r="B104" s="852" t="s">
        <v>249</v>
      </c>
      <c r="C104" s="180"/>
      <c r="D104" s="180"/>
      <c r="E104" s="180"/>
      <c r="F104" s="306" t="s">
        <v>2864</v>
      </c>
      <c r="G104" s="2862">
        <v>211687.81</v>
      </c>
      <c r="H104" s="2853">
        <v>264969.54000000004</v>
      </c>
      <c r="I104" s="2043"/>
      <c r="J104" s="1783"/>
      <c r="K104" s="1782"/>
      <c r="L104" s="1084"/>
      <c r="M104" s="1084"/>
      <c r="N104" s="1084"/>
      <c r="O104" s="1084"/>
      <c r="P104" s="1110"/>
    </row>
    <row r="105" spans="1:16">
      <c r="A105" s="1099">
        <v>62</v>
      </c>
      <c r="B105" s="852" t="s">
        <v>4038</v>
      </c>
      <c r="C105" s="180"/>
      <c r="D105" s="180"/>
      <c r="E105" s="180"/>
      <c r="F105" s="306" t="s">
        <v>2430</v>
      </c>
      <c r="G105" s="2860"/>
      <c r="H105" s="2855"/>
      <c r="I105" s="1724"/>
      <c r="J105" s="1108"/>
      <c r="K105" s="1084"/>
      <c r="L105" s="1084"/>
      <c r="M105" s="1084"/>
      <c r="N105" s="1084"/>
      <c r="O105" s="1084"/>
      <c r="P105" s="1110"/>
    </row>
    <row r="106" spans="1:16">
      <c r="A106" s="1099">
        <v>63</v>
      </c>
      <c r="B106" s="852" t="s">
        <v>2451</v>
      </c>
      <c r="C106" s="180"/>
      <c r="D106" s="180"/>
      <c r="E106" s="180"/>
      <c r="F106" s="306" t="s">
        <v>2430</v>
      </c>
      <c r="G106" s="2863">
        <f>SUM(G98:G100)-G101-G102+G103+G104-G105</f>
        <v>3950740.62</v>
      </c>
      <c r="H106" s="2856">
        <f>SUM(H98:H100)-H101-H102+H103+H104-H105</f>
        <v>3896405.95</v>
      </c>
      <c r="I106" s="1724"/>
      <c r="J106" s="1108"/>
      <c r="K106" s="1084"/>
      <c r="L106" s="1084"/>
      <c r="M106" s="1084"/>
      <c r="N106" s="1084"/>
      <c r="O106" s="1084"/>
      <c r="P106" s="1110"/>
    </row>
    <row r="107" spans="1:16">
      <c r="A107" s="1099">
        <v>64</v>
      </c>
      <c r="B107" s="852" t="s">
        <v>2452</v>
      </c>
      <c r="C107" s="180"/>
      <c r="D107" s="180"/>
      <c r="E107" s="180"/>
      <c r="F107" s="306" t="s">
        <v>2430</v>
      </c>
      <c r="G107" s="2863">
        <f>G67+G96-G106</f>
        <v>5681882.5999998534</v>
      </c>
      <c r="H107" s="2856">
        <f>H67+H96-H106-1</f>
        <v>4795909.8300000085</v>
      </c>
      <c r="I107" s="1724"/>
      <c r="J107" s="1108"/>
      <c r="K107" s="1084"/>
      <c r="L107" s="1084"/>
      <c r="M107" s="1084"/>
      <c r="N107" s="1084"/>
      <c r="O107" s="1084"/>
      <c r="P107" s="1110"/>
    </row>
    <row r="108" spans="1:16">
      <c r="A108" s="1099">
        <v>65</v>
      </c>
      <c r="B108" s="852" t="s">
        <v>3070</v>
      </c>
      <c r="C108" s="193"/>
      <c r="D108" s="193"/>
      <c r="E108" s="193"/>
      <c r="F108" s="306" t="s">
        <v>2430</v>
      </c>
      <c r="G108" s="2859"/>
      <c r="H108" s="2852"/>
      <c r="I108" s="1786"/>
      <c r="J108" s="1108"/>
      <c r="K108" s="1084"/>
      <c r="L108" s="1084"/>
      <c r="M108" s="1084"/>
      <c r="N108" s="1084"/>
      <c r="O108" s="1084"/>
      <c r="P108" s="1110"/>
    </row>
    <row r="109" spans="1:16">
      <c r="A109" s="1099">
        <v>66</v>
      </c>
      <c r="B109" s="852" t="s">
        <v>2453</v>
      </c>
      <c r="C109" s="180"/>
      <c r="D109" s="180"/>
      <c r="E109" s="180"/>
      <c r="F109" s="306" t="s">
        <v>3071</v>
      </c>
      <c r="G109" s="2862">
        <v>0</v>
      </c>
      <c r="H109" s="2853">
        <v>0</v>
      </c>
      <c r="I109" s="2043"/>
      <c r="J109" s="1108"/>
      <c r="K109" s="1084"/>
      <c r="L109" s="1084"/>
      <c r="M109" s="1084"/>
      <c r="N109" s="1084"/>
      <c r="O109" s="1084"/>
      <c r="P109" s="1110"/>
    </row>
    <row r="110" spans="1:16">
      <c r="A110" s="1099">
        <v>67</v>
      </c>
      <c r="B110" s="852" t="s">
        <v>1271</v>
      </c>
      <c r="C110" s="180"/>
      <c r="D110" s="180"/>
      <c r="E110" s="180"/>
      <c r="F110" s="306" t="s">
        <v>3071</v>
      </c>
      <c r="G110" s="2862">
        <v>0</v>
      </c>
      <c r="H110" s="2853">
        <v>0</v>
      </c>
      <c r="I110" s="2043"/>
      <c r="J110" s="1108"/>
      <c r="K110" s="1084"/>
      <c r="L110" s="1084"/>
      <c r="M110" s="1084"/>
      <c r="N110" s="1084"/>
      <c r="O110" s="1084"/>
      <c r="P110" s="1110"/>
    </row>
    <row r="111" spans="1:16">
      <c r="A111" s="1099">
        <v>68</v>
      </c>
      <c r="B111" s="852" t="s">
        <v>1272</v>
      </c>
      <c r="C111" s="180"/>
      <c r="D111" s="180"/>
      <c r="E111" s="180"/>
      <c r="F111" s="306" t="s">
        <v>2430</v>
      </c>
      <c r="G111" s="2861">
        <f>G109-G110</f>
        <v>0</v>
      </c>
      <c r="H111" s="2854">
        <f>H109-H110</f>
        <v>0</v>
      </c>
      <c r="I111" s="1724"/>
      <c r="J111" s="1108"/>
      <c r="K111" s="1084"/>
      <c r="L111" s="1084"/>
      <c r="M111" s="1084"/>
      <c r="N111" s="1084"/>
      <c r="O111" s="1084"/>
      <c r="P111" s="1110"/>
    </row>
    <row r="112" spans="1:16">
      <c r="A112" s="1099">
        <v>69</v>
      </c>
      <c r="B112" s="852" t="s">
        <v>4068</v>
      </c>
      <c r="C112" s="180"/>
      <c r="D112" s="180"/>
      <c r="E112" s="180"/>
      <c r="F112" s="306" t="s">
        <v>2430</v>
      </c>
      <c r="G112" s="2861"/>
      <c r="H112" s="2854"/>
      <c r="I112" s="1724"/>
      <c r="J112" s="1108"/>
      <c r="K112" s="1084"/>
      <c r="L112" s="1084"/>
      <c r="M112" s="1084"/>
      <c r="N112" s="1084"/>
      <c r="O112" s="1084"/>
      <c r="P112" s="1110"/>
    </row>
    <row r="113" spans="1:17">
      <c r="A113" s="1099">
        <v>70</v>
      </c>
      <c r="B113" s="852" t="s">
        <v>4069</v>
      </c>
      <c r="C113" s="180"/>
      <c r="D113" s="180"/>
      <c r="E113" s="180"/>
      <c r="F113" s="306" t="s">
        <v>2430</v>
      </c>
      <c r="G113" s="2863">
        <f>G111-G112</f>
        <v>0</v>
      </c>
      <c r="H113" s="2856">
        <f>H111-H112</f>
        <v>0</v>
      </c>
      <c r="I113" s="1724"/>
      <c r="J113" s="1108"/>
      <c r="K113" s="1084"/>
      <c r="L113" s="1084"/>
      <c r="M113" s="1084"/>
      <c r="N113" s="1084"/>
      <c r="O113" s="1084"/>
      <c r="P113" s="1110"/>
    </row>
    <row r="114" spans="1:17" ht="15.75">
      <c r="A114" s="1099">
        <v>71</v>
      </c>
      <c r="B114" s="852" t="s">
        <v>1872</v>
      </c>
      <c r="C114" s="180"/>
      <c r="D114" s="180"/>
      <c r="E114" s="180"/>
      <c r="F114" s="306" t="s">
        <v>2430</v>
      </c>
      <c r="G114" s="2864">
        <f>G107-G113</f>
        <v>5681882.5999998534</v>
      </c>
      <c r="H114" s="2857">
        <f>H107-H113</f>
        <v>4795909.8300000085</v>
      </c>
      <c r="I114" s="2727"/>
      <c r="J114" s="1792"/>
      <c r="K114" s="1692"/>
      <c r="L114" s="1084"/>
      <c r="M114" s="1084"/>
      <c r="N114" s="1084"/>
      <c r="O114" s="1084"/>
      <c r="P114" s="1110"/>
    </row>
    <row r="115" spans="1:17">
      <c r="A115" s="1091"/>
      <c r="B115" s="1085"/>
      <c r="C115" s="1087"/>
      <c r="D115" s="1087"/>
      <c r="E115" s="1087"/>
      <c r="F115" s="1085"/>
      <c r="G115" s="1088"/>
      <c r="H115" s="1100"/>
      <c r="I115" s="1724"/>
      <c r="J115" s="1691"/>
      <c r="K115" s="1084"/>
      <c r="L115" s="1084"/>
      <c r="M115" s="1084"/>
      <c r="N115" s="1084"/>
      <c r="O115" s="1084"/>
      <c r="P115" s="1110"/>
    </row>
    <row r="116" spans="1:17">
      <c r="A116" s="1091"/>
      <c r="B116" s="1085"/>
      <c r="C116" s="1087"/>
      <c r="D116" s="1087"/>
      <c r="E116" s="1087"/>
      <c r="F116" s="1786"/>
      <c r="G116" s="1724"/>
      <c r="H116" s="1100"/>
      <c r="I116" s="1724"/>
      <c r="J116" s="1108"/>
      <c r="K116" s="1084"/>
      <c r="L116" s="1084"/>
      <c r="M116" s="1084"/>
      <c r="N116" s="1084"/>
      <c r="O116" s="1084"/>
      <c r="P116" s="1110"/>
    </row>
    <row r="117" spans="1:17" ht="15.75" thickBot="1">
      <c r="A117" s="1101"/>
      <c r="B117" s="1102"/>
      <c r="C117" s="1103"/>
      <c r="D117" s="1103"/>
      <c r="E117" s="1103"/>
      <c r="F117" s="1102"/>
      <c r="G117" s="1104"/>
      <c r="H117" s="1105"/>
      <c r="I117" s="1724"/>
      <c r="J117" s="1113"/>
      <c r="K117" s="1114"/>
      <c r="L117" s="1114"/>
      <c r="M117" s="1114"/>
      <c r="N117" s="1114"/>
      <c r="O117" s="1114"/>
      <c r="P117" s="1115"/>
    </row>
    <row r="118" spans="1:17" ht="15.75" thickTop="1">
      <c r="A118" s="195" t="s">
        <v>4066</v>
      </c>
      <c r="B118" s="195"/>
      <c r="C118" s="177"/>
      <c r="D118" s="177"/>
      <c r="E118" s="177"/>
      <c r="F118" s="195"/>
      <c r="G118" s="223"/>
      <c r="H118" s="223"/>
      <c r="I118" s="223"/>
      <c r="J118" s="195" t="s">
        <v>4066</v>
      </c>
      <c r="K118" s="195"/>
      <c r="L118" s="177"/>
      <c r="M118" s="177"/>
      <c r="N118" s="177"/>
      <c r="O118" s="195" t="s">
        <v>4066</v>
      </c>
      <c r="P118" s="223"/>
      <c r="Q118" s="223"/>
    </row>
    <row r="119" spans="1:17">
      <c r="A119" s="177" t="s">
        <v>3656</v>
      </c>
      <c r="B119" s="177"/>
      <c r="C119" s="177"/>
      <c r="D119" s="131"/>
      <c r="E119" s="177"/>
      <c r="F119" s="177"/>
      <c r="G119" s="229"/>
      <c r="H119" s="229"/>
      <c r="I119" s="229"/>
      <c r="J119" s="229" t="s">
        <v>3657</v>
      </c>
      <c r="K119" s="177"/>
      <c r="L119" s="177"/>
      <c r="M119" s="177"/>
      <c r="N119" s="229"/>
      <c r="O119" s="229"/>
      <c r="P119" s="177"/>
    </row>
    <row r="120" spans="1:17">
      <c r="A120" s="195"/>
      <c r="B120" s="195"/>
      <c r="C120" s="195"/>
      <c r="D120" s="195"/>
      <c r="E120" s="195"/>
      <c r="F120" s="195"/>
      <c r="G120" s="223"/>
      <c r="H120" s="223"/>
      <c r="I120" s="223"/>
    </row>
    <row r="121" spans="1:17" ht="15.75">
      <c r="A121" s="195"/>
      <c r="B121" s="195"/>
      <c r="C121" s="195"/>
      <c r="D121" s="195"/>
      <c r="E121" s="195"/>
      <c r="F121" s="195"/>
      <c r="G121" s="1787"/>
      <c r="H121" s="1782"/>
      <c r="I121" s="1782"/>
      <c r="J121" s="1084"/>
    </row>
    <row r="122" spans="1:17">
      <c r="A122" s="195"/>
      <c r="B122" s="195"/>
      <c r="C122" s="195"/>
      <c r="D122" s="195"/>
      <c r="E122" s="195"/>
      <c r="F122" s="195"/>
      <c r="G122" s="223"/>
      <c r="H122" s="223"/>
      <c r="I122" s="223"/>
    </row>
    <row r="123" spans="1:17">
      <c r="A123" s="195"/>
      <c r="B123" s="195"/>
      <c r="C123" s="195"/>
      <c r="D123" s="195"/>
      <c r="E123" s="195"/>
      <c r="F123" s="195"/>
      <c r="G123" s="223"/>
      <c r="H123" s="223"/>
      <c r="I123" s="223"/>
    </row>
    <row r="124" spans="1:17">
      <c r="A124" s="195"/>
      <c r="B124" s="195"/>
      <c r="C124" s="195"/>
      <c r="D124" s="195"/>
      <c r="E124" s="195"/>
      <c r="F124" s="195"/>
      <c r="G124" s="223"/>
      <c r="H124" s="223"/>
      <c r="I124" s="223"/>
    </row>
    <row r="125" spans="1:17">
      <c r="A125" s="195"/>
      <c r="B125" s="195"/>
      <c r="C125" s="195"/>
      <c r="D125" s="195"/>
      <c r="E125" s="195"/>
      <c r="F125" s="195"/>
      <c r="G125" s="223"/>
      <c r="H125" s="223"/>
      <c r="I125" s="223"/>
    </row>
    <row r="126" spans="1:17">
      <c r="A126" s="195"/>
      <c r="B126" s="195"/>
      <c r="C126" s="195"/>
      <c r="D126" s="195"/>
      <c r="E126" s="195"/>
      <c r="F126" s="195"/>
      <c r="G126" s="223"/>
      <c r="H126" s="223"/>
      <c r="I126" s="223"/>
    </row>
    <row r="127" spans="1:17">
      <c r="A127" s="195"/>
      <c r="B127" s="195"/>
      <c r="C127" s="195"/>
      <c r="D127" s="195"/>
      <c r="E127" s="195"/>
      <c r="F127" s="195"/>
      <c r="G127" s="223"/>
      <c r="H127" s="223"/>
      <c r="I127" s="223"/>
    </row>
    <row r="128" spans="1:17">
      <c r="A128" s="195"/>
      <c r="B128" s="195"/>
      <c r="C128" s="195"/>
      <c r="D128" s="195"/>
      <c r="E128" s="195"/>
      <c r="F128" s="195"/>
      <c r="G128" s="195"/>
      <c r="H128" s="195"/>
      <c r="I128" s="195"/>
    </row>
    <row r="129" spans="1:9">
      <c r="A129" s="195"/>
      <c r="B129" s="195"/>
      <c r="C129" s="195"/>
      <c r="D129" s="195"/>
      <c r="E129" s="195"/>
      <c r="F129" s="195"/>
      <c r="G129" s="195"/>
      <c r="H129" s="195"/>
      <c r="I129" s="195"/>
    </row>
    <row r="130" spans="1:9">
      <c r="A130" s="195"/>
      <c r="B130" s="195"/>
      <c r="C130" s="195"/>
      <c r="D130" s="195"/>
      <c r="E130" s="195"/>
      <c r="F130" s="195"/>
      <c r="G130" s="195"/>
      <c r="H130" s="195"/>
      <c r="I130" s="195"/>
    </row>
    <row r="131" spans="1:9">
      <c r="A131" s="195"/>
      <c r="B131" s="195"/>
      <c r="C131" s="195"/>
      <c r="D131" s="195"/>
      <c r="E131" s="195"/>
      <c r="F131" s="195"/>
      <c r="G131" s="195"/>
      <c r="H131" s="195"/>
      <c r="I131" s="195"/>
    </row>
    <row r="132" spans="1:9">
      <c r="A132" s="195"/>
      <c r="B132" s="195"/>
      <c r="C132" s="195"/>
      <c r="D132" s="195"/>
      <c r="E132" s="195"/>
      <c r="F132" s="195"/>
      <c r="G132" s="195"/>
      <c r="H132" s="195"/>
      <c r="I132" s="195"/>
    </row>
    <row r="133" spans="1:9">
      <c r="A133" s="11"/>
      <c r="B133" s="195"/>
    </row>
    <row r="134" spans="1:9">
      <c r="A134" s="11"/>
      <c r="B134" s="195"/>
    </row>
    <row r="135" spans="1:9">
      <c r="A135" s="11"/>
      <c r="B135" s="195"/>
    </row>
    <row r="136" spans="1:9">
      <c r="A136" s="11"/>
      <c r="B136" s="195"/>
    </row>
    <row r="137" spans="1:9">
      <c r="A137" s="11"/>
      <c r="B137" s="195"/>
    </row>
  </sheetData>
  <customSheetViews>
    <customSheetView guid="{1BA452AD-1A45-4D9C-9666-ADFFA6F2F567}" scale="75" colorId="22" showPageBreaks="1" fitToPage="1" printArea="1">
      <selection activeCell="J25" sqref="J25"/>
      <rowBreaks count="1" manualBreakCount="1">
        <brk id="59" max="14" man="1"/>
      </rowBreaks>
      <pageMargins left="0.25" right="0.25" top="0.25" bottom="0.25" header="0" footer="0"/>
      <printOptions horizontalCentered="1" verticalCentered="1"/>
      <pageSetup scale="76" pageOrder="overThenDown" orientation="portrait" r:id="rId1"/>
      <headerFooter alignWithMargins="0"/>
    </customSheetView>
    <customSheetView guid="{EEF7ABD6-0F96-4791-B749-C06F707E7673}" colorId="22" showPageBreaks="1" fitToPage="1" printArea="1" view="pageBreakPreview" showRuler="0" topLeftCell="A16">
      <pane xSplit="4" ySplit="9" topLeftCell="F25" activePane="bottomRight" state="frozen"/>
      <selection pane="bottomRight" activeCell="G115" sqref="G115"/>
      <rowBreaks count="1" manualBreakCount="1">
        <brk id="60" max="14" man="1"/>
      </rowBreaks>
      <pageMargins left="0.25" right="0.25" top="0.25" bottom="0.25" header="0" footer="0"/>
      <printOptions horizontalCentered="1" verticalCentered="1"/>
      <pageSetup scale="76" pageOrder="overThenDown" orientation="portrait" r:id="rId2"/>
      <headerFooter alignWithMargins="0"/>
    </customSheetView>
    <customSheetView guid="{A7D7DB3C-AFE6-468E-8C6B-9531F6711497}" scale="75" colorId="22" showPageBreaks="1" printArea="1" view="pageBreakPreview" showRuler="0" topLeftCell="B69">
      <selection activeCell="G98" sqref="G98"/>
      <rowBreaks count="1" manualBreakCount="1">
        <brk id="59" max="14" man="1"/>
      </rowBreaks>
      <colBreaks count="1" manualBreakCount="1">
        <brk id="8" max="118" man="1"/>
      </colBreaks>
      <pageMargins left="0.25" right="0.25" top="0.25" bottom="0.25" header="0" footer="0"/>
      <printOptions horizontalCentered="1" verticalCentered="1"/>
      <pageSetup scale="74" fitToWidth="0" pageOrder="overThenDown" orientation="portrait" r:id="rId3"/>
      <headerFooter alignWithMargins="0"/>
    </customSheetView>
    <customSheetView guid="{4436FEB5-BFEC-4348-9286-CB706802873E}" scale="75" colorId="22" showPageBreaks="1" printArea="1" view="pageBreakPreview" showRuler="0" topLeftCell="B4">
      <selection activeCell="I35" sqref="I35"/>
      <rowBreaks count="1" manualBreakCount="1">
        <brk id="59" max="14" man="1"/>
      </rowBreaks>
      <colBreaks count="1" manualBreakCount="1">
        <brk id="8" max="118" man="1"/>
      </colBreaks>
      <pageMargins left="0.25" right="0.25" top="0.25" bottom="0.25" header="0" footer="0"/>
      <printOptions horizontalCentered="1" verticalCentered="1"/>
      <pageSetup scale="74" fitToWidth="0" pageOrder="overThenDown" orientation="portrait" r:id="rId4"/>
      <headerFooter alignWithMargins="0"/>
    </customSheetView>
    <customSheetView guid="{044CF00C-469F-44B3-B2C4-9B4049CE70CB}" scale="70" colorId="22" showRuler="0" topLeftCell="A79">
      <selection activeCell="G114" sqref="G114:H114"/>
      <rowBreaks count="1" manualBreakCount="1">
        <brk id="59" max="14" man="1"/>
      </rowBreaks>
      <colBreaks count="1" manualBreakCount="1">
        <brk id="8" max="118" man="1"/>
      </colBreaks>
      <pageMargins left="0.25" right="0.25" top="0.25" bottom="0.25" header="0" footer="0"/>
      <printOptions horizontalCentered="1" verticalCentered="1"/>
      <pageSetup scale="74" fitToWidth="0" pageOrder="overThenDown" orientation="portrait" r:id="rId5"/>
      <headerFooter alignWithMargins="0"/>
    </customSheetView>
    <customSheetView guid="{4826FCC0-BDD6-4B2C-ACC6-ACE271DDF0E3}" colorId="22" showPageBreaks="1" fitToPage="1" printArea="1" view="pageBreakPreview" showRuler="0" topLeftCell="A16">
      <pane xSplit="4" ySplit="9" topLeftCell="F94" activePane="bottomRight" state="frozen"/>
      <selection pane="bottomRight" activeCell="B52" sqref="B52"/>
      <rowBreaks count="1" manualBreakCount="1">
        <brk id="60" max="14" man="1"/>
      </rowBreaks>
      <pageMargins left="0.25" right="0.25" top="0.25" bottom="0.25" header="0" footer="0"/>
      <printOptions horizontalCentered="1" verticalCentered="1"/>
      <pageSetup scale="76" pageOrder="overThenDown" orientation="portrait" r:id="rId6"/>
      <headerFooter alignWithMargins="0"/>
    </customSheetView>
    <customSheetView guid="{EF376D10-23D6-4FE2-AB5B-4460D52CC93F}" colorId="22" showPageBreaks="1" fitToPage="1" printArea="1" view="pageBreakPreview" showRuler="0" topLeftCell="A16">
      <pane xSplit="5" ySplit="9" topLeftCell="R25" activePane="bottomRight" state="frozen"/>
      <selection pane="bottomRight" activeCell="J37" sqref="J37"/>
      <rowBreaks count="1" manualBreakCount="1">
        <brk id="60" max="14" man="1"/>
      </rowBreaks>
      <pageMargins left="0.25" right="0.25" top="0.25" bottom="0.25" header="0" footer="0"/>
      <printOptions horizontalCentered="1" verticalCentered="1"/>
      <pageSetup scale="76" pageOrder="overThenDown" orientation="portrait" r:id="rId7"/>
      <headerFooter alignWithMargins="0"/>
    </customSheetView>
    <customSheetView guid="{1C046605-15CE-44F1-BFCD-2CA8588E7ACF}" colorId="22" showPageBreaks="1" fitToPage="1" printArea="1" view="pageBreakPreview" showRuler="0" topLeftCell="A5">
      <selection activeCell="J23" sqref="J23"/>
      <rowBreaks count="1" manualBreakCount="1">
        <brk id="60" max="14" man="1"/>
      </rowBreaks>
      <pageMargins left="0.25" right="0.25" top="0.25" bottom="0.25" header="0" footer="0"/>
      <printOptions horizontalCentered="1" verticalCentered="1"/>
      <pageSetup scale="76" pageOrder="overThenDown" orientation="portrait" r:id="rId8"/>
      <headerFooter alignWithMargins="0"/>
    </customSheetView>
    <customSheetView guid="{3911D713-188C-46A1-A299-F21DD3B7A146}" colorId="22" showPageBreaks="1" fitToPage="1" printArea="1" view="pageBreakPreview" showRuler="0" topLeftCell="A5">
      <selection activeCell="J23" sqref="J23"/>
      <rowBreaks count="1" manualBreakCount="1">
        <brk id="60" max="14" man="1"/>
      </rowBreaks>
      <pageMargins left="0.25" right="0.25" top="0.25" bottom="0.25" header="0" footer="0"/>
      <printOptions horizontalCentered="1" verticalCentered="1"/>
      <pageSetup scale="76" pageOrder="overThenDown" orientation="portrait" r:id="rId9"/>
      <headerFooter alignWithMargins="0"/>
    </customSheetView>
    <customSheetView guid="{78BB1E60-60BE-4F56-9763-075185EFEFAB}" scale="75" colorId="22" fitToPage="1" topLeftCell="A18">
      <selection activeCell="A63" sqref="A63"/>
      <rowBreaks count="1" manualBreakCount="1">
        <brk id="59" max="14" man="1"/>
      </rowBreaks>
      <pageMargins left="0.25" right="0.25" top="0.25" bottom="0.25" header="0" footer="0"/>
      <printOptions horizontalCentered="1" verticalCentered="1"/>
      <pageSetup scale="76" pageOrder="overThenDown" orientation="portrait" r:id="rId10"/>
      <headerFooter alignWithMargins="0"/>
    </customSheetView>
    <customSheetView guid="{9C30803E-1E2D-4850-B0A5-591CA6F246A1}" scale="75" colorId="22" fitToPage="1">
      <selection activeCell="J35" sqref="J35"/>
      <rowBreaks count="1" manualBreakCount="1">
        <brk id="59" max="14" man="1"/>
      </rowBreaks>
      <pageMargins left="0.25" right="0.25" top="0.25" bottom="0.25" header="0" footer="0"/>
      <printOptions horizontalCentered="1" verticalCentered="1"/>
      <pageSetup scale="76" pageOrder="overThenDown" orientation="portrait" r:id="rId11"/>
      <headerFooter alignWithMargins="0"/>
    </customSheetView>
    <customSheetView guid="{3B1006FF-A2CA-49E7-9B25-DAC8815279AF}" scale="75" colorId="22" fitToPage="1">
      <selection activeCell="R38" sqref="R38"/>
      <rowBreaks count="1" manualBreakCount="1">
        <brk id="59" max="14" man="1"/>
      </rowBreaks>
      <pageMargins left="0.25" right="0.25" top="0.25" bottom="0.25" header="0" footer="0"/>
      <printOptions horizontalCentered="1" verticalCentered="1"/>
      <pageSetup scale="76" pageOrder="overThenDown" orientation="portrait" r:id="rId12"/>
      <headerFooter alignWithMargins="0"/>
    </customSheetView>
    <customSheetView guid="{FB1A60C8-E1F9-4DF0-8E0E-1C965F86027F}" scale="75" colorId="22" showPageBreaks="1" fitToPage="1" printArea="1">
      <selection activeCell="J54" sqref="J53:J54"/>
      <rowBreaks count="1" manualBreakCount="1">
        <brk id="59" max="14" man="1"/>
      </rowBreaks>
      <pageMargins left="0.25" right="0.25" top="0.25" bottom="0.25" header="0" footer="0"/>
      <printOptions horizontalCentered="1" verticalCentered="1"/>
      <pageSetup scale="75" pageOrder="overThenDown" orientation="portrait" r:id="rId13"/>
      <headerFooter alignWithMargins="0"/>
    </customSheetView>
    <customSheetView guid="{C5B6D812-CBE6-46AA-99F7-02494E9802B4}" scale="70" colorId="22" fitToPage="1" topLeftCell="A10">
      <selection activeCell="A10" sqref="A10"/>
      <rowBreaks count="1" manualBreakCount="1">
        <brk id="59" max="14" man="1"/>
      </rowBreaks>
      <pageMargins left="0.25" right="0.25" top="0.25" bottom="0.25" header="0" footer="0"/>
      <printOptions horizontalCentered="1" verticalCentered="1"/>
      <pageSetup scale="75" pageOrder="overThenDown" orientation="portrait" r:id="rId14"/>
      <headerFooter alignWithMargins="0"/>
    </customSheetView>
  </customSheetViews>
  <mergeCells count="4">
    <mergeCell ref="A3:H3"/>
    <mergeCell ref="A62:H62"/>
    <mergeCell ref="G64:H64"/>
    <mergeCell ref="G18:H18"/>
  </mergeCells>
  <phoneticPr fontId="0" type="noConversion"/>
  <printOptions horizontalCentered="1" verticalCentered="1"/>
  <pageMargins left="0.25" right="0.25" top="0.25" bottom="0.25" header="0" footer="0"/>
  <pageSetup scale="75" pageOrder="overThenDown" orientation="portrait" r:id="rId15"/>
  <headerFooter alignWithMargins="0"/>
  <rowBreaks count="1" manualBreakCount="1">
    <brk id="59" max="14" man="1"/>
  </rowBreaks>
  <customProperties>
    <customPr name="_pios_id" r:id="rId16"/>
  </customProperties>
</worksheet>
</file>

<file path=xl/worksheets/sheet16.xml><?xml version="1.0" encoding="utf-8"?>
<worksheet xmlns="http://schemas.openxmlformats.org/spreadsheetml/2006/main" xmlns:r="http://schemas.openxmlformats.org/officeDocument/2006/relationships">
  <sheetPr transitionEvaluation="1" codeName="Sheet16" enableFormatConditionsCalculation="0"/>
  <dimension ref="B1:J138"/>
  <sheetViews>
    <sheetView defaultGridColor="0" colorId="22" zoomScale="70" zoomScaleNormal="70" workbookViewId="0"/>
  </sheetViews>
  <sheetFormatPr defaultColWidth="9.77734375" defaultRowHeight="15"/>
  <cols>
    <col min="1" max="1" width="3.33203125" customWidth="1"/>
    <col min="2" max="2" width="4.77734375" customWidth="1"/>
    <col min="3" max="3" width="43.77734375" customWidth="1"/>
    <col min="4" max="4" width="5.77734375" customWidth="1"/>
    <col min="5" max="5" width="4.21875" customWidth="1"/>
    <col min="6" max="6" width="22.77734375" customWidth="1"/>
    <col min="7" max="7" width="12.77734375" customWidth="1"/>
    <col min="8" max="8" width="17.88671875" customWidth="1"/>
    <col min="10" max="10" width="10.5546875" bestFit="1" customWidth="1"/>
  </cols>
  <sheetData>
    <row r="1" spans="2:8" ht="15.75" thickBot="1">
      <c r="B1" s="48" t="str">
        <f>'Data sheet'!$A$63</f>
        <v>Annual Report of New York American Water Company, Inc. (f/k/a Long Island Water Corp)                                    Year Ended  December 31, 2013</v>
      </c>
    </row>
    <row r="2" spans="2:8">
      <c r="B2" s="173"/>
      <c r="C2" s="174"/>
      <c r="D2" s="174"/>
      <c r="E2" s="174"/>
      <c r="F2" s="174"/>
      <c r="G2" s="174"/>
      <c r="H2" s="340"/>
    </row>
    <row r="3" spans="2:8" ht="15.75">
      <c r="B3" s="176"/>
      <c r="C3" s="313" t="s">
        <v>3658</v>
      </c>
      <c r="D3" s="177"/>
      <c r="E3" s="177"/>
      <c r="F3" s="177"/>
      <c r="G3" s="177"/>
      <c r="H3" s="178"/>
    </row>
    <row r="4" spans="2:8">
      <c r="B4" s="183"/>
      <c r="C4" s="195"/>
      <c r="D4" s="195"/>
      <c r="E4" s="195"/>
      <c r="F4" s="195"/>
      <c r="G4" s="320"/>
      <c r="H4" s="338"/>
    </row>
    <row r="5" spans="2:8">
      <c r="B5" s="341"/>
      <c r="C5" s="971" t="s">
        <v>3659</v>
      </c>
      <c r="D5" s="342"/>
      <c r="E5" s="342"/>
      <c r="F5" s="971" t="s">
        <v>2056</v>
      </c>
      <c r="G5" s="343"/>
      <c r="H5" s="344"/>
    </row>
    <row r="6" spans="2:8">
      <c r="B6" s="183"/>
      <c r="C6" s="209" t="s">
        <v>2057</v>
      </c>
      <c r="D6" s="177"/>
      <c r="E6" s="177"/>
      <c r="F6" s="209" t="s">
        <v>2058</v>
      </c>
      <c r="G6" s="11"/>
      <c r="H6" s="178"/>
    </row>
    <row r="7" spans="2:8">
      <c r="B7" s="183"/>
      <c r="C7" s="209" t="s">
        <v>3224</v>
      </c>
      <c r="D7" s="177"/>
      <c r="E7" s="177"/>
      <c r="F7" s="209" t="s">
        <v>3225</v>
      </c>
      <c r="G7" s="11"/>
      <c r="H7" s="178"/>
    </row>
    <row r="8" spans="2:8">
      <c r="B8" s="183"/>
      <c r="C8" s="209" t="s">
        <v>3873</v>
      </c>
      <c r="D8" s="177"/>
      <c r="E8" s="177"/>
      <c r="F8" s="209" t="s">
        <v>3874</v>
      </c>
      <c r="G8" s="11"/>
      <c r="H8" s="345"/>
    </row>
    <row r="9" spans="2:8">
      <c r="B9" s="183"/>
      <c r="C9" s="209" t="s">
        <v>3875</v>
      </c>
      <c r="D9" s="177"/>
      <c r="E9" s="177"/>
      <c r="F9" s="209" t="s">
        <v>3876</v>
      </c>
      <c r="G9" s="11"/>
      <c r="H9" s="178"/>
    </row>
    <row r="10" spans="2:8">
      <c r="B10" s="183"/>
      <c r="C10" s="209" t="s">
        <v>1217</v>
      </c>
      <c r="D10" s="177"/>
      <c r="E10" s="177"/>
      <c r="F10" s="209" t="s">
        <v>4565</v>
      </c>
      <c r="G10" s="11"/>
      <c r="H10" s="178"/>
    </row>
    <row r="11" spans="2:8">
      <c r="B11" s="183"/>
      <c r="C11" s="209" t="s">
        <v>4392</v>
      </c>
      <c r="D11" s="177"/>
      <c r="E11" s="177"/>
      <c r="F11" s="209" t="s">
        <v>4393</v>
      </c>
      <c r="G11" s="11"/>
      <c r="H11" s="321"/>
    </row>
    <row r="12" spans="2:8">
      <c r="B12" s="183"/>
      <c r="C12" s="209" t="s">
        <v>1296</v>
      </c>
      <c r="D12" s="177"/>
      <c r="E12" s="177"/>
      <c r="F12" s="209" t="s">
        <v>3525</v>
      </c>
      <c r="G12" s="11"/>
      <c r="H12" s="321"/>
    </row>
    <row r="13" spans="2:8">
      <c r="B13" s="183"/>
      <c r="C13" s="209" t="s">
        <v>2971</v>
      </c>
      <c r="D13" s="177"/>
      <c r="E13" s="177"/>
      <c r="F13" s="209" t="s">
        <v>2972</v>
      </c>
      <c r="G13" s="11"/>
      <c r="H13" s="321"/>
    </row>
    <row r="14" spans="2:8">
      <c r="B14" s="183"/>
      <c r="C14" s="209" t="s">
        <v>929</v>
      </c>
      <c r="D14" s="177"/>
      <c r="E14" s="177"/>
      <c r="F14" s="209" t="s">
        <v>1919</v>
      </c>
      <c r="G14" s="11"/>
      <c r="H14" s="321"/>
    </row>
    <row r="15" spans="2:8">
      <c r="B15" s="183"/>
      <c r="C15" s="209" t="s">
        <v>1920</v>
      </c>
      <c r="D15" s="177"/>
      <c r="E15" s="177"/>
      <c r="F15" s="209" t="s">
        <v>4041</v>
      </c>
      <c r="G15" s="11"/>
      <c r="H15" s="321"/>
    </row>
    <row r="16" spans="2:8">
      <c r="B16" s="187"/>
      <c r="C16" s="852" t="s">
        <v>425</v>
      </c>
      <c r="D16" s="180"/>
      <c r="E16" s="180"/>
      <c r="F16" s="852" t="s">
        <v>426</v>
      </c>
      <c r="G16" s="293"/>
      <c r="H16" s="181"/>
    </row>
    <row r="17" spans="2:10">
      <c r="B17" s="183"/>
      <c r="C17" s="192"/>
      <c r="D17" s="177"/>
      <c r="E17" s="177"/>
      <c r="F17" s="177"/>
      <c r="G17" s="307" t="s">
        <v>427</v>
      </c>
      <c r="H17" s="198"/>
    </row>
    <row r="18" spans="2:10">
      <c r="B18" s="191"/>
      <c r="C18" s="852" t="s">
        <v>2927</v>
      </c>
      <c r="D18" s="177"/>
      <c r="E18" s="177"/>
      <c r="F18" s="177"/>
      <c r="G18" s="809" t="s">
        <v>428</v>
      </c>
      <c r="H18" s="309"/>
    </row>
    <row r="19" spans="2:10">
      <c r="B19" s="295" t="s">
        <v>1129</v>
      </c>
      <c r="C19" s="192" t="s">
        <v>429</v>
      </c>
      <c r="D19" s="177"/>
      <c r="E19" s="177"/>
      <c r="F19" s="207"/>
      <c r="G19" s="809" t="s">
        <v>1139</v>
      </c>
      <c r="H19" s="814" t="s">
        <v>430</v>
      </c>
    </row>
    <row r="20" spans="2:10">
      <c r="B20" s="295" t="s">
        <v>3324</v>
      </c>
      <c r="C20" s="192"/>
      <c r="D20" s="177"/>
      <c r="E20" s="177"/>
      <c r="F20" s="207"/>
      <c r="G20" s="809" t="s">
        <v>431</v>
      </c>
      <c r="H20" s="309"/>
    </row>
    <row r="21" spans="2:10">
      <c r="B21" s="199"/>
      <c r="C21" s="297" t="s">
        <v>4032</v>
      </c>
      <c r="D21" s="180"/>
      <c r="E21" s="180"/>
      <c r="F21" s="200"/>
      <c r="G21" s="810" t="s">
        <v>4033</v>
      </c>
      <c r="H21" s="811" t="s">
        <v>4034</v>
      </c>
    </row>
    <row r="22" spans="2:10">
      <c r="B22" s="199"/>
      <c r="C22" s="852" t="s">
        <v>432</v>
      </c>
      <c r="D22" s="180"/>
      <c r="E22" s="180"/>
      <c r="F22" s="200"/>
      <c r="G22" s="346"/>
      <c r="H22" s="347"/>
    </row>
    <row r="23" spans="2:10">
      <c r="B23" s="199">
        <v>1</v>
      </c>
      <c r="C23" s="852" t="s">
        <v>433</v>
      </c>
      <c r="D23" s="180"/>
      <c r="E23" s="180"/>
      <c r="F23" s="200"/>
      <c r="G23" s="346"/>
      <c r="H23" s="348">
        <v>21030345.669999667</v>
      </c>
    </row>
    <row r="24" spans="2:10" ht="15.75">
      <c r="B24" s="199">
        <v>2</v>
      </c>
      <c r="C24" s="852" t="s">
        <v>3618</v>
      </c>
      <c r="D24" s="180"/>
      <c r="E24" s="180"/>
      <c r="F24" s="200"/>
      <c r="G24" s="346"/>
      <c r="H24" s="347"/>
      <c r="J24" s="2070"/>
    </row>
    <row r="25" spans="2:10">
      <c r="B25" s="199">
        <v>3</v>
      </c>
      <c r="C25" s="852" t="s">
        <v>3743</v>
      </c>
      <c r="D25" s="180"/>
      <c r="E25" s="180"/>
      <c r="F25" s="180"/>
      <c r="G25" s="349"/>
      <c r="H25" s="350"/>
    </row>
    <row r="26" spans="2:10">
      <c r="B26" s="199">
        <v>4</v>
      </c>
      <c r="C26" s="852" t="s">
        <v>1230</v>
      </c>
      <c r="D26" s="180"/>
      <c r="E26" s="180"/>
      <c r="F26" s="180"/>
      <c r="G26" s="303"/>
      <c r="H26" s="302"/>
    </row>
    <row r="27" spans="2:10">
      <c r="B27" s="199">
        <v>5</v>
      </c>
      <c r="C27" s="852" t="s">
        <v>3744</v>
      </c>
      <c r="D27" s="180"/>
      <c r="E27" s="180"/>
      <c r="F27" s="180"/>
      <c r="G27" s="303"/>
      <c r="H27" s="302"/>
    </row>
    <row r="28" spans="2:10">
      <c r="B28" s="199">
        <v>6</v>
      </c>
      <c r="C28" s="852" t="s">
        <v>3744</v>
      </c>
      <c r="D28" s="180"/>
      <c r="E28" s="180"/>
      <c r="F28" s="180"/>
      <c r="G28" s="303"/>
      <c r="H28" s="302"/>
    </row>
    <row r="29" spans="2:10">
      <c r="B29" s="199">
        <v>7</v>
      </c>
      <c r="C29" s="852" t="s">
        <v>3744</v>
      </c>
      <c r="D29" s="180"/>
      <c r="E29" s="180"/>
      <c r="F29" s="180"/>
      <c r="G29" s="303"/>
      <c r="H29" s="302"/>
    </row>
    <row r="30" spans="2:10">
      <c r="B30" s="199">
        <v>8</v>
      </c>
      <c r="C30" s="852" t="s">
        <v>3744</v>
      </c>
      <c r="D30" s="180"/>
      <c r="E30" s="180"/>
      <c r="F30" s="180"/>
      <c r="G30" s="303"/>
      <c r="H30" s="302"/>
    </row>
    <row r="31" spans="2:10">
      <c r="B31" s="199">
        <v>9</v>
      </c>
      <c r="C31" s="852" t="s">
        <v>3095</v>
      </c>
      <c r="D31" s="180"/>
      <c r="E31" s="180"/>
      <c r="F31" s="180"/>
      <c r="G31" s="303"/>
      <c r="H31" s="302">
        <f>SUM(H26:H30)</f>
        <v>0</v>
      </c>
    </row>
    <row r="32" spans="2:10">
      <c r="B32" s="199">
        <v>10</v>
      </c>
      <c r="C32" s="852" t="s">
        <v>4369</v>
      </c>
      <c r="D32" s="180"/>
      <c r="E32" s="180"/>
      <c r="F32" s="180"/>
      <c r="G32" s="303"/>
      <c r="H32" s="302"/>
    </row>
    <row r="33" spans="2:8">
      <c r="B33" s="199">
        <v>11</v>
      </c>
      <c r="C33" s="852" t="s">
        <v>4369</v>
      </c>
      <c r="D33" s="180"/>
      <c r="E33" s="180"/>
      <c r="F33" s="180"/>
      <c r="G33" s="303"/>
      <c r="H33" s="302"/>
    </row>
    <row r="34" spans="2:8">
      <c r="B34" s="199">
        <v>12</v>
      </c>
      <c r="C34" s="852" t="s">
        <v>4369</v>
      </c>
      <c r="D34" s="180"/>
      <c r="E34" s="180"/>
      <c r="F34" s="180"/>
      <c r="G34" s="303"/>
      <c r="H34" s="302"/>
    </row>
    <row r="35" spans="2:8">
      <c r="B35" s="199">
        <v>13</v>
      </c>
      <c r="C35" s="852" t="s">
        <v>4369</v>
      </c>
      <c r="D35" s="180"/>
      <c r="E35" s="180"/>
      <c r="F35" s="180"/>
      <c r="G35" s="303"/>
      <c r="H35" s="302"/>
    </row>
    <row r="36" spans="2:8">
      <c r="B36" s="199">
        <v>14</v>
      </c>
      <c r="C36" s="852" t="s">
        <v>4369</v>
      </c>
      <c r="D36" s="180"/>
      <c r="E36" s="180"/>
      <c r="F36" s="180"/>
      <c r="G36" s="303"/>
      <c r="H36" s="302"/>
    </row>
    <row r="37" spans="2:8">
      <c r="B37" s="199">
        <v>15</v>
      </c>
      <c r="C37" s="852" t="s">
        <v>3722</v>
      </c>
      <c r="D37" s="180"/>
      <c r="E37" s="180"/>
      <c r="F37" s="180"/>
      <c r="G37" s="303"/>
      <c r="H37" s="302">
        <f>SUM(H32:H36)</f>
        <v>0</v>
      </c>
    </row>
    <row r="38" spans="2:8">
      <c r="B38" s="199">
        <v>16</v>
      </c>
      <c r="C38" s="852" t="s">
        <v>3278</v>
      </c>
      <c r="D38" s="180"/>
      <c r="E38" s="180"/>
      <c r="F38" s="180"/>
      <c r="G38" s="303"/>
      <c r="H38" s="1627">
        <f>+'116119'!G114</f>
        <v>5681882.5999998534</v>
      </c>
    </row>
    <row r="39" spans="2:8">
      <c r="B39" s="199">
        <v>17</v>
      </c>
      <c r="C39" s="852" t="s">
        <v>3279</v>
      </c>
      <c r="D39" s="180"/>
      <c r="E39" s="180"/>
      <c r="F39" s="180"/>
      <c r="G39" s="351"/>
      <c r="H39" s="347"/>
    </row>
    <row r="40" spans="2:8">
      <c r="B40" s="199">
        <v>18</v>
      </c>
      <c r="C40" s="852"/>
      <c r="D40" s="180"/>
      <c r="E40" s="180"/>
      <c r="F40" s="180"/>
      <c r="G40" s="303"/>
      <c r="H40" s="302" t="s">
        <v>4373</v>
      </c>
    </row>
    <row r="41" spans="2:8">
      <c r="B41" s="199">
        <v>19</v>
      </c>
      <c r="C41" s="852"/>
      <c r="D41" s="180"/>
      <c r="E41" s="180"/>
      <c r="F41" s="180"/>
      <c r="G41" s="303"/>
      <c r="H41" s="302"/>
    </row>
    <row r="42" spans="2:8">
      <c r="B42" s="199">
        <v>20</v>
      </c>
      <c r="C42" s="852"/>
      <c r="D42" s="180"/>
      <c r="E42" s="180"/>
      <c r="F42" s="180"/>
      <c r="G42" s="303"/>
      <c r="H42" s="302"/>
    </row>
    <row r="43" spans="2:8">
      <c r="B43" s="199">
        <v>21</v>
      </c>
      <c r="C43" s="852"/>
      <c r="D43" s="180"/>
      <c r="E43" s="180"/>
      <c r="F43" s="180"/>
      <c r="G43" s="303"/>
      <c r="H43" s="302"/>
    </row>
    <row r="44" spans="2:8">
      <c r="B44" s="199">
        <v>22</v>
      </c>
      <c r="C44" s="852" t="s">
        <v>753</v>
      </c>
      <c r="D44" s="180"/>
      <c r="E44" s="180"/>
      <c r="F44" s="180"/>
      <c r="G44" s="303"/>
      <c r="H44" s="302">
        <f>SUM(H40:H43)</f>
        <v>0</v>
      </c>
    </row>
    <row r="45" spans="2:8">
      <c r="B45" s="199">
        <v>23</v>
      </c>
      <c r="C45" s="852" t="s">
        <v>3064</v>
      </c>
      <c r="D45" s="180"/>
      <c r="E45" s="180"/>
      <c r="F45" s="180"/>
      <c r="G45" s="352"/>
      <c r="H45" s="353"/>
    </row>
    <row r="46" spans="2:8">
      <c r="B46" s="199">
        <v>24</v>
      </c>
      <c r="C46" s="852" t="s">
        <v>1803</v>
      </c>
      <c r="D46" s="180"/>
      <c r="E46" s="180"/>
      <c r="F46" s="180"/>
      <c r="G46" s="303"/>
      <c r="H46" s="1627">
        <v>-37969</v>
      </c>
    </row>
    <row r="47" spans="2:8">
      <c r="B47" s="199">
        <v>25</v>
      </c>
      <c r="C47" s="852"/>
      <c r="D47" s="180"/>
      <c r="E47" s="180"/>
      <c r="F47" s="180"/>
      <c r="G47" s="303"/>
      <c r="H47" s="302"/>
    </row>
    <row r="48" spans="2:8">
      <c r="B48" s="199">
        <v>26</v>
      </c>
      <c r="C48" s="852"/>
      <c r="D48" s="180"/>
      <c r="E48" s="180"/>
      <c r="F48" s="180"/>
      <c r="G48" s="303"/>
      <c r="H48" s="302"/>
    </row>
    <row r="49" spans="2:10">
      <c r="B49" s="199">
        <v>27</v>
      </c>
      <c r="C49" s="852"/>
      <c r="D49" s="180"/>
      <c r="E49" s="180"/>
      <c r="F49" s="180"/>
      <c r="G49" s="303"/>
      <c r="H49" s="302"/>
    </row>
    <row r="50" spans="2:10">
      <c r="B50" s="199">
        <v>28</v>
      </c>
      <c r="C50" s="852"/>
      <c r="D50" s="180"/>
      <c r="E50" s="180"/>
      <c r="F50" s="180"/>
      <c r="G50" s="303"/>
      <c r="H50" s="302"/>
    </row>
    <row r="51" spans="2:10">
      <c r="B51" s="199">
        <v>29</v>
      </c>
      <c r="C51" s="852" t="s">
        <v>2857</v>
      </c>
      <c r="D51" s="180"/>
      <c r="E51" s="180"/>
      <c r="F51" s="180"/>
      <c r="G51" s="303"/>
      <c r="H51" s="302">
        <f>SUM(H46:H50)</f>
        <v>-37969</v>
      </c>
    </row>
    <row r="52" spans="2:10">
      <c r="B52" s="199">
        <v>30</v>
      </c>
      <c r="C52" s="852" t="s">
        <v>2858</v>
      </c>
      <c r="D52" s="180"/>
      <c r="E52" s="180"/>
      <c r="F52" s="180"/>
      <c r="G52" s="351"/>
      <c r="H52" s="347"/>
    </row>
    <row r="53" spans="2:10">
      <c r="B53" s="199">
        <v>31</v>
      </c>
      <c r="C53" s="852"/>
      <c r="D53" s="180"/>
      <c r="E53" s="180"/>
      <c r="F53" s="180"/>
      <c r="G53" s="303"/>
      <c r="H53" s="1627">
        <v>-4098621</v>
      </c>
    </row>
    <row r="54" spans="2:10">
      <c r="B54" s="199">
        <v>32</v>
      </c>
      <c r="C54" s="852"/>
      <c r="D54" s="180"/>
      <c r="E54" s="180"/>
      <c r="F54" s="180"/>
      <c r="G54" s="303"/>
      <c r="H54" s="302"/>
    </row>
    <row r="55" spans="2:10">
      <c r="B55" s="199">
        <v>33</v>
      </c>
      <c r="C55" s="852"/>
      <c r="D55" s="180"/>
      <c r="E55" s="180"/>
      <c r="F55" s="180"/>
      <c r="G55" s="303"/>
      <c r="H55" s="302"/>
    </row>
    <row r="56" spans="2:10">
      <c r="B56" s="199">
        <v>34</v>
      </c>
      <c r="C56" s="852"/>
      <c r="D56" s="180"/>
      <c r="E56" s="180"/>
      <c r="F56" s="180"/>
      <c r="G56" s="303"/>
      <c r="H56" s="302"/>
    </row>
    <row r="57" spans="2:10">
      <c r="B57" s="199">
        <v>35</v>
      </c>
      <c r="C57" s="852"/>
      <c r="D57" s="180"/>
      <c r="E57" s="180"/>
      <c r="F57" s="180"/>
      <c r="G57" s="303"/>
      <c r="H57" s="302"/>
    </row>
    <row r="58" spans="2:10">
      <c r="B58" s="199">
        <v>36</v>
      </c>
      <c r="C58" s="852" t="s">
        <v>2774</v>
      </c>
      <c r="D58" s="180"/>
      <c r="E58" s="180"/>
      <c r="F58" s="180"/>
      <c r="G58" s="303"/>
      <c r="H58" s="302">
        <f>SUM(H53:H57)</f>
        <v>-4098621</v>
      </c>
    </row>
    <row r="59" spans="2:10">
      <c r="B59" s="199">
        <v>37</v>
      </c>
      <c r="C59" s="852" t="s">
        <v>2775</v>
      </c>
      <c r="D59" s="180"/>
      <c r="E59" s="180"/>
      <c r="F59" s="180"/>
      <c r="G59" s="351"/>
      <c r="H59" s="347"/>
    </row>
    <row r="60" spans="2:10" ht="15.75" thickBot="1">
      <c r="B60" s="210">
        <v>38</v>
      </c>
      <c r="C60" s="211" t="s">
        <v>4199</v>
      </c>
      <c r="D60" s="226"/>
      <c r="E60" s="226"/>
      <c r="F60" s="226"/>
      <c r="G60" s="316"/>
      <c r="H60" s="354">
        <f>H23+H31+H37+H38+H44+H51+H58</f>
        <v>22575638.269999519</v>
      </c>
      <c r="J60" s="1612"/>
    </row>
    <row r="61" spans="2:10">
      <c r="B61" s="195" t="s">
        <v>4200</v>
      </c>
      <c r="C61" s="195"/>
      <c r="D61" s="177"/>
      <c r="E61" s="177"/>
      <c r="F61" s="177"/>
      <c r="G61" s="195"/>
      <c r="H61" s="223"/>
    </row>
    <row r="62" spans="2:10">
      <c r="B62" s="177" t="s">
        <v>4201</v>
      </c>
      <c r="C62" s="131"/>
      <c r="D62" s="131"/>
      <c r="E62" s="131"/>
      <c r="F62" s="177"/>
      <c r="G62" s="177"/>
      <c r="H62" s="229"/>
    </row>
    <row r="63" spans="2:10" ht="15.75" thickBot="1">
      <c r="B63" s="186" t="str">
        <f>'Data sheet'!$A$63</f>
        <v>Annual Report of New York American Water Company, Inc. (f/k/a Long Island Water Corp)                                    Year Ended  December 31, 2013</v>
      </c>
      <c r="C63" s="195"/>
      <c r="D63" s="195"/>
      <c r="E63" s="195"/>
      <c r="F63" s="195"/>
      <c r="G63" s="195"/>
      <c r="H63" s="223"/>
    </row>
    <row r="64" spans="2:10">
      <c r="B64" s="173"/>
      <c r="C64" s="174"/>
      <c r="D64" s="174"/>
      <c r="E64" s="174"/>
      <c r="F64" s="174"/>
      <c r="G64" s="174"/>
      <c r="H64" s="340"/>
    </row>
    <row r="65" spans="2:8" ht="15.75">
      <c r="B65" s="176"/>
      <c r="C65" s="313" t="s">
        <v>4202</v>
      </c>
      <c r="D65" s="177"/>
      <c r="E65" s="177"/>
      <c r="F65" s="177"/>
      <c r="G65" s="177"/>
      <c r="H65" s="178"/>
    </row>
    <row r="66" spans="2:8">
      <c r="B66" s="183"/>
      <c r="C66" s="195"/>
      <c r="D66" s="195"/>
      <c r="E66" s="195"/>
      <c r="F66" s="195"/>
      <c r="G66" s="320"/>
      <c r="H66" s="338"/>
    </row>
    <row r="67" spans="2:8">
      <c r="B67" s="355" t="s">
        <v>1129</v>
      </c>
      <c r="C67" s="342" t="s">
        <v>429</v>
      </c>
      <c r="D67" s="342"/>
      <c r="E67" s="342"/>
      <c r="F67" s="342"/>
      <c r="G67" s="342"/>
      <c r="H67" s="356" t="s">
        <v>430</v>
      </c>
    </row>
    <row r="68" spans="2:8">
      <c r="B68" s="199" t="s">
        <v>3324</v>
      </c>
      <c r="C68" s="180" t="s">
        <v>4203</v>
      </c>
      <c r="D68" s="180"/>
      <c r="E68" s="180"/>
      <c r="F68" s="180"/>
      <c r="G68" s="180"/>
      <c r="H68" s="201" t="s">
        <v>4033</v>
      </c>
    </row>
    <row r="69" spans="2:8">
      <c r="B69" s="191"/>
      <c r="C69" s="195"/>
      <c r="D69" s="195"/>
      <c r="E69" s="177"/>
      <c r="F69" s="177"/>
      <c r="G69" s="177"/>
      <c r="H69" s="357"/>
    </row>
    <row r="70" spans="2:8" ht="15.75">
      <c r="B70" s="191"/>
      <c r="C70" s="11"/>
      <c r="D70" s="358" t="s">
        <v>1327</v>
      </c>
      <c r="E70" s="11"/>
      <c r="F70" s="177"/>
      <c r="G70" s="177"/>
      <c r="H70" s="357"/>
    </row>
    <row r="71" spans="2:8">
      <c r="B71" s="191"/>
      <c r="C71" s="209" t="s">
        <v>2101</v>
      </c>
      <c r="D71" s="177"/>
      <c r="E71" s="177"/>
      <c r="F71" s="177"/>
      <c r="G71" s="177"/>
      <c r="H71" s="357"/>
    </row>
    <row r="72" spans="2:8">
      <c r="B72" s="191"/>
      <c r="C72" s="209" t="s">
        <v>5</v>
      </c>
      <c r="D72" s="177"/>
      <c r="E72" s="177"/>
      <c r="F72" s="177"/>
      <c r="G72" s="195"/>
      <c r="H72" s="357"/>
    </row>
    <row r="73" spans="2:8">
      <c r="B73" s="199"/>
      <c r="C73" s="180"/>
      <c r="D73" s="180"/>
      <c r="E73" s="180"/>
      <c r="F73" s="180"/>
      <c r="G73" s="193"/>
      <c r="H73" s="357"/>
    </row>
    <row r="74" spans="2:8">
      <c r="B74" s="191" t="s">
        <v>6</v>
      </c>
      <c r="C74" s="209" t="s">
        <v>177</v>
      </c>
      <c r="D74" s="177"/>
      <c r="E74" s="177"/>
      <c r="F74" s="177"/>
      <c r="G74" s="195"/>
      <c r="H74" s="309"/>
    </row>
    <row r="75" spans="2:8">
      <c r="B75" s="191" t="s">
        <v>7</v>
      </c>
      <c r="C75" s="177"/>
      <c r="D75" s="177"/>
      <c r="E75" s="177"/>
      <c r="F75" s="177"/>
      <c r="G75" s="195"/>
      <c r="H75" s="309"/>
    </row>
    <row r="76" spans="2:8">
      <c r="B76" s="191" t="s">
        <v>8</v>
      </c>
      <c r="C76" s="177"/>
      <c r="D76" s="177"/>
      <c r="E76" s="177"/>
      <c r="F76" s="177"/>
      <c r="G76" s="195"/>
      <c r="H76" s="309"/>
    </row>
    <row r="77" spans="2:8">
      <c r="B77" s="191" t="s">
        <v>9</v>
      </c>
      <c r="C77" s="177"/>
      <c r="D77" s="177"/>
      <c r="E77" s="177"/>
      <c r="F77" s="177"/>
      <c r="G77" s="195"/>
      <c r="H77" s="309"/>
    </row>
    <row r="78" spans="2:8">
      <c r="B78" s="191" t="s">
        <v>10</v>
      </c>
      <c r="C78" s="177"/>
      <c r="D78" s="177"/>
      <c r="E78" s="177"/>
      <c r="F78" s="177"/>
      <c r="G78" s="195"/>
      <c r="H78" s="309"/>
    </row>
    <row r="79" spans="2:8">
      <c r="B79" s="199" t="s">
        <v>11</v>
      </c>
      <c r="C79" s="180"/>
      <c r="D79" s="180"/>
      <c r="E79" s="180"/>
      <c r="F79" s="180"/>
      <c r="G79" s="193"/>
      <c r="H79" s="302"/>
    </row>
    <row r="80" spans="2:8">
      <c r="B80" s="199" t="s">
        <v>12</v>
      </c>
      <c r="C80" s="852" t="s">
        <v>13</v>
      </c>
      <c r="D80" s="180"/>
      <c r="E80" s="180"/>
      <c r="F80" s="180"/>
      <c r="G80" s="193"/>
      <c r="H80" s="302">
        <f>SUM(H74:H79)</f>
        <v>0</v>
      </c>
    </row>
    <row r="81" spans="2:8">
      <c r="B81" s="183"/>
      <c r="C81" s="177"/>
      <c r="D81" s="177"/>
      <c r="E81" s="177"/>
      <c r="F81" s="177"/>
      <c r="G81" s="195"/>
      <c r="H81" s="224"/>
    </row>
    <row r="82" spans="2:8" ht="15.75">
      <c r="B82" s="176" t="s">
        <v>2984</v>
      </c>
      <c r="C82" s="313"/>
      <c r="D82" s="313"/>
      <c r="E82" s="313"/>
      <c r="F82" s="313"/>
      <c r="G82" s="313"/>
      <c r="H82" s="359"/>
    </row>
    <row r="83" spans="2:8" ht="15.75">
      <c r="B83" s="360"/>
      <c r="C83" s="361"/>
      <c r="D83" s="361"/>
      <c r="E83" s="361"/>
      <c r="F83" s="361"/>
      <c r="G83" s="361"/>
      <c r="H83" s="362"/>
    </row>
    <row r="84" spans="2:8">
      <c r="B84" s="183"/>
      <c r="C84" s="177"/>
      <c r="D84" s="177"/>
      <c r="E84" s="177"/>
      <c r="F84" s="177"/>
      <c r="G84" s="195"/>
      <c r="H84" s="224"/>
    </row>
    <row r="85" spans="2:8">
      <c r="B85" s="183"/>
      <c r="C85" s="209" t="s">
        <v>1608</v>
      </c>
      <c r="D85" s="177"/>
      <c r="E85" s="177"/>
      <c r="F85" s="177"/>
      <c r="G85" s="195"/>
      <c r="H85" s="224"/>
    </row>
    <row r="86" spans="2:8">
      <c r="B86" s="183"/>
      <c r="C86" s="209" t="s">
        <v>1528</v>
      </c>
      <c r="D86" s="177"/>
      <c r="E86" s="177"/>
      <c r="F86" s="177"/>
      <c r="G86" s="195"/>
      <c r="H86" s="224"/>
    </row>
    <row r="87" spans="2:8">
      <c r="B87" s="183"/>
      <c r="C87" s="209" t="s">
        <v>2379</v>
      </c>
      <c r="D87" s="177"/>
      <c r="E87" s="177"/>
      <c r="F87" s="177"/>
      <c r="G87" s="195"/>
      <c r="H87" s="224"/>
    </row>
    <row r="88" spans="2:8">
      <c r="B88" s="183"/>
      <c r="C88" s="209" t="s">
        <v>2012</v>
      </c>
      <c r="D88" s="177"/>
      <c r="E88" s="177"/>
      <c r="F88" s="177"/>
      <c r="G88" s="195"/>
      <c r="H88" s="224"/>
    </row>
    <row r="89" spans="2:8">
      <c r="B89" s="187"/>
      <c r="C89" s="852"/>
      <c r="D89" s="180"/>
      <c r="E89" s="180"/>
      <c r="F89" s="180"/>
      <c r="G89" s="193"/>
      <c r="H89" s="363"/>
    </row>
    <row r="90" spans="2:8">
      <c r="B90" s="191"/>
      <c r="C90" s="177"/>
      <c r="D90" s="177"/>
      <c r="E90" s="177"/>
      <c r="F90" s="177"/>
      <c r="G90" s="364" t="s">
        <v>2013</v>
      </c>
      <c r="H90" s="365"/>
    </row>
    <row r="91" spans="2:8">
      <c r="B91" s="295" t="s">
        <v>1129</v>
      </c>
      <c r="C91" s="177" t="s">
        <v>3640</v>
      </c>
      <c r="D91" s="177"/>
      <c r="E91" s="177"/>
      <c r="F91" s="177"/>
      <c r="G91" s="364" t="s">
        <v>3641</v>
      </c>
      <c r="H91" s="365" t="s">
        <v>3642</v>
      </c>
    </row>
    <row r="92" spans="2:8">
      <c r="B92" s="296" t="s">
        <v>3324</v>
      </c>
      <c r="C92" s="180" t="s">
        <v>4032</v>
      </c>
      <c r="D92" s="180"/>
      <c r="E92" s="180"/>
      <c r="F92" s="180"/>
      <c r="G92" s="366" t="s">
        <v>4033</v>
      </c>
      <c r="H92" s="367" t="s">
        <v>4034</v>
      </c>
    </row>
    <row r="93" spans="2:8">
      <c r="B93" s="295">
        <v>1</v>
      </c>
      <c r="C93" s="209" t="s">
        <v>5331</v>
      </c>
      <c r="D93" s="177"/>
      <c r="E93" s="177"/>
      <c r="F93" s="177"/>
      <c r="G93" s="368">
        <f>+'116119'!G23</f>
        <v>56884180.889999866</v>
      </c>
      <c r="H93" s="369"/>
    </row>
    <row r="94" spans="2:8">
      <c r="B94" s="295">
        <v>2</v>
      </c>
      <c r="C94" s="177"/>
      <c r="D94" s="177"/>
      <c r="E94" s="177"/>
      <c r="F94" s="177"/>
      <c r="G94" s="325" t="s">
        <v>4373</v>
      </c>
      <c r="H94" s="224"/>
    </row>
    <row r="95" spans="2:8">
      <c r="B95" s="295">
        <v>3</v>
      </c>
      <c r="C95" s="177"/>
      <c r="D95" s="177"/>
      <c r="E95" s="177"/>
      <c r="F95" s="177"/>
      <c r="G95" s="325"/>
      <c r="H95" s="224"/>
    </row>
    <row r="96" spans="2:8">
      <c r="B96" s="295">
        <v>4</v>
      </c>
      <c r="C96" s="177"/>
      <c r="D96" s="177"/>
      <c r="E96" s="177"/>
      <c r="F96" s="177"/>
      <c r="G96" s="325"/>
      <c r="H96" s="224"/>
    </row>
    <row r="97" spans="2:8">
      <c r="B97" s="295">
        <v>5</v>
      </c>
      <c r="C97" s="177"/>
      <c r="D97" s="177"/>
      <c r="E97" s="177"/>
      <c r="F97" s="177"/>
      <c r="G97" s="325"/>
      <c r="H97" s="224"/>
    </row>
    <row r="98" spans="2:8">
      <c r="B98" s="295">
        <v>6</v>
      </c>
      <c r="C98" s="177"/>
      <c r="D98" s="177"/>
      <c r="E98" s="177"/>
      <c r="F98" s="177"/>
      <c r="G98" s="325"/>
      <c r="H98" s="224"/>
    </row>
    <row r="99" spans="2:8">
      <c r="B99" s="295">
        <v>7</v>
      </c>
      <c r="C99" s="177"/>
      <c r="D99" s="177"/>
      <c r="E99" s="177"/>
      <c r="F99" s="177"/>
      <c r="G99" s="325"/>
      <c r="H99" s="224"/>
    </row>
    <row r="100" spans="2:8">
      <c r="B100" s="295">
        <v>8</v>
      </c>
      <c r="C100" s="177"/>
      <c r="D100" s="177"/>
      <c r="E100" s="177"/>
      <c r="F100" s="177"/>
      <c r="G100" s="325"/>
      <c r="H100" s="224"/>
    </row>
    <row r="101" spans="2:8">
      <c r="B101" s="295">
        <v>9</v>
      </c>
      <c r="C101" s="177"/>
      <c r="D101" s="177"/>
      <c r="E101" s="177"/>
      <c r="F101" s="177"/>
      <c r="G101" s="325"/>
      <c r="H101" s="224"/>
    </row>
    <row r="102" spans="2:8">
      <c r="B102" s="295">
        <v>10</v>
      </c>
      <c r="C102" s="177"/>
      <c r="D102" s="177"/>
      <c r="E102" s="177"/>
      <c r="F102" s="177"/>
      <c r="G102" s="325"/>
      <c r="H102" s="224"/>
    </row>
    <row r="103" spans="2:8">
      <c r="B103" s="295">
        <v>11</v>
      </c>
      <c r="C103" s="177"/>
      <c r="D103" s="177"/>
      <c r="E103" s="177"/>
      <c r="F103" s="177"/>
      <c r="G103" s="325"/>
      <c r="H103" s="224"/>
    </row>
    <row r="104" spans="2:8">
      <c r="B104" s="295">
        <v>12</v>
      </c>
      <c r="C104" s="177"/>
      <c r="D104" s="177"/>
      <c r="E104" s="177"/>
      <c r="F104" s="177"/>
      <c r="G104" s="325"/>
      <c r="H104" s="224"/>
    </row>
    <row r="105" spans="2:8">
      <c r="B105" s="295">
        <v>13</v>
      </c>
      <c r="C105" s="177"/>
      <c r="D105" s="177"/>
      <c r="E105" s="177"/>
      <c r="F105" s="177"/>
      <c r="G105" s="325"/>
      <c r="H105" s="224"/>
    </row>
    <row r="106" spans="2:8">
      <c r="B106" s="295">
        <v>14</v>
      </c>
      <c r="C106" s="177"/>
      <c r="D106" s="177"/>
      <c r="E106" s="177"/>
      <c r="F106" s="177"/>
      <c r="G106" s="325"/>
      <c r="H106" s="224"/>
    </row>
    <row r="107" spans="2:8">
      <c r="B107" s="295">
        <v>15</v>
      </c>
      <c r="C107" s="177"/>
      <c r="D107" s="177"/>
      <c r="E107" s="177"/>
      <c r="F107" s="177"/>
      <c r="G107" s="325"/>
      <c r="H107" s="224"/>
    </row>
    <row r="108" spans="2:8">
      <c r="B108" s="295">
        <v>16</v>
      </c>
      <c r="C108" s="177"/>
      <c r="D108" s="177"/>
      <c r="E108" s="177"/>
      <c r="F108" s="177"/>
      <c r="G108" s="325"/>
      <c r="H108" s="224"/>
    </row>
    <row r="109" spans="2:8">
      <c r="B109" s="296">
        <v>17</v>
      </c>
      <c r="C109" s="852" t="s">
        <v>1135</v>
      </c>
      <c r="D109" s="180"/>
      <c r="E109" s="180"/>
      <c r="F109" s="180"/>
      <c r="G109" s="370">
        <f>SUM(G93:G108)</f>
        <v>56884180.889999866</v>
      </c>
      <c r="H109" s="371">
        <f>SUM(H93:H108)</f>
        <v>0</v>
      </c>
    </row>
    <row r="110" spans="2:8">
      <c r="B110" s="183"/>
      <c r="C110" s="177"/>
      <c r="D110" s="177"/>
      <c r="E110" s="177"/>
      <c r="F110" s="177"/>
      <c r="G110" s="195"/>
      <c r="H110" s="224"/>
    </row>
    <row r="111" spans="2:8">
      <c r="B111" s="183"/>
      <c r="C111" s="177"/>
      <c r="D111" s="177"/>
      <c r="E111" s="177"/>
      <c r="F111" s="177"/>
      <c r="G111" s="195"/>
      <c r="H111" s="224"/>
    </row>
    <row r="112" spans="2:8">
      <c r="B112" s="183"/>
      <c r="C112" s="177"/>
      <c r="D112" s="177"/>
      <c r="E112" s="177"/>
      <c r="F112" s="177"/>
      <c r="G112" s="195"/>
      <c r="H112" s="224"/>
    </row>
    <row r="113" spans="2:8">
      <c r="B113" s="183"/>
      <c r="C113" s="177"/>
      <c r="D113" s="177"/>
      <c r="E113" s="177"/>
      <c r="F113" s="177"/>
      <c r="G113" s="195"/>
      <c r="H113" s="224"/>
    </row>
    <row r="114" spans="2:8">
      <c r="B114" s="183"/>
      <c r="C114" s="195"/>
      <c r="D114" s="177"/>
      <c r="E114" s="177"/>
      <c r="F114" s="177"/>
      <c r="G114" s="195"/>
      <c r="H114" s="224"/>
    </row>
    <row r="115" spans="2:8">
      <c r="B115" s="183"/>
      <c r="C115" s="195"/>
      <c r="D115" s="195"/>
      <c r="E115" s="195"/>
      <c r="F115" s="195"/>
      <c r="G115" s="195"/>
      <c r="H115" s="224"/>
    </row>
    <row r="116" spans="2:8">
      <c r="B116" s="183"/>
      <c r="C116" s="195"/>
      <c r="D116" s="177"/>
      <c r="E116" s="177"/>
      <c r="F116" s="177"/>
      <c r="G116" s="195"/>
      <c r="H116" s="224"/>
    </row>
    <row r="117" spans="2:8">
      <c r="B117" s="183"/>
      <c r="C117" s="195"/>
      <c r="D117" s="177"/>
      <c r="E117" s="177"/>
      <c r="F117" s="177"/>
      <c r="G117" s="195"/>
      <c r="H117" s="224"/>
    </row>
    <row r="118" spans="2:8">
      <c r="B118" s="183"/>
      <c r="C118" s="195"/>
      <c r="D118" s="177"/>
      <c r="E118" s="177"/>
      <c r="F118" s="177"/>
      <c r="G118" s="195"/>
      <c r="H118" s="224"/>
    </row>
    <row r="119" spans="2:8">
      <c r="B119" s="183"/>
      <c r="C119" s="177"/>
      <c r="D119" s="177"/>
      <c r="E119" s="177"/>
      <c r="F119" s="177"/>
      <c r="G119" s="195"/>
      <c r="H119" s="224"/>
    </row>
    <row r="120" spans="2:8">
      <c r="B120" s="183"/>
      <c r="C120" s="195"/>
      <c r="D120" s="177"/>
      <c r="E120" s="177"/>
      <c r="F120" s="177"/>
      <c r="G120" s="195"/>
      <c r="H120" s="224"/>
    </row>
    <row r="121" spans="2:8">
      <c r="B121" s="183"/>
      <c r="C121" s="195"/>
      <c r="D121" s="177"/>
      <c r="E121" s="177"/>
      <c r="F121" s="177"/>
      <c r="G121" s="195"/>
      <c r="H121" s="224"/>
    </row>
    <row r="122" spans="2:8" ht="15.75" thickBot="1">
      <c r="B122" s="225"/>
      <c r="C122" s="214"/>
      <c r="D122" s="226"/>
      <c r="E122" s="226"/>
      <c r="F122" s="226"/>
      <c r="G122" s="214"/>
      <c r="H122" s="228"/>
    </row>
    <row r="123" spans="2:8">
      <c r="B123" s="195"/>
      <c r="C123" s="195"/>
      <c r="D123" s="177"/>
      <c r="E123" s="177"/>
      <c r="F123" s="177"/>
      <c r="G123" s="195"/>
      <c r="H123" s="195" t="s">
        <v>4200</v>
      </c>
    </row>
    <row r="124" spans="2:8">
      <c r="B124" s="177" t="s">
        <v>3643</v>
      </c>
      <c r="C124" s="177"/>
      <c r="D124" s="177"/>
      <c r="E124" s="177"/>
      <c r="F124" s="177"/>
      <c r="G124" s="177"/>
      <c r="H124" s="229"/>
    </row>
    <row r="125" spans="2:8">
      <c r="B125" s="195"/>
      <c r="C125" s="195"/>
      <c r="D125" s="195"/>
      <c r="E125" s="195"/>
      <c r="F125" s="195"/>
      <c r="G125" s="195"/>
      <c r="H125" s="223"/>
    </row>
    <row r="126" spans="2:8">
      <c r="B126" s="195"/>
      <c r="C126" s="195"/>
      <c r="D126" s="195"/>
      <c r="E126" s="195"/>
      <c r="F126" s="195"/>
      <c r="G126" s="195"/>
      <c r="H126" s="223"/>
    </row>
    <row r="127" spans="2:8">
      <c r="B127" s="195"/>
      <c r="C127" s="195"/>
      <c r="D127" s="195"/>
      <c r="E127" s="195"/>
      <c r="F127" s="195"/>
      <c r="G127" s="195"/>
      <c r="H127" s="223"/>
    </row>
    <row r="128" spans="2:8">
      <c r="B128" s="195"/>
      <c r="C128" s="195"/>
      <c r="D128" s="195"/>
      <c r="E128" s="195"/>
      <c r="F128" s="195"/>
      <c r="G128" s="195"/>
      <c r="H128" s="223"/>
    </row>
    <row r="129" spans="2:8">
      <c r="B129" s="195"/>
      <c r="C129" s="195"/>
      <c r="D129" s="195"/>
      <c r="E129" s="195"/>
      <c r="F129" s="195"/>
      <c r="G129" s="195"/>
      <c r="H129" s="223"/>
    </row>
    <row r="130" spans="2:8">
      <c r="B130" s="195"/>
      <c r="C130" s="195"/>
      <c r="D130" s="195"/>
      <c r="E130" s="195"/>
      <c r="F130" s="195"/>
      <c r="G130" s="195"/>
      <c r="H130" s="223"/>
    </row>
    <row r="131" spans="2:8">
      <c r="B131" s="195"/>
      <c r="C131" s="195"/>
      <c r="D131" s="195"/>
      <c r="E131" s="195"/>
      <c r="F131" s="195"/>
      <c r="G131" s="195"/>
      <c r="H131" s="223"/>
    </row>
    <row r="132" spans="2:8">
      <c r="B132" s="195"/>
      <c r="C132" s="195"/>
      <c r="D132" s="195"/>
      <c r="E132" s="195"/>
      <c r="F132" s="195"/>
      <c r="G132" s="195"/>
      <c r="H132" s="223"/>
    </row>
    <row r="133" spans="2:8">
      <c r="B133" s="195"/>
      <c r="C133" s="195"/>
      <c r="D133" s="195"/>
      <c r="E133" s="195"/>
      <c r="F133" s="195"/>
      <c r="G133" s="195"/>
      <c r="H133" s="223"/>
    </row>
    <row r="134" spans="2:8">
      <c r="B134" s="195"/>
      <c r="C134" s="195"/>
      <c r="D134" s="195"/>
      <c r="E134" s="195"/>
      <c r="F134" s="195"/>
      <c r="G134" s="195"/>
      <c r="H134" s="223"/>
    </row>
    <row r="135" spans="2:8">
      <c r="B135" s="195"/>
      <c r="C135" s="195"/>
      <c r="D135" s="195"/>
      <c r="E135" s="195"/>
      <c r="F135" s="195"/>
      <c r="G135" s="195"/>
      <c r="H135" s="223"/>
    </row>
    <row r="136" spans="2:8">
      <c r="B136" s="195"/>
      <c r="C136" s="195"/>
      <c r="D136" s="195"/>
      <c r="E136" s="195"/>
      <c r="F136" s="195"/>
      <c r="G136" s="195"/>
      <c r="H136" s="223"/>
    </row>
    <row r="137" spans="2:8">
      <c r="B137" s="195"/>
      <c r="C137" s="195"/>
      <c r="D137" s="195"/>
      <c r="E137" s="195"/>
      <c r="F137" s="195"/>
      <c r="G137" s="195"/>
      <c r="H137" s="195"/>
    </row>
    <row r="138" spans="2:8">
      <c r="B138" s="195"/>
      <c r="C138" s="195"/>
      <c r="D138" s="195"/>
      <c r="E138" s="195"/>
      <c r="F138" s="195"/>
      <c r="G138" s="195"/>
      <c r="H138" s="195"/>
    </row>
  </sheetData>
  <customSheetViews>
    <customSheetView guid="{1BA452AD-1A45-4D9C-9666-ADFFA6F2F567}" colorId="22">
      <selection activeCell="A8" sqref="A8"/>
      <rowBreaks count="1" manualBreakCount="1">
        <brk id="62" max="16383" man="1"/>
      </rowBreaks>
      <pageMargins left="0.25" right="0.25" top="0.25" bottom="0.25" header="0" footer="0"/>
      <printOptions horizontalCentered="1" verticalCentered="1"/>
      <pageSetup scale="65" fitToWidth="0" orientation="portrait" r:id="rId1"/>
      <headerFooter alignWithMargins="0"/>
    </customSheetView>
    <customSheetView guid="{EEF7ABD6-0F96-4791-B749-C06F707E7673}" scale="75" colorId="22" showRuler="0" topLeftCell="A20">
      <selection activeCell="H51" sqref="H51"/>
      <rowBreaks count="1" manualBreakCount="1">
        <brk id="62" max="16383" man="1"/>
      </rowBreaks>
      <pageMargins left="0.25" right="0.25" top="0.25" bottom="0.25" header="0" footer="0"/>
      <printOptions horizontalCentered="1" verticalCentered="1"/>
      <pageSetup scale="65" fitToWidth="0" orientation="portrait" r:id="rId2"/>
      <headerFooter alignWithMargins="0"/>
    </customSheetView>
    <customSheetView guid="{A7D7DB3C-AFE6-468E-8C6B-9531F6711497}" scale="60" colorId="22" showPageBreaks="1" printArea="1" view="pageBreakPreview" showRuler="0">
      <selection activeCell="H6" sqref="H6"/>
      <rowBreaks count="1" manualBreakCount="1">
        <brk id="62" max="16383" man="1"/>
      </rowBreaks>
      <pageMargins left="0.25" right="0.25" top="0.25" bottom="0.25" header="0" footer="0"/>
      <printOptions horizontalCentered="1" verticalCentered="1"/>
      <pageSetup scale="65" fitToWidth="0" orientation="portrait" r:id="rId3"/>
      <headerFooter alignWithMargins="0"/>
    </customSheetView>
    <customSheetView guid="{4436FEB5-BFEC-4348-9286-CB706802873E}" scale="60" colorId="22" showPageBreaks="1" printArea="1" view="pageBreakPreview" showRuler="0">
      <selection activeCell="H6" sqref="H6"/>
      <rowBreaks count="1" manualBreakCount="1">
        <brk id="62" max="16383" man="1"/>
      </rowBreaks>
      <pageMargins left="0.25" right="0.25" top="0.25" bottom="0.25" header="0" footer="0"/>
      <printOptions horizontalCentered="1" verticalCentered="1"/>
      <pageSetup scale="65" fitToWidth="0" orientation="portrait" r:id="rId4"/>
      <headerFooter alignWithMargins="0"/>
    </customSheetView>
    <customSheetView guid="{044CF00C-469F-44B3-B2C4-9B4049CE70CB}" scale="75" colorId="22" showRuler="0" topLeftCell="A22">
      <selection activeCell="H38" sqref="H38"/>
      <rowBreaks count="1" manualBreakCount="1">
        <brk id="62" max="16383" man="1"/>
      </rowBreaks>
      <pageMargins left="0.25" right="0.25" top="0.25" bottom="0.25" header="0" footer="0"/>
      <printOptions horizontalCentered="1" verticalCentered="1"/>
      <pageSetup scale="65" fitToWidth="0" orientation="portrait" r:id="rId5"/>
      <headerFooter alignWithMargins="0"/>
    </customSheetView>
    <customSheetView guid="{4826FCC0-BDD6-4B2C-ACC6-ACE271DDF0E3}" scale="75" colorId="22" showRuler="0" topLeftCell="A83">
      <selection activeCell="D31" sqref="D31"/>
      <rowBreaks count="1" manualBreakCount="1">
        <brk id="62" max="16383" man="1"/>
      </rowBreaks>
      <pageMargins left="0.25" right="0.25" top="0.25" bottom="0.25" header="0" footer="0"/>
      <printOptions horizontalCentered="1" verticalCentered="1"/>
      <pageSetup scale="65" fitToWidth="0" orientation="portrait" r:id="rId6"/>
      <headerFooter alignWithMargins="0"/>
    </customSheetView>
    <customSheetView guid="{EF376D10-23D6-4FE2-AB5B-4460D52CC93F}" scale="75" colorId="22" showRuler="0" topLeftCell="A83">
      <selection activeCell="D31" sqref="D31"/>
      <rowBreaks count="1" manualBreakCount="1">
        <brk id="62" max="16383" man="1"/>
      </rowBreaks>
      <pageMargins left="0.25" right="0.25" top="0.25" bottom="0.25" header="0" footer="0"/>
      <printOptions horizontalCentered="1" verticalCentered="1"/>
      <pageSetup scale="65" fitToWidth="0" orientation="portrait" r:id="rId7"/>
      <headerFooter alignWithMargins="0"/>
    </customSheetView>
    <customSheetView guid="{1C046605-15CE-44F1-BFCD-2CA8588E7ACF}" scale="75" colorId="22" showRuler="0" topLeftCell="A16">
      <selection activeCell="C104" sqref="C104"/>
      <rowBreaks count="1" manualBreakCount="1">
        <brk id="62" max="16383" man="1"/>
      </rowBreaks>
      <pageMargins left="0.25" right="0.25" top="0.25" bottom="0.25" header="0" footer="0"/>
      <printOptions horizontalCentered="1" verticalCentered="1"/>
      <pageSetup scale="65" fitToWidth="0" orientation="portrait" r:id="rId8"/>
      <headerFooter alignWithMargins="0"/>
    </customSheetView>
    <customSheetView guid="{3911D713-188C-46A1-A299-F21DD3B7A146}" scale="75" colorId="22" showRuler="0" topLeftCell="A16">
      <selection activeCell="C104" sqref="C104"/>
      <rowBreaks count="1" manualBreakCount="1">
        <brk id="62" max="16383" man="1"/>
      </rowBreaks>
      <pageMargins left="0.25" right="0.25" top="0.25" bottom="0.25" header="0" footer="0"/>
      <printOptions horizontalCentered="1" verticalCentered="1"/>
      <pageSetup scale="65" fitToWidth="0" orientation="portrait" r:id="rId9"/>
      <headerFooter alignWithMargins="0"/>
    </customSheetView>
    <customSheetView guid="{78BB1E60-60BE-4F56-9763-075185EFEFAB}" colorId="22">
      <selection activeCell="A8" sqref="A8"/>
      <rowBreaks count="1" manualBreakCount="1">
        <brk id="62" max="16383" man="1"/>
      </rowBreaks>
      <pageMargins left="0.25" right="0.25" top="0.25" bottom="0.25" header="0" footer="0"/>
      <printOptions horizontalCentered="1" verticalCentered="1"/>
      <pageSetup scale="65" fitToWidth="0" orientation="portrait" r:id="rId10"/>
      <headerFooter alignWithMargins="0"/>
    </customSheetView>
    <customSheetView guid="{9C30803E-1E2D-4850-B0A5-591CA6F246A1}" colorId="22" topLeftCell="A37">
      <selection activeCell="A8" sqref="A8"/>
      <rowBreaks count="1" manualBreakCount="1">
        <brk id="62" max="16383" man="1"/>
      </rowBreaks>
      <pageMargins left="0.25" right="0.25" top="0.25" bottom="0.25" header="0" footer="0"/>
      <printOptions horizontalCentered="1" verticalCentered="1"/>
      <pageSetup scale="65" fitToWidth="0" orientation="portrait" r:id="rId11"/>
      <headerFooter alignWithMargins="0"/>
    </customSheetView>
    <customSheetView guid="{3B1006FF-A2CA-49E7-9B25-DAC8815279AF}" colorId="22" topLeftCell="A37">
      <selection activeCell="A8" sqref="A8"/>
      <rowBreaks count="1" manualBreakCount="1">
        <brk id="62" max="16383" man="1"/>
      </rowBreaks>
      <pageMargins left="0.25" right="0.25" top="0.25" bottom="0.25" header="0" footer="0"/>
      <printOptions horizontalCentered="1" verticalCentered="1"/>
      <pageSetup scale="65" fitToWidth="0" orientation="portrait" r:id="rId12"/>
      <headerFooter alignWithMargins="0"/>
    </customSheetView>
    <customSheetView guid="{FB1A60C8-E1F9-4DF0-8E0E-1C965F86027F}" colorId="22" topLeftCell="A10">
      <selection activeCell="H38" sqref="H38"/>
      <rowBreaks count="1" manualBreakCount="1">
        <brk id="62" max="16383" man="1"/>
      </rowBreaks>
      <pageMargins left="0.25" right="0.25" top="0.25" bottom="0.25" header="0" footer="0"/>
      <printOptions horizontalCentered="1" verticalCentered="1"/>
      <pageSetup scale="65" fitToWidth="0" orientation="portrait" r:id="rId13"/>
      <headerFooter alignWithMargins="0"/>
    </customSheetView>
    <customSheetView guid="{C5B6D812-CBE6-46AA-99F7-02494E9802B4}" scale="70" colorId="22" topLeftCell="A77">
      <selection activeCell="G94" sqref="G94"/>
      <rowBreaks count="1" manualBreakCount="1">
        <brk id="62" max="16383" man="1"/>
      </rowBreaks>
      <pageMargins left="0.25" right="0.25" top="0.25" bottom="0.25" header="0" footer="0"/>
      <printOptions horizontalCentered="1" verticalCentered="1"/>
      <pageSetup scale="65" fitToWidth="0" orientation="portrait" r:id="rId14"/>
      <headerFooter alignWithMargins="0"/>
    </customSheetView>
  </customSheetViews>
  <phoneticPr fontId="0" type="noConversion"/>
  <printOptions horizontalCentered="1" verticalCentered="1"/>
  <pageMargins left="0.25" right="0.25" top="0.25" bottom="0.25" header="0" footer="0"/>
  <pageSetup scale="65" fitToWidth="0" orientation="portrait" r:id="rId15"/>
  <headerFooter alignWithMargins="0"/>
  <rowBreaks count="1" manualBreakCount="1">
    <brk id="62" max="16383" man="1"/>
  </rowBreaks>
  <customProperties>
    <customPr name="_pios_id" r:id="rId16"/>
  </customProperties>
</worksheet>
</file>

<file path=xl/worksheets/sheet17.xml><?xml version="1.0" encoding="utf-8"?>
<worksheet xmlns="http://schemas.openxmlformats.org/spreadsheetml/2006/main" xmlns:r="http://schemas.openxmlformats.org/officeDocument/2006/relationships">
  <sheetPr transitionEvaluation="1" codeName="Sheet17" enableFormatConditionsCalculation="0"/>
  <dimension ref="A1:G138"/>
  <sheetViews>
    <sheetView defaultGridColor="0" colorId="22" zoomScale="70" zoomScaleNormal="70" workbookViewId="0"/>
  </sheetViews>
  <sheetFormatPr defaultColWidth="9.77734375" defaultRowHeight="15"/>
  <cols>
    <col min="1" max="1" width="4.77734375" customWidth="1"/>
    <col min="2" max="2" width="51.21875" customWidth="1"/>
    <col min="3" max="3" width="21.77734375" customWidth="1"/>
    <col min="4" max="4" width="12.77734375" customWidth="1"/>
    <col min="5" max="5" width="18.77734375" customWidth="1"/>
  </cols>
  <sheetData>
    <row r="1" spans="1:7" ht="15.75" thickBot="1">
      <c r="A1" s="48" t="str">
        <f>'Data sheet'!$A$63</f>
        <v>Annual Report of New York American Water Company, Inc. (f/k/a Long Island Water Corp)                                    Year Ended  December 31, 2013</v>
      </c>
      <c r="B1" s="195"/>
      <c r="C1" s="195"/>
      <c r="D1" s="195"/>
      <c r="E1" s="195"/>
    </row>
    <row r="2" spans="1:7" ht="15.75">
      <c r="A2" s="372"/>
      <c r="B2" s="373" t="s">
        <v>1092</v>
      </c>
      <c r="C2" s="337"/>
      <c r="D2" s="337"/>
      <c r="E2" s="374"/>
    </row>
    <row r="3" spans="1:7">
      <c r="A3" s="183"/>
      <c r="B3" s="195"/>
      <c r="C3" s="195"/>
      <c r="D3" s="320"/>
      <c r="E3" s="338"/>
    </row>
    <row r="4" spans="1:7">
      <c r="A4" s="341"/>
      <c r="B4" s="971" t="s">
        <v>1093</v>
      </c>
      <c r="C4" s="971" t="s">
        <v>223</v>
      </c>
      <c r="D4" s="343"/>
      <c r="E4" s="344"/>
    </row>
    <row r="5" spans="1:7">
      <c r="A5" s="183"/>
      <c r="B5" s="209" t="s">
        <v>224</v>
      </c>
      <c r="C5" s="209" t="s">
        <v>2585</v>
      </c>
      <c r="D5" s="11"/>
      <c r="E5" s="178"/>
    </row>
    <row r="6" spans="1:7">
      <c r="A6" s="183"/>
      <c r="B6" s="209" t="s">
        <v>2586</v>
      </c>
      <c r="C6" s="209" t="s">
        <v>2587</v>
      </c>
      <c r="D6" s="11"/>
      <c r="E6" s="178"/>
    </row>
    <row r="7" spans="1:7">
      <c r="A7" s="183"/>
      <c r="B7" s="209" t="s">
        <v>2588</v>
      </c>
      <c r="C7" s="209" t="s">
        <v>3450</v>
      </c>
      <c r="D7" s="11"/>
      <c r="E7" s="345"/>
    </row>
    <row r="8" spans="1:7">
      <c r="A8" s="183"/>
      <c r="B8" s="209" t="s">
        <v>3451</v>
      </c>
      <c r="C8" s="209" t="s">
        <v>3452</v>
      </c>
      <c r="D8" s="11"/>
      <c r="E8" s="178"/>
    </row>
    <row r="9" spans="1:7">
      <c r="A9" s="183"/>
      <c r="B9" s="209" t="s">
        <v>3453</v>
      </c>
      <c r="C9" s="209" t="s">
        <v>3454</v>
      </c>
      <c r="D9" s="11"/>
      <c r="E9" s="178"/>
    </row>
    <row r="10" spans="1:7">
      <c r="A10" s="183"/>
      <c r="B10" s="209" t="s">
        <v>1202</v>
      </c>
      <c r="C10" s="209"/>
      <c r="D10" s="11"/>
      <c r="E10" s="321"/>
    </row>
    <row r="11" spans="1:7">
      <c r="A11" s="183"/>
      <c r="B11" s="209"/>
      <c r="C11" s="209"/>
      <c r="D11" s="11"/>
      <c r="E11" s="321"/>
    </row>
    <row r="12" spans="1:7">
      <c r="A12" s="183"/>
      <c r="B12" s="209" t="s">
        <v>1203</v>
      </c>
      <c r="C12" s="209"/>
      <c r="D12" s="11"/>
      <c r="E12" s="321"/>
    </row>
    <row r="13" spans="1:7">
      <c r="A13" s="183"/>
      <c r="B13" s="209" t="s">
        <v>1204</v>
      </c>
      <c r="C13" s="209"/>
      <c r="D13" s="11"/>
      <c r="E13" s="321"/>
    </row>
    <row r="14" spans="1:7">
      <c r="A14" s="183"/>
      <c r="B14" s="209"/>
      <c r="C14" s="209"/>
      <c r="D14" s="11"/>
      <c r="E14" s="321"/>
      <c r="G14" s="230"/>
    </row>
    <row r="15" spans="1:7">
      <c r="A15" s="815" t="s">
        <v>1129</v>
      </c>
      <c r="B15" s="342" t="s">
        <v>1762</v>
      </c>
      <c r="C15" s="342"/>
      <c r="D15" s="375"/>
      <c r="E15" s="356" t="s">
        <v>3140</v>
      </c>
    </row>
    <row r="16" spans="1:7">
      <c r="A16" s="296" t="s">
        <v>3324</v>
      </c>
      <c r="B16" s="180" t="s">
        <v>4032</v>
      </c>
      <c r="C16" s="180"/>
      <c r="D16" s="180"/>
      <c r="E16" s="330" t="s">
        <v>4033</v>
      </c>
    </row>
    <row r="17" spans="1:5" ht="15.75">
      <c r="A17" s="199">
        <v>1</v>
      </c>
      <c r="B17" s="852" t="s">
        <v>3141</v>
      </c>
      <c r="C17" s="180"/>
      <c r="D17" s="1955"/>
      <c r="E17" s="1956"/>
    </row>
    <row r="18" spans="1:5">
      <c r="A18" s="199">
        <v>2</v>
      </c>
      <c r="B18" s="852" t="s">
        <v>3142</v>
      </c>
      <c r="C18" s="180"/>
      <c r="D18" s="1955"/>
      <c r="E18" s="300">
        <v>5681882</v>
      </c>
    </row>
    <row r="19" spans="1:5">
      <c r="A19" s="199">
        <v>3</v>
      </c>
      <c r="B19" s="852" t="s">
        <v>3143</v>
      </c>
      <c r="C19" s="180"/>
      <c r="D19" s="1955"/>
      <c r="E19" s="376"/>
    </row>
    <row r="20" spans="1:5">
      <c r="A20" s="199">
        <v>4</v>
      </c>
      <c r="B20" s="852" t="s">
        <v>3144</v>
      </c>
      <c r="C20" s="180"/>
      <c r="D20" s="1955"/>
      <c r="E20" s="302">
        <v>4456426</v>
      </c>
    </row>
    <row r="21" spans="1:5">
      <c r="A21" s="199">
        <v>5</v>
      </c>
      <c r="B21" s="852" t="s">
        <v>1145</v>
      </c>
      <c r="C21" s="180"/>
      <c r="D21" s="193"/>
      <c r="E21" s="302"/>
    </row>
    <row r="22" spans="1:5">
      <c r="A22" s="199">
        <v>6</v>
      </c>
      <c r="B22" s="852" t="s">
        <v>5328</v>
      </c>
      <c r="C22" s="180"/>
      <c r="D22" s="193"/>
      <c r="E22" s="302">
        <v>105638</v>
      </c>
    </row>
    <row r="23" spans="1:5">
      <c r="A23" s="199">
        <v>7</v>
      </c>
      <c r="B23" s="852" t="s">
        <v>5210</v>
      </c>
      <c r="C23" s="180"/>
      <c r="D23" s="193"/>
      <c r="E23" s="302">
        <v>110217</v>
      </c>
    </row>
    <row r="24" spans="1:5">
      <c r="A24" s="199">
        <v>8</v>
      </c>
      <c r="B24" s="852" t="s">
        <v>1146</v>
      </c>
      <c r="C24" s="180"/>
      <c r="D24" s="193"/>
      <c r="E24" s="302">
        <v>7199127</v>
      </c>
    </row>
    <row r="25" spans="1:5">
      <c r="A25" s="199">
        <v>9</v>
      </c>
      <c r="B25" s="852" t="s">
        <v>2501</v>
      </c>
      <c r="C25" s="180"/>
      <c r="D25" s="193"/>
      <c r="E25" s="1627">
        <v>-15000</v>
      </c>
    </row>
    <row r="26" spans="1:5">
      <c r="A26" s="199">
        <v>10</v>
      </c>
      <c r="B26" s="852" t="s">
        <v>2526</v>
      </c>
      <c r="C26" s="180"/>
      <c r="D26" s="193"/>
      <c r="E26" s="302">
        <v>-985358</v>
      </c>
    </row>
    <row r="27" spans="1:5">
      <c r="A27" s="199">
        <v>11</v>
      </c>
      <c r="B27" s="852" t="s">
        <v>3585</v>
      </c>
      <c r="C27" s="180"/>
      <c r="D27" s="193"/>
      <c r="E27" s="302">
        <v>304859</v>
      </c>
    </row>
    <row r="28" spans="1:5">
      <c r="A28" s="199">
        <v>12</v>
      </c>
      <c r="B28" s="852" t="s">
        <v>3438</v>
      </c>
      <c r="C28" s="180"/>
      <c r="D28" s="193"/>
      <c r="E28" s="302">
        <v>-1326218</v>
      </c>
    </row>
    <row r="29" spans="1:5">
      <c r="A29" s="199">
        <v>13</v>
      </c>
      <c r="B29" s="852" t="s">
        <v>2527</v>
      </c>
      <c r="C29" s="180"/>
      <c r="D29" s="193"/>
      <c r="E29" s="377"/>
    </row>
    <row r="30" spans="1:5">
      <c r="A30" s="199">
        <v>14</v>
      </c>
      <c r="B30" s="852" t="s">
        <v>2528</v>
      </c>
      <c r="C30" s="180"/>
      <c r="D30" s="193"/>
      <c r="E30" s="376"/>
    </row>
    <row r="31" spans="1:5">
      <c r="A31" s="199">
        <v>15</v>
      </c>
      <c r="B31" s="852" t="s">
        <v>4419</v>
      </c>
      <c r="C31" s="180"/>
      <c r="D31" s="193"/>
      <c r="E31" s="302">
        <v>-1314574</v>
      </c>
    </row>
    <row r="32" spans="1:5">
      <c r="A32" s="199">
        <v>16</v>
      </c>
      <c r="B32" s="852" t="s">
        <v>1663</v>
      </c>
      <c r="C32" s="180"/>
      <c r="D32" s="193"/>
      <c r="E32" s="302"/>
    </row>
    <row r="33" spans="1:5">
      <c r="A33" s="199">
        <v>17</v>
      </c>
      <c r="B33" s="852" t="s">
        <v>1664</v>
      </c>
      <c r="C33" s="180"/>
      <c r="D33" s="193"/>
      <c r="E33" s="302"/>
    </row>
    <row r="34" spans="1:5">
      <c r="A34" s="199">
        <v>18</v>
      </c>
      <c r="B34" s="852" t="s">
        <v>5212</v>
      </c>
      <c r="C34" s="180"/>
      <c r="D34" s="193"/>
      <c r="E34" s="302">
        <f>-6145390+15000-540460-2</f>
        <v>-6670852</v>
      </c>
    </row>
    <row r="35" spans="1:5">
      <c r="A35" s="199">
        <v>19</v>
      </c>
      <c r="B35" s="852" t="s">
        <v>5211</v>
      </c>
      <c r="C35" s="180"/>
      <c r="D35" s="193"/>
      <c r="E35" s="302">
        <v>284171</v>
      </c>
    </row>
    <row r="36" spans="1:5">
      <c r="A36" s="199">
        <v>20</v>
      </c>
      <c r="B36" s="852"/>
      <c r="C36" s="180"/>
      <c r="D36" s="193"/>
      <c r="E36" s="302"/>
    </row>
    <row r="37" spans="1:5">
      <c r="A37" s="199">
        <v>21</v>
      </c>
      <c r="B37" s="852" t="s">
        <v>3348</v>
      </c>
      <c r="C37" s="180"/>
      <c r="D37" s="193"/>
      <c r="E37" s="302">
        <f>E18+SUM(E20:E30)+E31-E32+SUM(E33:E36)</f>
        <v>7830318</v>
      </c>
    </row>
    <row r="38" spans="1:5">
      <c r="A38" s="199">
        <v>22</v>
      </c>
      <c r="B38" s="852"/>
      <c r="C38" s="180"/>
      <c r="D38" s="193"/>
      <c r="E38" s="302"/>
    </row>
    <row r="39" spans="1:5">
      <c r="A39" s="199">
        <v>23</v>
      </c>
      <c r="B39" s="852" t="s">
        <v>1331</v>
      </c>
      <c r="C39" s="180"/>
      <c r="D39" s="193"/>
      <c r="E39" s="302"/>
    </row>
    <row r="40" spans="1:5">
      <c r="A40" s="199">
        <v>24</v>
      </c>
      <c r="B40" s="852" t="s">
        <v>1332</v>
      </c>
      <c r="C40" s="180"/>
      <c r="D40" s="193"/>
      <c r="E40" s="302"/>
    </row>
    <row r="41" spans="1:5">
      <c r="A41" s="199">
        <v>25</v>
      </c>
      <c r="B41" s="852" t="s">
        <v>1333</v>
      </c>
      <c r="C41" s="180"/>
      <c r="D41" s="193"/>
      <c r="E41" s="302">
        <v>-21720826</v>
      </c>
    </row>
    <row r="42" spans="1:5">
      <c r="A42" s="199">
        <v>26</v>
      </c>
      <c r="B42" s="852" t="s">
        <v>1334</v>
      </c>
      <c r="C42" s="180"/>
      <c r="D42" s="193"/>
      <c r="E42" s="302"/>
    </row>
    <row r="43" spans="1:5">
      <c r="A43" s="199">
        <v>27</v>
      </c>
      <c r="B43" s="852" t="s">
        <v>1414</v>
      </c>
      <c r="C43" s="180"/>
      <c r="D43" s="193"/>
      <c r="E43" s="302"/>
    </row>
    <row r="44" spans="1:5">
      <c r="A44" s="199">
        <v>28</v>
      </c>
      <c r="B44" s="852" t="s">
        <v>4419</v>
      </c>
      <c r="C44" s="180"/>
      <c r="D44" s="193"/>
      <c r="E44" s="302">
        <v>1314574</v>
      </c>
    </row>
    <row r="45" spans="1:5">
      <c r="A45" s="199">
        <v>29</v>
      </c>
      <c r="B45" s="852" t="s">
        <v>1664</v>
      </c>
      <c r="C45" s="180"/>
      <c r="D45" s="193"/>
      <c r="E45" s="302"/>
    </row>
    <row r="46" spans="1:5">
      <c r="A46" s="199">
        <v>30</v>
      </c>
      <c r="B46" s="852"/>
      <c r="C46" s="180"/>
      <c r="D46" s="193"/>
      <c r="E46" s="302"/>
    </row>
    <row r="47" spans="1:5">
      <c r="A47" s="199">
        <v>31</v>
      </c>
      <c r="B47" s="852"/>
      <c r="C47" s="180"/>
      <c r="D47" s="193"/>
      <c r="E47" s="302"/>
    </row>
    <row r="48" spans="1:5">
      <c r="A48" s="199">
        <v>32</v>
      </c>
      <c r="B48" s="852" t="s">
        <v>308</v>
      </c>
      <c r="C48" s="180"/>
      <c r="D48" s="193"/>
      <c r="E48" s="302">
        <f>SUM(E40:E47)</f>
        <v>-20406252</v>
      </c>
    </row>
    <row r="49" spans="1:5">
      <c r="A49" s="199">
        <v>33</v>
      </c>
      <c r="B49" s="852"/>
      <c r="C49" s="180"/>
      <c r="D49" s="193"/>
      <c r="E49" s="376"/>
    </row>
    <row r="50" spans="1:5">
      <c r="A50" s="199">
        <v>34</v>
      </c>
      <c r="B50" s="852" t="s">
        <v>309</v>
      </c>
      <c r="C50" s="180"/>
      <c r="D50" s="193"/>
      <c r="E50" s="302"/>
    </row>
    <row r="51" spans="1:5">
      <c r="A51" s="199">
        <v>35</v>
      </c>
      <c r="B51" s="852" t="s">
        <v>754</v>
      </c>
      <c r="C51" s="180"/>
      <c r="D51" s="193"/>
      <c r="E51" s="302"/>
    </row>
    <row r="52" spans="1:5">
      <c r="A52" s="199">
        <v>36</v>
      </c>
      <c r="B52" s="852"/>
      <c r="C52" s="180"/>
      <c r="D52" s="193"/>
      <c r="E52" s="302"/>
    </row>
    <row r="53" spans="1:5">
      <c r="A53" s="199">
        <v>37</v>
      </c>
      <c r="B53" s="852" t="s">
        <v>2602</v>
      </c>
      <c r="C53" s="180"/>
      <c r="D53" s="193"/>
      <c r="E53" s="302"/>
    </row>
    <row r="54" spans="1:5">
      <c r="A54" s="199">
        <v>38</v>
      </c>
      <c r="B54" s="852" t="s">
        <v>3737</v>
      </c>
      <c r="C54" s="180"/>
      <c r="D54" s="193"/>
      <c r="E54" s="302">
        <v>-47000</v>
      </c>
    </row>
    <row r="55" spans="1:5">
      <c r="A55" s="199">
        <v>39</v>
      </c>
      <c r="B55" s="852" t="s">
        <v>2083</v>
      </c>
      <c r="C55" s="180"/>
      <c r="D55" s="193"/>
      <c r="E55" s="376"/>
    </row>
    <row r="56" spans="1:5">
      <c r="A56" s="199">
        <v>40</v>
      </c>
      <c r="B56" s="852" t="s">
        <v>2084</v>
      </c>
      <c r="C56" s="180"/>
      <c r="D56" s="193"/>
      <c r="E56" s="302"/>
    </row>
    <row r="57" spans="1:5">
      <c r="A57" s="199">
        <v>41</v>
      </c>
      <c r="B57" s="852"/>
      <c r="C57" s="180"/>
      <c r="D57" s="193"/>
      <c r="E57" s="302"/>
    </row>
    <row r="58" spans="1:5">
      <c r="A58" s="199">
        <v>42</v>
      </c>
      <c r="B58" s="852" t="s">
        <v>2336</v>
      </c>
      <c r="C58" s="180"/>
      <c r="D58" s="193"/>
      <c r="E58" s="302"/>
    </row>
    <row r="59" spans="1:5" ht="15.75" thickBot="1">
      <c r="A59" s="210">
        <v>43</v>
      </c>
      <c r="B59" s="211" t="s">
        <v>3950</v>
      </c>
      <c r="C59" s="226"/>
      <c r="D59" s="214"/>
      <c r="E59" s="312"/>
    </row>
    <row r="60" spans="1:5">
      <c r="A60" s="195" t="s">
        <v>4066</v>
      </c>
      <c r="B60" s="195"/>
      <c r="C60" s="177"/>
      <c r="D60" s="195"/>
      <c r="E60" s="223"/>
    </row>
    <row r="61" spans="1:5">
      <c r="A61" s="177" t="s">
        <v>3951</v>
      </c>
      <c r="B61" s="131"/>
      <c r="C61" s="177"/>
      <c r="D61" s="177"/>
      <c r="E61" s="229"/>
    </row>
    <row r="62" spans="1:5" ht="15.75" thickBot="1">
      <c r="A62" s="48" t="str">
        <f>'Data sheet'!$A$63</f>
        <v>Annual Report of New York American Water Company, Inc. (f/k/a Long Island Water Corp)                                    Year Ended  December 31, 2013</v>
      </c>
      <c r="B62" s="195"/>
      <c r="C62" s="195"/>
      <c r="D62" s="195"/>
      <c r="E62" s="223"/>
    </row>
    <row r="63" spans="1:5">
      <c r="A63" s="173"/>
      <c r="B63" s="174"/>
      <c r="C63" s="174"/>
      <c r="D63" s="174"/>
      <c r="E63" s="175"/>
    </row>
    <row r="64" spans="1:5" ht="15.75">
      <c r="A64" s="182"/>
      <c r="B64" s="313" t="s">
        <v>3952</v>
      </c>
      <c r="C64" s="177"/>
      <c r="D64" s="177"/>
      <c r="E64" s="178"/>
    </row>
    <row r="65" spans="1:5">
      <c r="A65" s="183"/>
      <c r="B65" s="195"/>
      <c r="C65" s="195"/>
      <c r="D65" s="320"/>
      <c r="E65" s="338"/>
    </row>
    <row r="66" spans="1:5">
      <c r="A66" s="341"/>
      <c r="B66" s="971" t="s">
        <v>3953</v>
      </c>
      <c r="C66" s="971" t="s">
        <v>3954</v>
      </c>
      <c r="D66" s="343"/>
      <c r="E66" s="344"/>
    </row>
    <row r="67" spans="1:5">
      <c r="A67" s="183"/>
      <c r="B67" s="209" t="s">
        <v>3226</v>
      </c>
      <c r="C67" s="209" t="s">
        <v>434</v>
      </c>
      <c r="D67" s="11"/>
      <c r="E67" s="178"/>
    </row>
    <row r="68" spans="1:5">
      <c r="A68" s="183"/>
      <c r="B68" s="209" t="s">
        <v>435</v>
      </c>
      <c r="C68" s="209" t="s">
        <v>3154</v>
      </c>
      <c r="D68" s="11"/>
      <c r="E68" s="178"/>
    </row>
    <row r="69" spans="1:5">
      <c r="A69" s="183"/>
      <c r="B69" s="209" t="s">
        <v>2264</v>
      </c>
      <c r="C69" s="209" t="s">
        <v>2265</v>
      </c>
      <c r="D69" s="11"/>
      <c r="E69" s="345"/>
    </row>
    <row r="70" spans="1:5">
      <c r="A70" s="183"/>
      <c r="B70" s="209"/>
      <c r="C70" s="209" t="s">
        <v>1954</v>
      </c>
      <c r="D70" s="11"/>
      <c r="E70" s="178"/>
    </row>
    <row r="71" spans="1:5">
      <c r="A71" s="183"/>
      <c r="B71" s="209"/>
      <c r="C71" s="209" t="s">
        <v>1955</v>
      </c>
      <c r="D71" s="11"/>
      <c r="E71" s="178"/>
    </row>
    <row r="72" spans="1:5">
      <c r="A72" s="183"/>
      <c r="B72" s="209"/>
      <c r="C72" s="209" t="s">
        <v>1956</v>
      </c>
      <c r="D72" s="11"/>
      <c r="E72" s="321"/>
    </row>
    <row r="73" spans="1:5">
      <c r="A73" s="183"/>
      <c r="B73" s="209"/>
      <c r="C73" s="209"/>
      <c r="D73" s="11"/>
      <c r="E73" s="321"/>
    </row>
    <row r="74" spans="1:5">
      <c r="A74" s="183"/>
      <c r="B74" s="209"/>
      <c r="C74" s="209"/>
      <c r="D74" s="11"/>
      <c r="E74" s="321"/>
    </row>
    <row r="75" spans="1:5">
      <c r="A75" s="183"/>
      <c r="B75" s="209"/>
      <c r="C75" s="209"/>
      <c r="D75" s="11"/>
      <c r="E75" s="321"/>
    </row>
    <row r="76" spans="1:5">
      <c r="A76" s="187"/>
      <c r="B76" s="852"/>
      <c r="C76" s="852"/>
      <c r="D76" s="293"/>
      <c r="E76" s="323"/>
    </row>
    <row r="77" spans="1:5">
      <c r="A77" s="295" t="s">
        <v>1129</v>
      </c>
      <c r="B77" s="177" t="s">
        <v>2302</v>
      </c>
      <c r="C77" s="177"/>
      <c r="D77" s="131"/>
      <c r="E77" s="208" t="s">
        <v>3140</v>
      </c>
    </row>
    <row r="78" spans="1:5">
      <c r="A78" s="296" t="s">
        <v>3324</v>
      </c>
      <c r="B78" s="180" t="s">
        <v>4032</v>
      </c>
      <c r="C78" s="180"/>
      <c r="D78" s="180"/>
      <c r="E78" s="330" t="s">
        <v>4033</v>
      </c>
    </row>
    <row r="79" spans="1:5">
      <c r="A79" s="199">
        <v>44</v>
      </c>
      <c r="B79" s="852" t="s">
        <v>2668</v>
      </c>
      <c r="C79" s="180"/>
      <c r="D79" s="1955"/>
      <c r="E79" s="300"/>
    </row>
    <row r="80" spans="1:5">
      <c r="A80" s="199">
        <v>45</v>
      </c>
      <c r="B80" s="852" t="s">
        <v>1644</v>
      </c>
      <c r="C80" s="180"/>
      <c r="D80" s="1955"/>
      <c r="E80" s="302"/>
    </row>
    <row r="81" spans="1:5">
      <c r="A81" s="199">
        <v>46</v>
      </c>
      <c r="B81" s="852"/>
      <c r="C81" s="180"/>
      <c r="D81" s="1955"/>
      <c r="E81" s="302"/>
    </row>
    <row r="82" spans="1:5">
      <c r="A82" s="199">
        <v>47</v>
      </c>
      <c r="B82" s="852" t="s">
        <v>1088</v>
      </c>
      <c r="C82" s="180"/>
      <c r="D82" s="1955"/>
      <c r="E82" s="302"/>
    </row>
    <row r="83" spans="1:5">
      <c r="A83" s="199">
        <v>48</v>
      </c>
      <c r="B83" s="852" t="s">
        <v>2759</v>
      </c>
      <c r="C83" s="180"/>
      <c r="D83" s="193"/>
      <c r="E83" s="302"/>
    </row>
    <row r="84" spans="1:5">
      <c r="A84" s="199">
        <v>49</v>
      </c>
      <c r="B84" s="852" t="s">
        <v>1747</v>
      </c>
      <c r="C84" s="180"/>
      <c r="D84" s="193"/>
      <c r="E84" s="302"/>
    </row>
    <row r="85" spans="1:5">
      <c r="A85" s="199">
        <v>50</v>
      </c>
      <c r="B85" s="852" t="s">
        <v>3439</v>
      </c>
      <c r="C85" s="180"/>
      <c r="D85" s="193"/>
      <c r="E85" s="302"/>
    </row>
    <row r="86" spans="1:5">
      <c r="A86" s="199">
        <v>51</v>
      </c>
      <c r="B86" s="852"/>
      <c r="C86" s="180"/>
      <c r="D86" s="193"/>
      <c r="E86" s="302"/>
    </row>
    <row r="87" spans="1:5">
      <c r="A87" s="199">
        <v>52</v>
      </c>
      <c r="B87" s="852"/>
      <c r="C87" s="180"/>
      <c r="D87" s="193"/>
      <c r="E87" s="302"/>
    </row>
    <row r="88" spans="1:5">
      <c r="A88" s="199">
        <v>53</v>
      </c>
      <c r="B88" s="852" t="s">
        <v>2529</v>
      </c>
      <c r="C88" s="180"/>
      <c r="D88" s="193"/>
      <c r="E88" s="376"/>
    </row>
    <row r="89" spans="1:5">
      <c r="A89" s="199">
        <v>54</v>
      </c>
      <c r="B89" s="852" t="s">
        <v>2530</v>
      </c>
      <c r="C89" s="180"/>
      <c r="D89" s="193"/>
      <c r="E89" s="302">
        <f>E48+SUM(E50:E59)+SUM(E79:E87)</f>
        <v>-20453252</v>
      </c>
    </row>
    <row r="90" spans="1:5">
      <c r="A90" s="199">
        <v>55</v>
      </c>
      <c r="B90" s="852"/>
      <c r="C90" s="180"/>
      <c r="D90" s="193"/>
      <c r="E90" s="377"/>
    </row>
    <row r="91" spans="1:5">
      <c r="A91" s="199">
        <v>56</v>
      </c>
      <c r="B91" s="852" t="s">
        <v>2531</v>
      </c>
      <c r="C91" s="180"/>
      <c r="D91" s="193"/>
      <c r="E91" s="377"/>
    </row>
    <row r="92" spans="1:5">
      <c r="A92" s="199">
        <v>57</v>
      </c>
      <c r="B92" s="852" t="s">
        <v>1311</v>
      </c>
      <c r="C92" s="180"/>
      <c r="D92" s="193"/>
      <c r="E92" s="377"/>
    </row>
    <row r="93" spans="1:5">
      <c r="A93" s="199">
        <v>58</v>
      </c>
      <c r="B93" s="852" t="s">
        <v>1312</v>
      </c>
      <c r="C93" s="180"/>
      <c r="D93" s="193"/>
      <c r="E93" s="302">
        <v>19520000</v>
      </c>
    </row>
    <row r="94" spans="1:5">
      <c r="A94" s="199">
        <v>59</v>
      </c>
      <c r="B94" s="852" t="s">
        <v>1313</v>
      </c>
      <c r="C94" s="180"/>
      <c r="D94" s="193"/>
      <c r="E94" s="302"/>
    </row>
    <row r="95" spans="1:5">
      <c r="A95" s="199">
        <v>60</v>
      </c>
      <c r="B95" s="852" t="s">
        <v>1314</v>
      </c>
      <c r="C95" s="180"/>
      <c r="D95" s="193"/>
      <c r="E95" s="302"/>
    </row>
    <row r="96" spans="1:5">
      <c r="A96" s="199">
        <v>61</v>
      </c>
      <c r="B96" s="852" t="s">
        <v>1664</v>
      </c>
      <c r="C96" s="180"/>
      <c r="D96" s="193"/>
      <c r="E96" s="302"/>
    </row>
    <row r="97" spans="1:5">
      <c r="A97" s="199">
        <v>62</v>
      </c>
      <c r="B97" s="852"/>
      <c r="C97" s="180"/>
      <c r="D97" s="193"/>
      <c r="E97" s="302"/>
    </row>
    <row r="98" spans="1:5">
      <c r="A98" s="199">
        <v>63</v>
      </c>
      <c r="B98" s="852" t="s">
        <v>960</v>
      </c>
      <c r="C98" s="180"/>
      <c r="D98" s="193"/>
      <c r="E98" s="302"/>
    </row>
    <row r="99" spans="1:5">
      <c r="A99" s="199">
        <v>64</v>
      </c>
      <c r="B99" s="852" t="s">
        <v>1664</v>
      </c>
      <c r="C99" s="180"/>
      <c r="D99" s="193"/>
      <c r="E99" s="302"/>
    </row>
    <row r="100" spans="1:5">
      <c r="A100" s="199">
        <v>65</v>
      </c>
      <c r="B100" s="852"/>
      <c r="C100" s="180"/>
      <c r="D100" s="193"/>
      <c r="E100" s="302"/>
    </row>
    <row r="101" spans="1:5">
      <c r="A101" s="199">
        <v>66</v>
      </c>
      <c r="B101" s="852"/>
      <c r="C101" s="180"/>
      <c r="D101" s="193"/>
      <c r="E101" s="302"/>
    </row>
    <row r="102" spans="1:5">
      <c r="A102" s="199">
        <v>67</v>
      </c>
      <c r="B102" s="852" t="s">
        <v>2840</v>
      </c>
      <c r="C102" s="180"/>
      <c r="D102" s="193"/>
      <c r="E102" s="302">
        <f>SUM(E93:E101)</f>
        <v>19520000</v>
      </c>
    </row>
    <row r="103" spans="1:5">
      <c r="A103" s="199">
        <v>68</v>
      </c>
      <c r="B103" s="852"/>
      <c r="C103" s="180"/>
      <c r="D103" s="193"/>
      <c r="E103" s="302"/>
    </row>
    <row r="104" spans="1:5">
      <c r="A104" s="199">
        <v>69</v>
      </c>
      <c r="B104" s="852" t="s">
        <v>2841</v>
      </c>
      <c r="C104" s="180"/>
      <c r="D104" s="193"/>
      <c r="E104" s="376"/>
    </row>
    <row r="105" spans="1:5">
      <c r="A105" s="199">
        <v>70</v>
      </c>
      <c r="B105" s="852" t="s">
        <v>2842</v>
      </c>
      <c r="C105" s="180"/>
      <c r="D105" s="193"/>
      <c r="E105" s="302"/>
    </row>
    <row r="106" spans="1:5">
      <c r="A106" s="199">
        <v>71</v>
      </c>
      <c r="B106" s="852" t="s">
        <v>1313</v>
      </c>
      <c r="C106" s="180"/>
      <c r="D106" s="193"/>
      <c r="E106" s="302"/>
    </row>
    <row r="107" spans="1:5">
      <c r="A107" s="199">
        <v>72</v>
      </c>
      <c r="B107" s="852" t="s">
        <v>1314</v>
      </c>
      <c r="C107" s="180"/>
      <c r="D107" s="193"/>
      <c r="E107" s="302"/>
    </row>
    <row r="108" spans="1:5">
      <c r="A108" s="199">
        <v>73</v>
      </c>
      <c r="B108" s="852" t="s">
        <v>5213</v>
      </c>
      <c r="C108" s="180"/>
      <c r="D108" s="193"/>
      <c r="E108" s="302">
        <v>-39719</v>
      </c>
    </row>
    <row r="109" spans="1:5">
      <c r="A109" s="199">
        <v>74</v>
      </c>
      <c r="B109" s="852"/>
      <c r="C109" s="180"/>
      <c r="D109" s="193"/>
      <c r="E109" s="302"/>
    </row>
    <row r="110" spans="1:5">
      <c r="A110" s="199">
        <v>75</v>
      </c>
      <c r="B110" s="852" t="s">
        <v>2843</v>
      </c>
      <c r="C110" s="180"/>
      <c r="D110" s="193"/>
      <c r="E110" s="302">
        <v>-2652038</v>
      </c>
    </row>
    <row r="111" spans="1:5">
      <c r="A111" s="199">
        <v>76</v>
      </c>
      <c r="B111" s="852"/>
      <c r="C111" s="180"/>
      <c r="D111" s="193"/>
      <c r="E111" s="302"/>
    </row>
    <row r="112" spans="1:5">
      <c r="A112" s="199">
        <v>77</v>
      </c>
      <c r="B112" s="852" t="s">
        <v>3204</v>
      </c>
      <c r="C112" s="180"/>
      <c r="D112" s="193"/>
      <c r="E112" s="302">
        <v>-37969</v>
      </c>
    </row>
    <row r="113" spans="1:5">
      <c r="A113" s="199">
        <v>78</v>
      </c>
      <c r="B113" s="852" t="s">
        <v>1901</v>
      </c>
      <c r="C113" s="180"/>
      <c r="D113" s="193"/>
      <c r="E113" s="302">
        <v>-4098621</v>
      </c>
    </row>
    <row r="114" spans="1:5">
      <c r="A114" s="199">
        <v>79</v>
      </c>
      <c r="B114" s="852" t="s">
        <v>1035</v>
      </c>
      <c r="C114" s="180"/>
      <c r="D114" s="193"/>
      <c r="E114" s="376"/>
    </row>
    <row r="115" spans="1:5">
      <c r="A115" s="199">
        <v>80</v>
      </c>
      <c r="B115" s="852" t="s">
        <v>1036</v>
      </c>
      <c r="C115" s="180"/>
      <c r="D115" s="193"/>
      <c r="E115" s="302">
        <f>SUM(E102:E113)</f>
        <v>12691653</v>
      </c>
    </row>
    <row r="116" spans="1:5">
      <c r="A116" s="199">
        <v>81</v>
      </c>
      <c r="B116" s="852"/>
      <c r="C116" s="180"/>
      <c r="D116" s="193"/>
      <c r="E116" s="302"/>
    </row>
    <row r="117" spans="1:5">
      <c r="A117" s="199">
        <v>82</v>
      </c>
      <c r="B117" s="852" t="s">
        <v>586</v>
      </c>
      <c r="C117" s="180"/>
      <c r="D117" s="193"/>
      <c r="E117" s="376"/>
    </row>
    <row r="118" spans="1:5">
      <c r="A118" s="199">
        <v>83</v>
      </c>
      <c r="B118" s="852" t="s">
        <v>587</v>
      </c>
      <c r="C118" s="180"/>
      <c r="D118" s="193"/>
      <c r="E118" s="302">
        <f>E37+E89+E115</f>
        <v>68719</v>
      </c>
    </row>
    <row r="119" spans="1:5">
      <c r="A119" s="199">
        <v>84</v>
      </c>
      <c r="B119" s="852"/>
      <c r="C119" s="180"/>
      <c r="D119" s="193"/>
      <c r="E119" s="376"/>
    </row>
    <row r="120" spans="1:5">
      <c r="A120" s="199">
        <v>85</v>
      </c>
      <c r="B120" s="852" t="s">
        <v>588</v>
      </c>
      <c r="C120" s="180"/>
      <c r="D120" s="193"/>
      <c r="E120" s="302">
        <v>72707</v>
      </c>
    </row>
    <row r="121" spans="1:5">
      <c r="A121" s="199">
        <v>86</v>
      </c>
      <c r="B121" s="852"/>
      <c r="C121" s="180"/>
      <c r="D121" s="193"/>
      <c r="E121" s="376"/>
    </row>
    <row r="122" spans="1:5" ht="15.75" thickBot="1">
      <c r="A122" s="210">
        <v>87</v>
      </c>
      <c r="B122" s="211" t="s">
        <v>589</v>
      </c>
      <c r="C122" s="226"/>
      <c r="D122" s="214"/>
      <c r="E122" s="312">
        <f>E118+E120</f>
        <v>141426</v>
      </c>
    </row>
    <row r="123" spans="1:5">
      <c r="A123" s="195"/>
      <c r="B123" s="195"/>
      <c r="C123" s="177"/>
      <c r="D123" s="195"/>
      <c r="E123" s="195" t="s">
        <v>4066</v>
      </c>
    </row>
    <row r="124" spans="1:5">
      <c r="A124" s="177" t="s">
        <v>590</v>
      </c>
      <c r="B124" s="177"/>
      <c r="C124" s="177"/>
      <c r="D124" s="177"/>
      <c r="E124" s="229"/>
    </row>
    <row r="125" spans="1:5">
      <c r="A125" s="11"/>
      <c r="B125" s="177"/>
      <c r="C125" s="195"/>
      <c r="D125" s="195"/>
      <c r="E125" s="223"/>
    </row>
    <row r="126" spans="1:5">
      <c r="A126" s="11"/>
      <c r="B126" s="177"/>
      <c r="C126" s="195"/>
      <c r="D126" s="195"/>
      <c r="E126" s="223"/>
    </row>
    <row r="127" spans="1:5">
      <c r="A127" s="11"/>
      <c r="B127" s="177"/>
      <c r="C127" s="195"/>
      <c r="D127" s="195"/>
      <c r="E127" s="223"/>
    </row>
    <row r="128" spans="1:5">
      <c r="A128" s="11"/>
      <c r="B128" s="177"/>
      <c r="C128" s="195"/>
      <c r="D128" s="195"/>
      <c r="E128" s="223"/>
    </row>
    <row r="129" spans="1:5">
      <c r="A129" s="11"/>
      <c r="B129" s="177"/>
      <c r="C129" s="195"/>
      <c r="D129" s="195"/>
      <c r="E129" s="223"/>
    </row>
    <row r="130" spans="1:5">
      <c r="A130" s="11"/>
      <c r="B130" s="177"/>
      <c r="C130" s="195"/>
      <c r="D130" s="195"/>
      <c r="E130" s="223"/>
    </row>
    <row r="131" spans="1:5">
      <c r="A131" s="195"/>
      <c r="B131" s="195"/>
      <c r="C131" s="195"/>
      <c r="D131" s="195"/>
      <c r="E131" s="223"/>
    </row>
    <row r="132" spans="1:5">
      <c r="A132" s="195"/>
      <c r="B132" s="195"/>
      <c r="C132" s="195"/>
      <c r="D132" s="195"/>
      <c r="E132" s="223"/>
    </row>
    <row r="133" spans="1:5">
      <c r="A133" s="195"/>
      <c r="B133" s="195"/>
      <c r="C133" s="195"/>
      <c r="D133" s="195"/>
      <c r="E133" s="223"/>
    </row>
    <row r="134" spans="1:5">
      <c r="A134" s="195"/>
      <c r="B134" s="195"/>
      <c r="C134" s="195"/>
      <c r="D134" s="195"/>
      <c r="E134" s="223"/>
    </row>
    <row r="135" spans="1:5">
      <c r="A135" s="195"/>
      <c r="B135" s="195"/>
      <c r="C135" s="195"/>
      <c r="D135" s="195"/>
      <c r="E135" s="223"/>
    </row>
    <row r="136" spans="1:5">
      <c r="A136" s="195"/>
      <c r="B136" s="195"/>
      <c r="C136" s="195"/>
      <c r="D136" s="195"/>
      <c r="E136" s="223"/>
    </row>
    <row r="137" spans="1:5">
      <c r="A137" s="195"/>
      <c r="B137" s="195"/>
      <c r="C137" s="195"/>
      <c r="D137" s="195"/>
      <c r="E137" s="223"/>
    </row>
    <row r="138" spans="1:5">
      <c r="A138" s="195"/>
      <c r="B138" s="195"/>
      <c r="C138" s="195"/>
      <c r="D138" s="195"/>
      <c r="E138" s="223"/>
    </row>
  </sheetData>
  <customSheetViews>
    <customSheetView guid="{1BA452AD-1A45-4D9C-9666-ADFFA6F2F567}" scale="60" colorId="22" showPageBreaks="1" printArea="1" view="pageBreakPreview" topLeftCell="A25">
      <selection activeCell="A76" sqref="A76"/>
      <rowBreaks count="1" manualBreakCount="1">
        <brk id="61" max="5" man="1"/>
      </rowBreaks>
      <pageMargins left="0.4" right="0.4" top="0.3" bottom="0.3" header="0" footer="0"/>
      <printOptions horizontalCentered="1" verticalCentered="1"/>
      <pageSetup scale="65" fitToWidth="0" orientation="portrait" r:id="rId1"/>
      <headerFooter alignWithMargins="0"/>
    </customSheetView>
    <customSheetView guid="{EEF7ABD6-0F96-4791-B749-C06F707E7673}" scale="75" colorId="22" showRuler="0">
      <selection activeCell="G104" sqref="G104"/>
      <rowBreaks count="1" manualBreakCount="1">
        <brk id="61" max="5" man="1"/>
      </rowBreaks>
      <pageMargins left="0.4" right="0.4" top="0.3" bottom="0.3" header="0" footer="0"/>
      <printOptions horizontalCentered="1" verticalCentered="1"/>
      <pageSetup scale="65" fitToWidth="0" orientation="portrait" r:id="rId2"/>
      <headerFooter alignWithMargins="0"/>
    </customSheetView>
    <customSheetView guid="{A7D7DB3C-AFE6-468E-8C6B-9531F6711497}" scale="60" colorId="22" showPageBreaks="1" printArea="1" view="pageBreakPreview" showRuler="0">
      <selection activeCell="H5" sqref="H5"/>
      <rowBreaks count="1" manualBreakCount="1">
        <brk id="68" max="16383" man="1"/>
      </rowBreaks>
      <pageMargins left="0.4" right="0.4" top="0.3" bottom="0.3" header="0" footer="0"/>
      <printOptions horizontalCentered="1" verticalCentered="1"/>
      <pageSetup scale="65" fitToWidth="0" orientation="portrait" r:id="rId3"/>
      <headerFooter alignWithMargins="0"/>
    </customSheetView>
    <customSheetView guid="{4436FEB5-BFEC-4348-9286-CB706802873E}" scale="60" colorId="22" showPageBreaks="1" printArea="1" view="pageBreakPreview" showRuler="0">
      <selection activeCell="H5" sqref="H5"/>
      <rowBreaks count="1" manualBreakCount="1">
        <brk id="68" max="16383" man="1"/>
      </rowBreaks>
      <pageMargins left="0.4" right="0.4" top="0.3" bottom="0.3" header="0" footer="0"/>
      <printOptions horizontalCentered="1" verticalCentered="1"/>
      <pageSetup scale="65" fitToWidth="0" orientation="portrait" r:id="rId4"/>
      <headerFooter alignWithMargins="0"/>
    </customSheetView>
    <customSheetView guid="{044CF00C-469F-44B3-B2C4-9B4049CE70CB}" scale="75" colorId="22" showRuler="0">
      <selection activeCell="D24" sqref="D24"/>
      <rowBreaks count="1" manualBreakCount="1">
        <brk id="68" max="16383" man="1"/>
      </rowBreaks>
      <pageMargins left="0.4" right="0.4" top="0.3" bottom="0.3" header="0" footer="0"/>
      <printOptions horizontalCentered="1" verticalCentered="1"/>
      <pageSetup scale="65" fitToWidth="0" orientation="portrait" r:id="rId5"/>
      <headerFooter alignWithMargins="0"/>
    </customSheetView>
    <customSheetView guid="{4826FCC0-BDD6-4B2C-ACC6-ACE271DDF0E3}" scale="75" colorId="22" showRuler="0">
      <selection activeCell="G104" sqref="G104"/>
      <rowBreaks count="1" manualBreakCount="1">
        <brk id="61" max="5" man="1"/>
      </rowBreaks>
      <pageMargins left="0.4" right="0.4" top="0.3" bottom="0.3" header="0" footer="0"/>
      <printOptions horizontalCentered="1" verticalCentered="1"/>
      <pageSetup scale="65" fitToWidth="0" orientation="portrait" r:id="rId6"/>
      <headerFooter alignWithMargins="0"/>
    </customSheetView>
    <customSheetView guid="{EF376D10-23D6-4FE2-AB5B-4460D52CC93F}" scale="75" colorId="22" showRuler="0">
      <selection activeCell="G104" sqref="G104"/>
      <rowBreaks count="1" manualBreakCount="1">
        <brk id="61" max="5" man="1"/>
      </rowBreaks>
      <pageMargins left="0.4" right="0.4" top="0.3" bottom="0.3" header="0" footer="0"/>
      <printOptions horizontalCentered="1" verticalCentered="1"/>
      <pageSetup scale="65" fitToWidth="0" orientation="portrait" r:id="rId7"/>
      <headerFooter alignWithMargins="0"/>
    </customSheetView>
    <customSheetView guid="{1C046605-15CE-44F1-BFCD-2CA8588E7ACF}" scale="75" colorId="22" showRuler="0" topLeftCell="A94">
      <selection activeCell="G104" sqref="G104"/>
      <rowBreaks count="1" manualBreakCount="1">
        <brk id="61" max="5" man="1"/>
      </rowBreaks>
      <pageMargins left="0.4" right="0.4" top="0.3" bottom="0.3" header="0" footer="0"/>
      <printOptions horizontalCentered="1" verticalCentered="1"/>
      <pageSetup scale="65" fitToWidth="0" orientation="portrait" r:id="rId8"/>
      <headerFooter alignWithMargins="0"/>
    </customSheetView>
    <customSheetView guid="{3911D713-188C-46A1-A299-F21DD3B7A146}" scale="75" colorId="22" showRuler="0" topLeftCell="A94">
      <selection activeCell="G104" sqref="G104"/>
      <rowBreaks count="1" manualBreakCount="1">
        <brk id="61" max="5" man="1"/>
      </rowBreaks>
      <pageMargins left="0.4" right="0.4" top="0.3" bottom="0.3" header="0" footer="0"/>
      <printOptions horizontalCentered="1" verticalCentered="1"/>
      <pageSetup scale="65" fitToWidth="0" orientation="portrait" r:id="rId9"/>
      <headerFooter alignWithMargins="0"/>
    </customSheetView>
    <customSheetView guid="{78BB1E60-60BE-4F56-9763-075185EFEFAB}" scale="60" colorId="22" showPageBreaks="1" printArea="1" view="pageBreakPreview" topLeftCell="A25">
      <selection activeCell="A76" sqref="A76"/>
      <rowBreaks count="1" manualBreakCount="1">
        <brk id="61" max="5" man="1"/>
      </rowBreaks>
      <pageMargins left="0.4" right="0.4" top="0.3" bottom="0.3" header="0" footer="0"/>
      <printOptions horizontalCentered="1" verticalCentered="1"/>
      <pageSetup scale="65" fitToWidth="0" orientation="portrait" r:id="rId10"/>
      <headerFooter alignWithMargins="0"/>
    </customSheetView>
    <customSheetView guid="{9C30803E-1E2D-4850-B0A5-591CA6F246A1}" scale="60" colorId="22" showPageBreaks="1" printArea="1" view="pageBreakPreview" topLeftCell="A64">
      <selection activeCell="A76" sqref="A76"/>
      <rowBreaks count="1" manualBreakCount="1">
        <brk id="61" max="5" man="1"/>
      </rowBreaks>
      <pageMargins left="0.4" right="0.4" top="0.3" bottom="0.3" header="0" footer="0"/>
      <printOptions horizontalCentered="1" verticalCentered="1"/>
      <pageSetup scale="65" fitToWidth="0" orientation="portrait" r:id="rId11"/>
      <headerFooter alignWithMargins="0"/>
    </customSheetView>
    <customSheetView guid="{3B1006FF-A2CA-49E7-9B25-DAC8815279AF}" scale="60" colorId="22" showPageBreaks="1" printArea="1" view="pageBreakPreview" topLeftCell="A64">
      <selection activeCell="A76" sqref="A76"/>
      <rowBreaks count="1" manualBreakCount="1">
        <brk id="61" max="5" man="1"/>
      </rowBreaks>
      <pageMargins left="0.4" right="0.4" top="0.3" bottom="0.3" header="0" footer="0"/>
      <printOptions horizontalCentered="1" verticalCentered="1"/>
      <pageSetup scale="65" fitToWidth="0" orientation="portrait" r:id="rId12"/>
      <headerFooter alignWithMargins="0"/>
    </customSheetView>
    <customSheetView guid="{FB1A60C8-E1F9-4DF0-8E0E-1C965F86027F}" scale="60" colorId="22" showPageBreaks="1" printArea="1" view="pageBreakPreview" topLeftCell="A64">
      <selection activeCell="A76" sqref="A76"/>
      <rowBreaks count="1" manualBreakCount="1">
        <brk id="61" max="5" man="1"/>
      </rowBreaks>
      <pageMargins left="0.4" right="0.4" top="0.3" bottom="0.3" header="0" footer="0"/>
      <printOptions horizontalCentered="1" verticalCentered="1"/>
      <pageSetup scale="65" fitToWidth="0" orientation="portrait" r:id="rId13"/>
      <headerFooter alignWithMargins="0"/>
    </customSheetView>
    <customSheetView guid="{C5B6D812-CBE6-46AA-99F7-02494E9802B4}" scale="70" colorId="22" topLeftCell="A100">
      <selection activeCell="C121" sqref="C121"/>
      <rowBreaks count="1" manualBreakCount="1">
        <brk id="61" max="5" man="1"/>
      </rowBreaks>
      <pageMargins left="0.4" right="0.4" top="0.3" bottom="0.3" header="0" footer="0"/>
      <printOptions horizontalCentered="1" verticalCentered="1"/>
      <pageSetup scale="65" fitToWidth="0" orientation="portrait" r:id="rId14"/>
      <headerFooter alignWithMargins="0"/>
    </customSheetView>
  </customSheetViews>
  <phoneticPr fontId="0" type="noConversion"/>
  <printOptions horizontalCentered="1" verticalCentered="1"/>
  <pageMargins left="0.4" right="0.4" top="0.3" bottom="0.3" header="0" footer="0"/>
  <pageSetup scale="65" fitToWidth="0" orientation="portrait" r:id="rId15"/>
  <headerFooter alignWithMargins="0"/>
  <rowBreaks count="1" manualBreakCount="1">
    <brk id="61" max="5" man="1"/>
  </rowBreaks>
  <customProperties>
    <customPr name="_pios_id" r:id="rId16"/>
  </customProperties>
</worksheet>
</file>

<file path=xl/worksheets/sheet18.xml><?xml version="1.0" encoding="utf-8"?>
<worksheet xmlns="http://schemas.openxmlformats.org/spreadsheetml/2006/main" xmlns:r="http://schemas.openxmlformats.org/officeDocument/2006/relationships">
  <sheetPr transitionEvaluation="1" codeName="Sheet18" enableFormatConditionsCalculation="0"/>
  <dimension ref="B1:H152"/>
  <sheetViews>
    <sheetView defaultGridColor="0" colorId="22" zoomScale="75" zoomScaleNormal="75" zoomScaleSheetLayoutView="70" workbookViewId="0"/>
  </sheetViews>
  <sheetFormatPr defaultColWidth="9.77734375" defaultRowHeight="15"/>
  <cols>
    <col min="1" max="1" width="2.33203125" customWidth="1"/>
    <col min="2" max="2" width="4.77734375" customWidth="1"/>
    <col min="3" max="3" width="43.77734375" customWidth="1"/>
    <col min="4" max="4" width="9.33203125" customWidth="1"/>
    <col min="5" max="5" width="3.77734375" customWidth="1"/>
    <col min="6" max="6" width="13.77734375" customWidth="1"/>
    <col min="7" max="7" width="15.77734375" customWidth="1"/>
    <col min="8" max="8" width="16.77734375" customWidth="1"/>
    <col min="9" max="9" width="4" customWidth="1"/>
  </cols>
  <sheetData>
    <row r="1" spans="2:8" ht="15.75" thickBot="1">
      <c r="B1" s="48" t="str">
        <f>'Data sheet'!$A$61</f>
        <v>Annual Report of New York American Water Company, Inc. (f/k/a Long Island Water Corp)                                    Year Ended  December 31, 2013</v>
      </c>
    </row>
    <row r="2" spans="2:8">
      <c r="B2" s="173"/>
      <c r="C2" s="174"/>
      <c r="D2" s="174"/>
      <c r="E2" s="174"/>
      <c r="F2" s="174"/>
      <c r="G2" s="174"/>
      <c r="H2" s="175"/>
    </row>
    <row r="3" spans="2:8" ht="15.75">
      <c r="B3" s="176" t="s">
        <v>591</v>
      </c>
      <c r="C3" s="177"/>
      <c r="D3" s="177"/>
      <c r="E3" s="177"/>
      <c r="F3" s="177"/>
      <c r="G3" s="177"/>
      <c r="H3" s="178"/>
    </row>
    <row r="4" spans="2:8">
      <c r="B4" s="187"/>
      <c r="C4" s="193"/>
      <c r="D4" s="378"/>
      <c r="E4" s="193"/>
      <c r="F4" s="193"/>
      <c r="G4" s="141"/>
      <c r="H4" s="294"/>
    </row>
    <row r="5" spans="2:8">
      <c r="B5" s="183"/>
      <c r="C5" s="209" t="s">
        <v>1166</v>
      </c>
      <c r="D5" s="177"/>
      <c r="E5" s="209" t="s">
        <v>213</v>
      </c>
      <c r="F5" s="11"/>
      <c r="G5" s="177"/>
      <c r="H5" s="178"/>
    </row>
    <row r="6" spans="2:8">
      <c r="B6" s="183"/>
      <c r="C6" s="209" t="s">
        <v>1544</v>
      </c>
      <c r="D6" s="177"/>
      <c r="E6" s="209" t="s">
        <v>3847</v>
      </c>
      <c r="F6" s="11"/>
      <c r="G6" s="177"/>
      <c r="H6" s="178"/>
    </row>
    <row r="7" spans="2:8">
      <c r="B7" s="183"/>
      <c r="C7" s="209" t="s">
        <v>3497</v>
      </c>
      <c r="D7" s="177"/>
      <c r="E7" s="209" t="s">
        <v>3498</v>
      </c>
      <c r="F7" s="11"/>
      <c r="G7" s="177"/>
      <c r="H7" s="178"/>
    </row>
    <row r="8" spans="2:8">
      <c r="B8" s="183"/>
      <c r="C8" s="209" t="s">
        <v>3499</v>
      </c>
      <c r="D8" s="177"/>
      <c r="E8" s="209" t="s">
        <v>3500</v>
      </c>
      <c r="F8" s="11"/>
      <c r="G8" s="177"/>
      <c r="H8" s="345"/>
    </row>
    <row r="9" spans="2:8">
      <c r="B9" s="183"/>
      <c r="C9" s="209" t="s">
        <v>3501</v>
      </c>
      <c r="D9" s="177"/>
      <c r="E9" s="209" t="s">
        <v>320</v>
      </c>
      <c r="F9" s="11"/>
      <c r="G9" s="229"/>
      <c r="H9" s="178"/>
    </row>
    <row r="10" spans="2:8">
      <c r="B10" s="183"/>
      <c r="C10" s="209" t="s">
        <v>2883</v>
      </c>
      <c r="D10" s="177"/>
      <c r="E10" s="209" t="s">
        <v>1495</v>
      </c>
      <c r="F10" s="11"/>
      <c r="G10" s="229"/>
      <c r="H10" s="178"/>
    </row>
    <row r="11" spans="2:8">
      <c r="B11" s="183"/>
      <c r="C11" s="209" t="s">
        <v>1496</v>
      </c>
      <c r="D11" s="177"/>
      <c r="E11" s="209" t="s">
        <v>1497</v>
      </c>
      <c r="F11" s="11"/>
      <c r="G11" s="177"/>
      <c r="H11" s="321"/>
    </row>
    <row r="12" spans="2:8">
      <c r="B12" s="183"/>
      <c r="C12" s="209" t="s">
        <v>2428</v>
      </c>
      <c r="D12" s="177"/>
      <c r="E12" s="209" t="s">
        <v>3496</v>
      </c>
      <c r="F12" s="11"/>
      <c r="G12" s="229"/>
      <c r="H12" s="321"/>
    </row>
    <row r="13" spans="2:8">
      <c r="B13" s="183"/>
      <c r="C13" s="209" t="s">
        <v>173</v>
      </c>
      <c r="D13" s="177"/>
      <c r="E13" s="209" t="s">
        <v>2906</v>
      </c>
      <c r="F13" s="11"/>
      <c r="G13" s="229"/>
      <c r="H13" s="321"/>
    </row>
    <row r="14" spans="2:8">
      <c r="B14" s="183"/>
      <c r="C14" s="209" t="s">
        <v>2905</v>
      </c>
      <c r="D14" s="177"/>
      <c r="E14" s="209" t="s">
        <v>482</v>
      </c>
      <c r="F14" s="11"/>
      <c r="G14" s="11"/>
      <c r="H14" s="321"/>
    </row>
    <row r="15" spans="2:8">
      <c r="B15" s="183"/>
      <c r="C15" s="209" t="s">
        <v>483</v>
      </c>
      <c r="D15" s="177"/>
      <c r="E15" s="209" t="s">
        <v>1258</v>
      </c>
      <c r="F15" s="11"/>
      <c r="G15" s="11"/>
      <c r="H15" s="321"/>
    </row>
    <row r="16" spans="2:8">
      <c r="B16" s="183"/>
      <c r="C16" s="209" t="s">
        <v>314</v>
      </c>
      <c r="D16" s="177"/>
      <c r="E16" s="209" t="s">
        <v>1840</v>
      </c>
      <c r="F16" s="177"/>
      <c r="G16" s="11"/>
      <c r="H16" s="178"/>
    </row>
    <row r="17" spans="2:8">
      <c r="B17" s="183"/>
      <c r="C17" s="209" t="s">
        <v>657</v>
      </c>
      <c r="D17" s="177"/>
      <c r="E17" s="209"/>
      <c r="F17" s="11"/>
      <c r="G17" s="177"/>
      <c r="H17" s="178"/>
    </row>
    <row r="18" spans="2:8">
      <c r="B18" s="183"/>
      <c r="C18" s="209" t="s">
        <v>658</v>
      </c>
      <c r="D18" s="177"/>
      <c r="E18" s="209"/>
      <c r="F18" s="11"/>
      <c r="G18" s="177"/>
      <c r="H18" s="178"/>
    </row>
    <row r="19" spans="2:8">
      <c r="B19" s="183"/>
      <c r="C19" s="209" t="s">
        <v>659</v>
      </c>
      <c r="D19" s="177"/>
      <c r="E19" s="209"/>
      <c r="F19" s="11"/>
      <c r="G19" s="177"/>
      <c r="H19" s="178"/>
    </row>
    <row r="20" spans="2:8">
      <c r="B20" s="183"/>
      <c r="C20" s="209" t="s">
        <v>1683</v>
      </c>
      <c r="D20" s="177"/>
      <c r="E20" s="209"/>
      <c r="F20" s="11"/>
      <c r="G20" s="177"/>
      <c r="H20" s="178"/>
    </row>
    <row r="21" spans="2:8">
      <c r="B21" s="187"/>
      <c r="C21" s="852" t="s">
        <v>1684</v>
      </c>
      <c r="D21" s="180"/>
      <c r="E21" s="852"/>
      <c r="F21" s="180"/>
      <c r="G21" s="180"/>
      <c r="H21" s="181"/>
    </row>
    <row r="22" spans="2:8">
      <c r="B22" s="183"/>
      <c r="C22" s="177"/>
      <c r="D22" s="177"/>
      <c r="E22" s="177"/>
      <c r="F22" s="195"/>
      <c r="G22" s="223"/>
      <c r="H22" s="224"/>
    </row>
    <row r="23" spans="2:8">
      <c r="B23" s="183"/>
      <c r="C23" s="195"/>
      <c r="D23" s="177"/>
      <c r="E23" s="177"/>
      <c r="F23" s="195"/>
      <c r="G23" s="223"/>
      <c r="H23" s="224"/>
    </row>
    <row r="24" spans="2:8">
      <c r="B24" s="183"/>
      <c r="C24" s="209" t="s">
        <v>3019</v>
      </c>
      <c r="D24" s="177"/>
      <c r="E24" s="177"/>
      <c r="F24" s="195"/>
      <c r="G24" s="223"/>
      <c r="H24" s="224"/>
    </row>
    <row r="25" spans="2:8">
      <c r="B25" s="183"/>
      <c r="C25" s="195"/>
      <c r="D25" s="177"/>
      <c r="E25" s="177"/>
      <c r="F25" s="195"/>
      <c r="G25" s="223"/>
      <c r="H25" s="224"/>
    </row>
    <row r="26" spans="2:8">
      <c r="B26" s="183"/>
      <c r="C26" s="177"/>
      <c r="D26" s="177"/>
      <c r="E26" s="177"/>
      <c r="F26" s="195"/>
      <c r="G26" s="223"/>
      <c r="H26" s="224"/>
    </row>
    <row r="27" spans="2:8">
      <c r="B27" s="183"/>
      <c r="C27" s="177"/>
      <c r="D27" s="177"/>
      <c r="E27" s="177"/>
      <c r="F27" s="195"/>
      <c r="G27" s="223"/>
      <c r="H27" s="224"/>
    </row>
    <row r="28" spans="2:8">
      <c r="B28" s="183"/>
      <c r="C28" s="177"/>
      <c r="D28" s="177"/>
      <c r="E28" s="177"/>
      <c r="F28" s="195"/>
      <c r="G28" s="223"/>
      <c r="H28" s="224"/>
    </row>
    <row r="29" spans="2:8">
      <c r="B29" s="183"/>
      <c r="C29" s="177"/>
      <c r="D29" s="177"/>
      <c r="E29" s="177"/>
      <c r="F29" s="195"/>
      <c r="G29" s="223"/>
      <c r="H29" s="224"/>
    </row>
    <row r="30" spans="2:8">
      <c r="B30" s="183"/>
      <c r="C30" s="177"/>
      <c r="D30" s="177"/>
      <c r="E30" s="177"/>
      <c r="F30" s="195"/>
      <c r="G30" s="223"/>
      <c r="H30" s="224"/>
    </row>
    <row r="31" spans="2:8">
      <c r="B31" s="183"/>
      <c r="C31" s="177"/>
      <c r="D31" s="177"/>
      <c r="E31" s="177"/>
      <c r="F31" s="195"/>
      <c r="G31" s="223"/>
      <c r="H31" s="224"/>
    </row>
    <row r="32" spans="2:8">
      <c r="B32" s="183"/>
      <c r="C32" s="177"/>
      <c r="D32" s="177"/>
      <c r="E32" s="177"/>
      <c r="F32" s="195"/>
      <c r="G32" s="223"/>
      <c r="H32" s="224"/>
    </row>
    <row r="33" spans="2:8">
      <c r="B33" s="183"/>
      <c r="C33" s="177"/>
      <c r="D33" s="177"/>
      <c r="E33" s="177"/>
      <c r="F33" s="195"/>
      <c r="G33" s="223"/>
      <c r="H33" s="224"/>
    </row>
    <row r="34" spans="2:8">
      <c r="B34" s="183"/>
      <c r="C34" s="177"/>
      <c r="D34" s="177"/>
      <c r="E34" s="177"/>
      <c r="F34" s="195"/>
      <c r="G34" s="223"/>
      <c r="H34" s="224"/>
    </row>
    <row r="35" spans="2:8">
      <c r="B35" s="183"/>
      <c r="C35" s="177"/>
      <c r="D35" s="177"/>
      <c r="E35" s="177"/>
      <c r="F35" s="195"/>
      <c r="G35" s="223"/>
      <c r="H35" s="224"/>
    </row>
    <row r="36" spans="2:8">
      <c r="B36" s="183"/>
      <c r="C36" s="177"/>
      <c r="D36" s="177"/>
      <c r="E36" s="177"/>
      <c r="F36" s="195"/>
      <c r="G36" s="223"/>
      <c r="H36" s="224"/>
    </row>
    <row r="37" spans="2:8">
      <c r="B37" s="183"/>
      <c r="C37" s="177"/>
      <c r="D37" s="177"/>
      <c r="E37" s="177"/>
      <c r="F37" s="195"/>
      <c r="G37" s="223"/>
      <c r="H37" s="224"/>
    </row>
    <row r="38" spans="2:8">
      <c r="B38" s="183"/>
      <c r="C38" s="177"/>
      <c r="D38" s="177"/>
      <c r="E38" s="177"/>
      <c r="F38" s="195"/>
      <c r="G38" s="223"/>
      <c r="H38" s="224"/>
    </row>
    <row r="39" spans="2:8">
      <c r="B39" s="183"/>
      <c r="C39" s="177"/>
      <c r="D39" s="177"/>
      <c r="E39" s="177"/>
      <c r="F39" s="195"/>
      <c r="G39" s="223"/>
      <c r="H39" s="224"/>
    </row>
    <row r="40" spans="2:8">
      <c r="B40" s="183"/>
      <c r="C40" s="177"/>
      <c r="D40" s="177"/>
      <c r="E40" s="177"/>
      <c r="F40" s="195"/>
      <c r="G40" s="223"/>
      <c r="H40" s="224"/>
    </row>
    <row r="41" spans="2:8">
      <c r="B41" s="183"/>
      <c r="C41" s="177"/>
      <c r="D41" s="177"/>
      <c r="E41" s="177"/>
      <c r="F41" s="195"/>
      <c r="G41" s="223"/>
      <c r="H41" s="224"/>
    </row>
    <row r="42" spans="2:8">
      <c r="B42" s="183"/>
      <c r="C42" s="177"/>
      <c r="D42" s="177"/>
      <c r="E42" s="177"/>
      <c r="F42" s="195"/>
      <c r="G42" s="223"/>
      <c r="H42" s="224"/>
    </row>
    <row r="43" spans="2:8">
      <c r="B43" s="183"/>
      <c r="C43" s="177"/>
      <c r="D43" s="177"/>
      <c r="E43" s="177"/>
      <c r="F43" s="195"/>
      <c r="G43" s="223"/>
      <c r="H43" s="224"/>
    </row>
    <row r="44" spans="2:8">
      <c r="B44" s="183"/>
      <c r="C44" s="177"/>
      <c r="D44" s="177"/>
      <c r="E44" s="177"/>
      <c r="F44" s="195"/>
      <c r="G44" s="223"/>
      <c r="H44" s="224"/>
    </row>
    <row r="45" spans="2:8">
      <c r="B45" s="183"/>
      <c r="C45" s="177"/>
      <c r="D45" s="177"/>
      <c r="E45" s="177"/>
      <c r="F45" s="195"/>
      <c r="G45" s="223"/>
      <c r="H45" s="224"/>
    </row>
    <row r="46" spans="2:8">
      <c r="B46" s="183"/>
      <c r="C46" s="177"/>
      <c r="D46" s="177"/>
      <c r="E46" s="177"/>
      <c r="F46" s="195"/>
      <c r="G46" s="223"/>
      <c r="H46" s="224"/>
    </row>
    <row r="47" spans="2:8">
      <c r="B47" s="183"/>
      <c r="C47" s="177"/>
      <c r="D47" s="177"/>
      <c r="E47" s="177"/>
      <c r="F47" s="195"/>
      <c r="G47" s="223"/>
      <c r="H47" s="224"/>
    </row>
    <row r="48" spans="2:8">
      <c r="B48" s="183"/>
      <c r="C48" s="177"/>
      <c r="D48" s="177"/>
      <c r="E48" s="177"/>
      <c r="F48" s="195"/>
      <c r="G48" s="223"/>
      <c r="H48" s="224"/>
    </row>
    <row r="49" spans="2:8">
      <c r="B49" s="183"/>
      <c r="C49" s="177"/>
      <c r="D49" s="177"/>
      <c r="E49" s="177"/>
      <c r="F49" s="195"/>
      <c r="G49" s="223"/>
      <c r="H49" s="224"/>
    </row>
    <row r="50" spans="2:8">
      <c r="B50" s="183"/>
      <c r="C50" s="177"/>
      <c r="D50" s="177"/>
      <c r="E50" s="177"/>
      <c r="F50" s="195"/>
      <c r="G50" s="223"/>
      <c r="H50" s="224"/>
    </row>
    <row r="51" spans="2:8">
      <c r="B51" s="183"/>
      <c r="C51" s="177"/>
      <c r="D51" s="177"/>
      <c r="E51" s="177"/>
      <c r="F51" s="195"/>
      <c r="G51" s="223"/>
      <c r="H51" s="224"/>
    </row>
    <row r="52" spans="2:8">
      <c r="B52" s="183"/>
      <c r="C52" s="195"/>
      <c r="D52" s="177"/>
      <c r="E52" s="177"/>
      <c r="F52" s="195"/>
      <c r="G52" s="223"/>
      <c r="H52" s="224"/>
    </row>
    <row r="53" spans="2:8">
      <c r="B53" s="183"/>
      <c r="C53" s="177"/>
      <c r="D53" s="177"/>
      <c r="E53" s="177"/>
      <c r="F53" s="195"/>
      <c r="G53" s="223"/>
      <c r="H53" s="224"/>
    </row>
    <row r="54" spans="2:8">
      <c r="B54" s="183"/>
      <c r="C54" s="195"/>
      <c r="D54" s="177"/>
      <c r="E54" s="177"/>
      <c r="F54" s="195"/>
      <c r="G54" s="223"/>
      <c r="H54" s="224"/>
    </row>
    <row r="55" spans="2:8">
      <c r="B55" s="183"/>
      <c r="C55" s="195"/>
      <c r="D55" s="177"/>
      <c r="E55" s="177"/>
      <c r="F55" s="195"/>
      <c r="G55" s="223"/>
      <c r="H55" s="224"/>
    </row>
    <row r="56" spans="2:8">
      <c r="B56" s="183"/>
      <c r="C56" s="195"/>
      <c r="D56" s="177"/>
      <c r="E56" s="177"/>
      <c r="F56" s="195"/>
      <c r="G56" s="223"/>
      <c r="H56" s="224"/>
    </row>
    <row r="57" spans="2:8">
      <c r="B57" s="183"/>
      <c r="C57" s="195"/>
      <c r="D57" s="177"/>
      <c r="E57" s="177"/>
      <c r="F57" s="195"/>
      <c r="G57" s="223"/>
      <c r="H57" s="224"/>
    </row>
    <row r="58" spans="2:8">
      <c r="B58" s="183"/>
      <c r="C58" s="195"/>
      <c r="D58" s="177"/>
      <c r="E58" s="177"/>
      <c r="F58" s="195"/>
      <c r="G58" s="223"/>
      <c r="H58" s="224"/>
    </row>
    <row r="59" spans="2:8">
      <c r="B59" s="183"/>
      <c r="C59" s="195"/>
      <c r="D59" s="177"/>
      <c r="E59" s="177"/>
      <c r="F59" s="195"/>
      <c r="G59" s="223"/>
      <c r="H59" s="224"/>
    </row>
    <row r="60" spans="2:8">
      <c r="B60" s="183"/>
      <c r="C60" s="195"/>
      <c r="D60" s="177"/>
      <c r="E60" s="177"/>
      <c r="F60" s="195"/>
      <c r="G60" s="223"/>
      <c r="H60" s="224"/>
    </row>
    <row r="61" spans="2:8">
      <c r="B61" s="183"/>
      <c r="C61" s="195"/>
      <c r="D61" s="177"/>
      <c r="E61" s="177"/>
      <c r="F61" s="195"/>
      <c r="G61" s="223"/>
      <c r="H61" s="224"/>
    </row>
    <row r="62" spans="2:8">
      <c r="B62" s="183"/>
      <c r="C62" s="195"/>
      <c r="D62" s="177"/>
      <c r="E62" s="177"/>
      <c r="F62" s="195"/>
      <c r="G62" s="223"/>
      <c r="H62" s="224"/>
    </row>
    <row r="63" spans="2:8" ht="15.75" thickBot="1">
      <c r="B63" s="225"/>
      <c r="C63" s="214"/>
      <c r="D63" s="226"/>
      <c r="E63" s="226"/>
      <c r="F63" s="214"/>
      <c r="G63" s="227"/>
      <c r="H63" s="228"/>
    </row>
    <row r="64" spans="2:8">
      <c r="B64" s="195" t="s">
        <v>4066</v>
      </c>
      <c r="C64" s="195"/>
      <c r="D64" s="177"/>
      <c r="E64" s="177"/>
      <c r="F64" s="195"/>
      <c r="G64" s="223"/>
      <c r="H64" s="223"/>
    </row>
    <row r="65" spans="2:8">
      <c r="B65" s="177" t="s">
        <v>1685</v>
      </c>
      <c r="C65" s="177"/>
      <c r="D65" s="131"/>
      <c r="E65" s="131"/>
      <c r="F65" s="177"/>
      <c r="G65" s="229"/>
      <c r="H65" s="229"/>
    </row>
    <row r="66" spans="2:8" ht="15.75" thickBot="1">
      <c r="B66" s="186" t="str">
        <f>'Data sheet'!$A$61</f>
        <v>Annual Report of New York American Water Company, Inc. (f/k/a Long Island Water Corp)                                    Year Ended  December 31, 2013</v>
      </c>
      <c r="C66" s="177"/>
      <c r="D66" s="177"/>
      <c r="E66" s="177"/>
      <c r="F66" s="177"/>
      <c r="G66" s="229"/>
      <c r="H66" s="229"/>
    </row>
    <row r="67" spans="2:8">
      <c r="B67" s="173"/>
      <c r="C67" s="174"/>
      <c r="D67" s="174"/>
      <c r="E67" s="174"/>
      <c r="F67" s="174"/>
      <c r="G67" s="174"/>
      <c r="H67" s="175"/>
    </row>
    <row r="68" spans="2:8" ht="15.75">
      <c r="B68" s="176" t="s">
        <v>1686</v>
      </c>
      <c r="C68" s="177"/>
      <c r="D68" s="177"/>
      <c r="E68" s="177"/>
      <c r="F68" s="177"/>
      <c r="G68" s="177"/>
      <c r="H68" s="178"/>
    </row>
    <row r="69" spans="2:8">
      <c r="B69" s="187"/>
      <c r="C69" s="193"/>
      <c r="D69" s="378"/>
      <c r="E69" s="193"/>
      <c r="F69" s="193"/>
      <c r="G69" s="141"/>
      <c r="H69" s="294"/>
    </row>
    <row r="70" spans="2:8">
      <c r="B70" s="183"/>
      <c r="C70" s="177"/>
      <c r="D70" s="177"/>
      <c r="E70" s="177"/>
      <c r="F70" s="11"/>
      <c r="G70" s="177"/>
      <c r="H70" s="178"/>
    </row>
    <row r="71" spans="2:8">
      <c r="B71" s="183"/>
      <c r="C71" s="177"/>
      <c r="D71" s="177"/>
      <c r="E71" s="177"/>
      <c r="F71" s="11"/>
      <c r="G71" s="177"/>
      <c r="H71" s="178"/>
    </row>
    <row r="72" spans="2:8">
      <c r="B72" s="183"/>
      <c r="C72" s="177"/>
      <c r="D72" s="177"/>
      <c r="E72" s="177"/>
      <c r="F72" s="11"/>
      <c r="G72" s="177"/>
      <c r="H72" s="178"/>
    </row>
    <row r="73" spans="2:8">
      <c r="B73" s="183"/>
      <c r="C73" s="177"/>
      <c r="D73" s="177"/>
      <c r="E73" s="177"/>
      <c r="F73" s="11"/>
      <c r="G73" s="177"/>
      <c r="H73" s="345"/>
    </row>
    <row r="74" spans="2:8">
      <c r="B74" s="183"/>
      <c r="C74" s="177"/>
      <c r="D74" s="177"/>
      <c r="E74" s="177"/>
      <c r="F74" s="11"/>
      <c r="G74" s="177"/>
      <c r="H74" s="178"/>
    </row>
    <row r="75" spans="2:8">
      <c r="B75" s="183"/>
      <c r="C75" s="177"/>
      <c r="D75" s="177"/>
      <c r="E75" s="177"/>
      <c r="F75" s="11"/>
      <c r="G75" s="177"/>
      <c r="H75" s="178"/>
    </row>
    <row r="76" spans="2:8">
      <c r="B76" s="183"/>
      <c r="C76" s="177"/>
      <c r="D76" s="177"/>
      <c r="E76" s="177"/>
      <c r="F76" s="11"/>
      <c r="G76" s="229"/>
      <c r="H76" s="321"/>
    </row>
    <row r="77" spans="2:8">
      <c r="B77" s="183"/>
      <c r="C77" s="177"/>
      <c r="D77" s="177"/>
      <c r="E77" s="177"/>
      <c r="F77" s="11"/>
      <c r="G77" s="229"/>
      <c r="H77" s="321"/>
    </row>
    <row r="78" spans="2:8">
      <c r="B78" s="183"/>
      <c r="C78" s="195"/>
      <c r="D78" s="177"/>
      <c r="E78" s="177"/>
      <c r="F78" s="11"/>
      <c r="G78" s="229"/>
      <c r="H78" s="321"/>
    </row>
    <row r="79" spans="2:8">
      <c r="B79" s="183"/>
      <c r="C79" s="177"/>
      <c r="D79" s="177"/>
      <c r="E79" s="177"/>
      <c r="F79" s="11"/>
      <c r="G79" s="229"/>
      <c r="H79" s="321"/>
    </row>
    <row r="80" spans="2:8">
      <c r="B80" s="183"/>
      <c r="C80" s="177"/>
      <c r="D80" s="177"/>
      <c r="E80" s="177"/>
      <c r="F80" s="11"/>
      <c r="G80" s="229"/>
      <c r="H80" s="321"/>
    </row>
    <row r="81" spans="2:8">
      <c r="B81" s="183"/>
      <c r="C81" s="177"/>
      <c r="D81" s="177"/>
      <c r="E81" s="177"/>
      <c r="F81" s="11"/>
      <c r="G81" s="177"/>
      <c r="H81" s="178"/>
    </row>
    <row r="82" spans="2:8">
      <c r="B82" s="183"/>
      <c r="C82" s="177"/>
      <c r="D82" s="177"/>
      <c r="E82" s="177"/>
      <c r="F82" s="11"/>
      <c r="G82" s="177"/>
      <c r="H82" s="178"/>
    </row>
    <row r="83" spans="2:8">
      <c r="B83" s="183"/>
      <c r="C83" s="177"/>
      <c r="D83" s="177"/>
      <c r="E83" s="177"/>
      <c r="F83" s="11"/>
      <c r="G83" s="177"/>
      <c r="H83" s="178"/>
    </row>
    <row r="84" spans="2:8">
      <c r="B84" s="183"/>
      <c r="C84" s="177"/>
      <c r="D84" s="177"/>
      <c r="E84" s="177"/>
      <c r="F84" s="11"/>
      <c r="G84" s="177"/>
      <c r="H84" s="178"/>
    </row>
    <row r="85" spans="2:8">
      <c r="B85" s="183"/>
      <c r="C85" s="177"/>
      <c r="D85" s="177"/>
      <c r="E85" s="177"/>
      <c r="F85" s="11"/>
      <c r="G85" s="177"/>
      <c r="H85" s="178"/>
    </row>
    <row r="86" spans="2:8">
      <c r="B86" s="183"/>
      <c r="C86" s="177"/>
      <c r="D86" s="177"/>
      <c r="E86" s="177"/>
      <c r="F86" s="177"/>
      <c r="G86" s="177"/>
      <c r="H86" s="178"/>
    </row>
    <row r="87" spans="2:8">
      <c r="B87" s="183"/>
      <c r="C87" s="177"/>
      <c r="D87" s="177"/>
      <c r="E87" s="177"/>
      <c r="F87" s="195"/>
      <c r="G87" s="223"/>
      <c r="H87" s="224"/>
    </row>
    <row r="88" spans="2:8">
      <c r="B88" s="183"/>
      <c r="C88" s="195"/>
      <c r="D88" s="177"/>
      <c r="E88" s="177"/>
      <c r="F88" s="195"/>
      <c r="G88" s="223"/>
      <c r="H88" s="224"/>
    </row>
    <row r="89" spans="2:8">
      <c r="B89" s="183"/>
      <c r="C89" s="177"/>
      <c r="D89" s="177"/>
      <c r="E89" s="177"/>
      <c r="F89" s="195"/>
      <c r="G89" s="223"/>
      <c r="H89" s="224"/>
    </row>
    <row r="90" spans="2:8">
      <c r="B90" s="183"/>
      <c r="C90" s="195"/>
      <c r="D90" s="177"/>
      <c r="E90" s="177"/>
      <c r="F90" s="195"/>
      <c r="G90" s="223"/>
      <c r="H90" s="224"/>
    </row>
    <row r="91" spans="2:8">
      <c r="B91" s="183"/>
      <c r="C91" s="177"/>
      <c r="D91" s="177"/>
      <c r="E91" s="177"/>
      <c r="F91" s="195"/>
      <c r="G91" s="223"/>
      <c r="H91" s="224"/>
    </row>
    <row r="92" spans="2:8">
      <c r="B92" s="183"/>
      <c r="C92" s="177"/>
      <c r="D92" s="177"/>
      <c r="E92" s="177"/>
      <c r="F92" s="195"/>
      <c r="G92" s="223"/>
      <c r="H92" s="224"/>
    </row>
    <row r="93" spans="2:8">
      <c r="B93" s="183"/>
      <c r="C93" s="177"/>
      <c r="D93" s="177"/>
      <c r="E93" s="177"/>
      <c r="F93" s="195"/>
      <c r="G93" s="223"/>
      <c r="H93" s="224"/>
    </row>
    <row r="94" spans="2:8">
      <c r="B94" s="183"/>
      <c r="C94" s="177"/>
      <c r="D94" s="177"/>
      <c r="E94" s="177"/>
      <c r="F94" s="195"/>
      <c r="G94" s="223"/>
      <c r="H94" s="224"/>
    </row>
    <row r="95" spans="2:8">
      <c r="B95" s="183"/>
      <c r="C95" s="177"/>
      <c r="D95" s="177"/>
      <c r="E95" s="177"/>
      <c r="F95" s="195"/>
      <c r="G95" s="223"/>
      <c r="H95" s="224"/>
    </row>
    <row r="96" spans="2:8">
      <c r="B96" s="183"/>
      <c r="C96" s="177"/>
      <c r="D96" s="177"/>
      <c r="E96" s="177"/>
      <c r="F96" s="195"/>
      <c r="G96" s="223"/>
      <c r="H96" s="224"/>
    </row>
    <row r="97" spans="2:8">
      <c r="B97" s="183"/>
      <c r="C97" s="177"/>
      <c r="D97" s="177"/>
      <c r="E97" s="177"/>
      <c r="F97" s="195"/>
      <c r="G97" s="223"/>
      <c r="H97" s="224"/>
    </row>
    <row r="98" spans="2:8">
      <c r="B98" s="183"/>
      <c r="C98" s="177"/>
      <c r="D98" s="177"/>
      <c r="E98" s="177"/>
      <c r="F98" s="195"/>
      <c r="G98" s="223"/>
      <c r="H98" s="224"/>
    </row>
    <row r="99" spans="2:8">
      <c r="B99" s="183"/>
      <c r="C99" s="177"/>
      <c r="D99" s="177"/>
      <c r="E99" s="177"/>
      <c r="F99" s="195"/>
      <c r="G99" s="223"/>
      <c r="H99" s="224"/>
    </row>
    <row r="100" spans="2:8">
      <c r="B100" s="183"/>
      <c r="C100" s="177"/>
      <c r="D100" s="177"/>
      <c r="E100" s="177"/>
      <c r="F100" s="195"/>
      <c r="G100" s="223"/>
      <c r="H100" s="224"/>
    </row>
    <row r="101" spans="2:8">
      <c r="B101" s="183"/>
      <c r="C101" s="177"/>
      <c r="D101" s="177"/>
      <c r="E101" s="177"/>
      <c r="F101" s="195"/>
      <c r="G101" s="223"/>
      <c r="H101" s="224"/>
    </row>
    <row r="102" spans="2:8">
      <c r="B102" s="183"/>
      <c r="C102" s="177"/>
      <c r="D102" s="177"/>
      <c r="E102" s="177"/>
      <c r="F102" s="195"/>
      <c r="G102" s="223"/>
      <c r="H102" s="224"/>
    </row>
    <row r="103" spans="2:8">
      <c r="B103" s="183"/>
      <c r="C103" s="177"/>
      <c r="D103" s="177"/>
      <c r="E103" s="177"/>
      <c r="F103" s="195"/>
      <c r="G103" s="223"/>
      <c r="H103" s="224"/>
    </row>
    <row r="104" spans="2:8">
      <c r="B104" s="183"/>
      <c r="C104" s="177"/>
      <c r="D104" s="177"/>
      <c r="E104" s="177"/>
      <c r="F104" s="195"/>
      <c r="G104" s="223"/>
      <c r="H104" s="224"/>
    </row>
    <row r="105" spans="2:8">
      <c r="B105" s="183"/>
      <c r="C105" s="177"/>
      <c r="D105" s="177"/>
      <c r="E105" s="177"/>
      <c r="F105" s="195"/>
      <c r="G105" s="223"/>
      <c r="H105" s="224"/>
    </row>
    <row r="106" spans="2:8">
      <c r="B106" s="183"/>
      <c r="C106" s="177"/>
      <c r="D106" s="177"/>
      <c r="E106" s="177"/>
      <c r="F106" s="195"/>
      <c r="G106" s="223"/>
      <c r="H106" s="224"/>
    </row>
    <row r="107" spans="2:8">
      <c r="B107" s="183"/>
      <c r="C107" s="177"/>
      <c r="D107" s="177"/>
      <c r="E107" s="177"/>
      <c r="F107" s="195"/>
      <c r="G107" s="223"/>
      <c r="H107" s="224"/>
    </row>
    <row r="108" spans="2:8">
      <c r="B108" s="183"/>
      <c r="C108" s="177"/>
      <c r="D108" s="177"/>
      <c r="E108" s="177"/>
      <c r="F108" s="195"/>
      <c r="G108" s="223"/>
      <c r="H108" s="224"/>
    </row>
    <row r="109" spans="2:8">
      <c r="B109" s="183"/>
      <c r="C109" s="177"/>
      <c r="D109" s="177"/>
      <c r="E109" s="177"/>
      <c r="F109" s="195"/>
      <c r="G109" s="223"/>
      <c r="H109" s="224"/>
    </row>
    <row r="110" spans="2:8">
      <c r="B110" s="183"/>
      <c r="C110" s="177"/>
      <c r="D110" s="177"/>
      <c r="E110" s="177"/>
      <c r="F110" s="195"/>
      <c r="G110" s="223"/>
      <c r="H110" s="224"/>
    </row>
    <row r="111" spans="2:8">
      <c r="B111" s="183"/>
      <c r="C111" s="177"/>
      <c r="D111" s="177"/>
      <c r="E111" s="177"/>
      <c r="F111" s="195"/>
      <c r="G111" s="223"/>
      <c r="H111" s="224"/>
    </row>
    <row r="112" spans="2:8">
      <c r="B112" s="183"/>
      <c r="C112" s="177"/>
      <c r="D112" s="177"/>
      <c r="E112" s="177"/>
      <c r="F112" s="195"/>
      <c r="G112" s="223"/>
      <c r="H112" s="224"/>
    </row>
    <row r="113" spans="2:8">
      <c r="B113" s="183"/>
      <c r="C113" s="177"/>
      <c r="D113" s="177"/>
      <c r="E113" s="177"/>
      <c r="F113" s="195"/>
      <c r="G113" s="223"/>
      <c r="H113" s="224"/>
    </row>
    <row r="114" spans="2:8">
      <c r="B114" s="183"/>
      <c r="C114" s="177"/>
      <c r="D114" s="177"/>
      <c r="E114" s="177"/>
      <c r="F114" s="195"/>
      <c r="G114" s="223"/>
      <c r="H114" s="224"/>
    </row>
    <row r="115" spans="2:8">
      <c r="B115" s="183"/>
      <c r="C115" s="177"/>
      <c r="D115" s="177"/>
      <c r="E115" s="177"/>
      <c r="F115" s="195"/>
      <c r="G115" s="223"/>
      <c r="H115" s="224"/>
    </row>
    <row r="116" spans="2:8">
      <c r="B116" s="183"/>
      <c r="C116" s="195"/>
      <c r="D116" s="177"/>
      <c r="E116" s="177"/>
      <c r="F116" s="195"/>
      <c r="G116" s="223"/>
      <c r="H116" s="224"/>
    </row>
    <row r="117" spans="2:8">
      <c r="B117" s="183"/>
      <c r="C117" s="177"/>
      <c r="D117" s="177"/>
      <c r="E117" s="177"/>
      <c r="F117" s="195"/>
      <c r="G117" s="223"/>
      <c r="H117" s="224"/>
    </row>
    <row r="118" spans="2:8">
      <c r="B118" s="183"/>
      <c r="C118" s="195"/>
      <c r="D118" s="177"/>
      <c r="E118" s="177"/>
      <c r="F118" s="195"/>
      <c r="G118" s="223"/>
      <c r="H118" s="224"/>
    </row>
    <row r="119" spans="2:8">
      <c r="B119" s="183"/>
      <c r="C119" s="195"/>
      <c r="D119" s="177"/>
      <c r="E119" s="177"/>
      <c r="F119" s="195"/>
      <c r="G119" s="223"/>
      <c r="H119" s="224"/>
    </row>
    <row r="120" spans="2:8">
      <c r="B120" s="183"/>
      <c r="C120" s="195"/>
      <c r="D120" s="177"/>
      <c r="E120" s="177"/>
      <c r="F120" s="195"/>
      <c r="G120" s="223"/>
      <c r="H120" s="224"/>
    </row>
    <row r="121" spans="2:8">
      <c r="B121" s="183"/>
      <c r="C121" s="195"/>
      <c r="D121" s="177"/>
      <c r="E121" s="177"/>
      <c r="F121" s="195"/>
      <c r="G121" s="223"/>
      <c r="H121" s="224"/>
    </row>
    <row r="122" spans="2:8">
      <c r="B122" s="183"/>
      <c r="C122" s="195"/>
      <c r="D122" s="177"/>
      <c r="E122" s="177"/>
      <c r="F122" s="195"/>
      <c r="G122" s="223"/>
      <c r="H122" s="224"/>
    </row>
    <row r="123" spans="2:8">
      <c r="B123" s="183"/>
      <c r="C123" s="195"/>
      <c r="D123" s="177"/>
      <c r="E123" s="177"/>
      <c r="F123" s="195"/>
      <c r="G123" s="223"/>
      <c r="H123" s="224"/>
    </row>
    <row r="124" spans="2:8">
      <c r="B124" s="183"/>
      <c r="C124" s="195"/>
      <c r="D124" s="177"/>
      <c r="E124" s="177"/>
      <c r="F124" s="195"/>
      <c r="G124" s="223"/>
      <c r="H124" s="224"/>
    </row>
    <row r="125" spans="2:8">
      <c r="B125" s="183"/>
      <c r="C125" s="195"/>
      <c r="D125" s="177"/>
      <c r="E125" s="177"/>
      <c r="F125" s="195"/>
      <c r="G125" s="223"/>
      <c r="H125" s="224"/>
    </row>
    <row r="126" spans="2:8">
      <c r="B126" s="183"/>
      <c r="C126" s="195"/>
      <c r="D126" s="177"/>
      <c r="E126" s="177"/>
      <c r="F126" s="195"/>
      <c r="G126" s="223"/>
      <c r="H126" s="224"/>
    </row>
    <row r="127" spans="2:8">
      <c r="B127" s="183"/>
      <c r="C127" s="195"/>
      <c r="D127" s="177"/>
      <c r="E127" s="177"/>
      <c r="F127" s="195"/>
      <c r="G127" s="223"/>
      <c r="H127" s="224"/>
    </row>
    <row r="128" spans="2:8" ht="15.75" thickBot="1">
      <c r="B128" s="225"/>
      <c r="C128" s="214"/>
      <c r="D128" s="226"/>
      <c r="E128" s="226"/>
      <c r="F128" s="214"/>
      <c r="G128" s="227"/>
      <c r="H128" s="228"/>
    </row>
    <row r="129" spans="2:8">
      <c r="B129" s="195"/>
      <c r="C129" s="195"/>
      <c r="D129" s="177"/>
      <c r="E129" s="177"/>
      <c r="F129" s="195"/>
      <c r="G129" s="223"/>
      <c r="H129" s="223" t="s">
        <v>4066</v>
      </c>
    </row>
    <row r="130" spans="2:8">
      <c r="B130" s="195"/>
      <c r="C130" s="195"/>
      <c r="D130" s="177"/>
      <c r="E130" s="177"/>
      <c r="F130" s="195"/>
      <c r="G130" s="223"/>
      <c r="H130" s="223"/>
    </row>
    <row r="131" spans="2:8">
      <c r="B131" s="195"/>
      <c r="C131" s="195"/>
      <c r="D131" s="177"/>
      <c r="E131" s="177"/>
      <c r="F131" s="195"/>
      <c r="G131" s="223"/>
      <c r="H131" s="379"/>
    </row>
    <row r="132" spans="2:8">
      <c r="B132" s="177" t="s">
        <v>1687</v>
      </c>
      <c r="C132" s="177"/>
      <c r="D132" s="177"/>
      <c r="E132" s="177"/>
      <c r="F132" s="177"/>
      <c r="G132" s="229"/>
      <c r="H132" s="131"/>
    </row>
    <row r="133" spans="2:8">
      <c r="B133" s="195"/>
      <c r="C133" s="195"/>
      <c r="D133" s="195"/>
      <c r="E133" s="195"/>
      <c r="F133" s="195"/>
      <c r="G133" s="223"/>
      <c r="H133" s="223"/>
    </row>
    <row r="134" spans="2:8">
      <c r="B134" s="195"/>
      <c r="C134" s="195"/>
      <c r="D134" s="195"/>
      <c r="E134" s="195"/>
      <c r="F134" s="195"/>
      <c r="G134" s="223"/>
      <c r="H134" s="223"/>
    </row>
    <row r="135" spans="2:8">
      <c r="B135" s="195"/>
      <c r="C135" s="195"/>
      <c r="D135" s="195"/>
      <c r="E135" s="195"/>
      <c r="F135" s="195"/>
      <c r="G135" s="223"/>
      <c r="H135" s="223"/>
    </row>
    <row r="136" spans="2:8">
      <c r="B136" s="195"/>
      <c r="C136" s="195"/>
      <c r="D136" s="195"/>
      <c r="E136" s="195"/>
      <c r="F136" s="195"/>
      <c r="G136" s="223"/>
      <c r="H136" s="223"/>
    </row>
    <row r="137" spans="2:8">
      <c r="B137" s="195"/>
      <c r="C137" s="195"/>
      <c r="D137" s="195"/>
      <c r="E137" s="195"/>
      <c r="F137" s="195"/>
      <c r="G137" s="223"/>
      <c r="H137" s="223"/>
    </row>
    <row r="138" spans="2:8">
      <c r="B138" s="195"/>
      <c r="C138" s="195"/>
      <c r="D138" s="195"/>
      <c r="E138" s="195"/>
      <c r="F138" s="195"/>
      <c r="G138" s="223"/>
      <c r="H138" s="223"/>
    </row>
    <row r="139" spans="2:8">
      <c r="B139" s="195"/>
      <c r="C139" s="195"/>
      <c r="D139" s="195"/>
      <c r="E139" s="195"/>
      <c r="F139" s="195"/>
      <c r="G139" s="223"/>
      <c r="H139" s="223"/>
    </row>
    <row r="140" spans="2:8">
      <c r="B140" s="195"/>
      <c r="C140" s="195"/>
      <c r="D140" s="195"/>
      <c r="E140" s="195"/>
      <c r="F140" s="195"/>
      <c r="G140" s="223"/>
      <c r="H140" s="223"/>
    </row>
    <row r="141" spans="2:8">
      <c r="B141" s="195"/>
      <c r="C141" s="195"/>
      <c r="D141" s="195"/>
      <c r="E141" s="195"/>
      <c r="F141" s="195"/>
      <c r="G141" s="223"/>
      <c r="H141" s="223"/>
    </row>
    <row r="142" spans="2:8">
      <c r="B142" s="195"/>
      <c r="C142" s="195"/>
      <c r="D142" s="195"/>
      <c r="E142" s="195"/>
      <c r="F142" s="195"/>
      <c r="G142" s="223"/>
      <c r="H142" s="223"/>
    </row>
    <row r="143" spans="2:8">
      <c r="B143" s="195"/>
      <c r="C143" s="195"/>
      <c r="D143" s="195"/>
      <c r="E143" s="195"/>
      <c r="F143" s="195"/>
      <c r="G143" s="223"/>
      <c r="H143" s="223"/>
    </row>
    <row r="144" spans="2:8">
      <c r="B144" s="195"/>
      <c r="C144" s="195"/>
      <c r="D144" s="195"/>
      <c r="E144" s="195"/>
      <c r="F144" s="195"/>
      <c r="G144" s="223"/>
      <c r="H144" s="223"/>
    </row>
    <row r="145" spans="2:8">
      <c r="B145" s="195"/>
      <c r="C145" s="195"/>
      <c r="D145" s="195"/>
      <c r="E145" s="195"/>
      <c r="F145" s="195"/>
      <c r="G145" s="223"/>
      <c r="H145" s="223"/>
    </row>
    <row r="146" spans="2:8">
      <c r="B146" s="195"/>
      <c r="C146" s="195"/>
      <c r="D146" s="195"/>
      <c r="E146" s="195"/>
      <c r="F146" s="195"/>
      <c r="G146" s="223"/>
      <c r="H146" s="223"/>
    </row>
    <row r="147" spans="2:8">
      <c r="B147" s="195"/>
      <c r="C147" s="195"/>
      <c r="D147" s="195"/>
      <c r="E147" s="195"/>
      <c r="F147" s="195"/>
      <c r="G147" s="223"/>
      <c r="H147" s="223"/>
    </row>
    <row r="148" spans="2:8">
      <c r="B148" s="195"/>
      <c r="C148" s="195"/>
      <c r="D148" s="195"/>
      <c r="E148" s="195"/>
      <c r="F148" s="195"/>
      <c r="G148" s="195"/>
      <c r="H148" s="195"/>
    </row>
    <row r="149" spans="2:8">
      <c r="B149" s="195"/>
      <c r="C149" s="195"/>
      <c r="D149" s="195"/>
      <c r="E149" s="195"/>
      <c r="F149" s="195"/>
      <c r="G149" s="195"/>
      <c r="H149" s="195"/>
    </row>
    <row r="150" spans="2:8">
      <c r="B150" s="195"/>
      <c r="C150" s="195"/>
      <c r="D150" s="195"/>
      <c r="E150" s="195"/>
      <c r="F150" s="195"/>
      <c r="G150" s="195"/>
      <c r="H150" s="195"/>
    </row>
    <row r="151" spans="2:8">
      <c r="B151" s="195"/>
      <c r="C151" s="195"/>
      <c r="D151" s="195"/>
      <c r="E151" s="195"/>
      <c r="F151" s="195"/>
      <c r="G151" s="195"/>
      <c r="H151" s="195"/>
    </row>
    <row r="152" spans="2:8">
      <c r="B152" s="195"/>
      <c r="C152" s="195"/>
      <c r="D152" s="195"/>
      <c r="E152" s="195"/>
      <c r="F152" s="195"/>
      <c r="G152" s="195"/>
      <c r="H152" s="195"/>
    </row>
  </sheetData>
  <customSheetViews>
    <customSheetView guid="{1BA452AD-1A45-4D9C-9666-ADFFA6F2F567}" scale="60" colorId="22" showPageBreaks="1" printArea="1" view="pageBreakPreview">
      <selection activeCell="G47" sqref="G47"/>
      <rowBreaks count="1" manualBreakCount="1">
        <brk id="65" max="16383" man="1"/>
      </rowBreaks>
      <pageMargins left="0.4" right="0.4" top="0.3" bottom="0.3" header="0" footer="0"/>
      <printOptions horizontalCentered="1" verticalCentered="1"/>
      <pageSetup scale="64" fitToWidth="2" orientation="portrait" r:id="rId1"/>
      <headerFooter alignWithMargins="0"/>
    </customSheetView>
    <customSheetView guid="{EEF7ABD6-0F96-4791-B749-C06F707E7673}" scale="60" colorId="22" showPageBreaks="1" printArea="1" view="pageBreakPreview" showRuler="0">
      <selection activeCell="P67" sqref="P67"/>
      <rowBreaks count="1" manualBreakCount="1">
        <brk id="65" max="16383" man="1"/>
      </rowBreaks>
      <pageMargins left="0.4" right="0.4" top="0.3" bottom="0.3" header="0" footer="0"/>
      <printOptions horizontalCentered="1" verticalCentered="1"/>
      <pageSetup scale="64" fitToWidth="2" orientation="portrait" r:id="rId2"/>
      <headerFooter alignWithMargins="0"/>
    </customSheetView>
    <customSheetView guid="{A7D7DB3C-AFE6-468E-8C6B-9531F6711497}" scale="60" colorId="22" showPageBreaks="1" printArea="1" view="pageBreakPreview" showRuler="0">
      <selection activeCell="H5" sqref="H5"/>
      <rowBreaks count="1" manualBreakCount="1">
        <brk id="65" max="16383" man="1"/>
      </rowBreaks>
      <pageMargins left="0.4" right="0.4" top="0.3" bottom="0.3" header="0" footer="0"/>
      <printOptions horizontalCentered="1" verticalCentered="1"/>
      <pageSetup scale="64" fitToWidth="2" orientation="portrait" r:id="rId3"/>
      <headerFooter alignWithMargins="0"/>
    </customSheetView>
    <customSheetView guid="{4436FEB5-BFEC-4348-9286-CB706802873E}" scale="60" colorId="22" showPageBreaks="1" printArea="1" view="pageBreakPreview" showRuler="0">
      <selection activeCell="H5" sqref="H5"/>
      <rowBreaks count="1" manualBreakCount="1">
        <brk id="65" max="16383" man="1"/>
      </rowBreaks>
      <pageMargins left="0.4" right="0.4" top="0.3" bottom="0.3" header="0" footer="0"/>
      <printOptions horizontalCentered="1" verticalCentered="1"/>
      <pageSetup scale="64" fitToWidth="2" orientation="portrait" r:id="rId4"/>
      <headerFooter alignWithMargins="0"/>
    </customSheetView>
    <customSheetView guid="{044CF00C-469F-44B3-B2C4-9B4049CE70CB}" scale="75" colorId="22" showRuler="0">
      <selection activeCell="G36" sqref="G36"/>
      <rowBreaks count="1" manualBreakCount="1">
        <brk id="65" max="16383" man="1"/>
      </rowBreaks>
      <pageMargins left="0.4" right="0.4" top="0.3" bottom="0.3" header="0" footer="0"/>
      <printOptions horizontalCentered="1" verticalCentered="1"/>
      <pageSetup scale="64" fitToWidth="2" orientation="portrait" r:id="rId5"/>
      <headerFooter alignWithMargins="0"/>
    </customSheetView>
    <customSheetView guid="{4826FCC0-BDD6-4B2C-ACC6-ACE271DDF0E3}" scale="60" colorId="22" showPageBreaks="1" printArea="1" view="pageBreakPreview" showRuler="0" topLeftCell="A70">
      <selection activeCell="P67" sqref="P67"/>
      <rowBreaks count="1" manualBreakCount="1">
        <brk id="65" max="16383" man="1"/>
      </rowBreaks>
      <pageMargins left="0.4" right="0.4" top="0.3" bottom="0.3" header="0" footer="0"/>
      <printOptions horizontalCentered="1" verticalCentered="1"/>
      <pageSetup scale="64" fitToWidth="2" orientation="portrait" r:id="rId6"/>
      <headerFooter alignWithMargins="0"/>
    </customSheetView>
    <customSheetView guid="{EF376D10-23D6-4FE2-AB5B-4460D52CC93F}" scale="60" colorId="22" showPageBreaks="1" printArea="1" view="pageBreakPreview" showRuler="0">
      <selection activeCell="P67" sqref="P67"/>
      <rowBreaks count="1" manualBreakCount="1">
        <brk id="65" max="16383" man="1"/>
      </rowBreaks>
      <pageMargins left="0.4" right="0.4" top="0.3" bottom="0.3" header="0" footer="0"/>
      <printOptions horizontalCentered="1" verticalCentered="1"/>
      <pageSetup scale="64" fitToWidth="2" orientation="portrait" r:id="rId7"/>
      <headerFooter alignWithMargins="0"/>
    </customSheetView>
    <customSheetView guid="{1C046605-15CE-44F1-BFCD-2CA8588E7ACF}" scale="60" colorId="22" showPageBreaks="1" printArea="1" view="pageBreakPreview" showRuler="0">
      <selection activeCell="P67" sqref="P67"/>
      <rowBreaks count="1" manualBreakCount="1">
        <brk id="65" max="16383" man="1"/>
      </rowBreaks>
      <pageMargins left="0.4" right="0.4" top="0.3" bottom="0.3" header="0" footer="0"/>
      <printOptions horizontalCentered="1" verticalCentered="1"/>
      <pageSetup scale="64" fitToWidth="2" orientation="portrait" r:id="rId8"/>
      <headerFooter alignWithMargins="0"/>
    </customSheetView>
    <customSheetView guid="{3911D713-188C-46A1-A299-F21DD3B7A146}" scale="60" colorId="22" showPageBreaks="1" printArea="1" view="pageBreakPreview" showRuler="0">
      <selection activeCell="P67" sqref="P67"/>
      <rowBreaks count="1" manualBreakCount="1">
        <brk id="65" max="16383" man="1"/>
      </rowBreaks>
      <pageMargins left="0.4" right="0.4" top="0.3" bottom="0.3" header="0" footer="0"/>
      <printOptions horizontalCentered="1" verticalCentered="1"/>
      <pageSetup scale="64" fitToWidth="2" orientation="portrait" r:id="rId9"/>
      <headerFooter alignWithMargins="0"/>
    </customSheetView>
    <customSheetView guid="{78BB1E60-60BE-4F56-9763-075185EFEFAB}" scale="60" colorId="22" showPageBreaks="1" printArea="1" view="pageBreakPreview">
      <selection activeCell="G47" sqref="G47"/>
      <rowBreaks count="1" manualBreakCount="1">
        <brk id="65" max="16383" man="1"/>
      </rowBreaks>
      <pageMargins left="0.4" right="0.4" top="0.3" bottom="0.3" header="0" footer="0"/>
      <printOptions horizontalCentered="1" verticalCentered="1"/>
      <pageSetup scale="64" fitToWidth="2" orientation="portrait" r:id="rId10"/>
      <headerFooter alignWithMargins="0"/>
    </customSheetView>
    <customSheetView guid="{9C30803E-1E2D-4850-B0A5-591CA6F246A1}" scale="60" colorId="22" showPageBreaks="1" printArea="1" view="pageBreakPreview">
      <selection activeCell="G47" sqref="G47"/>
      <rowBreaks count="1" manualBreakCount="1">
        <brk id="65" max="16383" man="1"/>
      </rowBreaks>
      <pageMargins left="0.4" right="0.4" top="0.3" bottom="0.3" header="0" footer="0"/>
      <printOptions horizontalCentered="1" verticalCentered="1"/>
      <pageSetup scale="64" fitToWidth="2" orientation="portrait" r:id="rId11"/>
      <headerFooter alignWithMargins="0"/>
    </customSheetView>
    <customSheetView guid="{3B1006FF-A2CA-49E7-9B25-DAC8815279AF}" scale="60" colorId="22" showPageBreaks="1" printArea="1" view="pageBreakPreview">
      <selection activeCell="G47" sqref="G47"/>
      <rowBreaks count="1" manualBreakCount="1">
        <brk id="65" max="16383" man="1"/>
      </rowBreaks>
      <pageMargins left="0.4" right="0.4" top="0.3" bottom="0.3" header="0" footer="0"/>
      <printOptions horizontalCentered="1" verticalCentered="1"/>
      <pageSetup scale="64" fitToWidth="2" orientation="portrait" r:id="rId12"/>
      <headerFooter alignWithMargins="0"/>
    </customSheetView>
    <customSheetView guid="{FB1A60C8-E1F9-4DF0-8E0E-1C965F86027F}" scale="60" colorId="22" showPageBreaks="1" printArea="1" view="pageBreakPreview">
      <selection activeCell="G47" sqref="G47"/>
      <rowBreaks count="1" manualBreakCount="1">
        <brk id="65" max="16383" man="1"/>
      </rowBreaks>
      <pageMargins left="0.4" right="0.4" top="0.3" bottom="0.3" header="0" footer="0"/>
      <printOptions horizontalCentered="1" verticalCentered="1"/>
      <pageSetup scale="64" fitToWidth="2" orientation="portrait" r:id="rId13"/>
      <headerFooter alignWithMargins="0"/>
    </customSheetView>
    <customSheetView guid="{C5B6D812-CBE6-46AA-99F7-02494E9802B4}" scale="70" colorId="22" showPageBreaks="1" printArea="1" view="pageBreakPreview">
      <selection activeCell="C10" sqref="C10"/>
      <rowBreaks count="1" manualBreakCount="1">
        <brk id="65" max="16383" man="1"/>
      </rowBreaks>
      <pageMargins left="0.4" right="0.4" top="0.3" bottom="0.3" header="0" footer="0"/>
      <printOptions horizontalCentered="1" verticalCentered="1"/>
      <pageSetup scale="64" fitToWidth="2" orientation="portrait" r:id="rId14"/>
      <headerFooter alignWithMargins="0"/>
    </customSheetView>
  </customSheetViews>
  <phoneticPr fontId="0" type="noConversion"/>
  <printOptions horizontalCentered="1" verticalCentered="1"/>
  <pageMargins left="0.4" right="0.4" top="0.3" bottom="0.3" header="0" footer="0"/>
  <pageSetup scale="64" fitToWidth="2" orientation="portrait" r:id="rId15"/>
  <headerFooter alignWithMargins="0"/>
  <rowBreaks count="1" manualBreakCount="1">
    <brk id="65" max="16383" man="1"/>
  </rowBreaks>
  <customProperties>
    <customPr name="_pios_id" r:id="rId16"/>
  </customProperties>
</worksheet>
</file>

<file path=xl/worksheets/sheet19.xml><?xml version="1.0" encoding="utf-8"?>
<worksheet xmlns="http://schemas.openxmlformats.org/spreadsheetml/2006/main" xmlns:r="http://schemas.openxmlformats.org/officeDocument/2006/relationships">
  <sheetPr transitionEvaluation="1" codeName="Sheet19" enableFormatConditionsCalculation="0">
    <pageSetUpPr fitToPage="1"/>
  </sheetPr>
  <dimension ref="A1:N76"/>
  <sheetViews>
    <sheetView defaultGridColor="0" colorId="22" zoomScale="70" zoomScaleNormal="70" zoomScaleSheetLayoutView="70" workbookViewId="0"/>
  </sheetViews>
  <sheetFormatPr defaultColWidth="9.77734375" defaultRowHeight="15"/>
  <cols>
    <col min="1" max="1" width="4.77734375" customWidth="1"/>
    <col min="2" max="2" width="45.6640625" customWidth="1"/>
    <col min="3" max="3" width="25.44140625" customWidth="1"/>
    <col min="4" max="5" width="18.77734375" customWidth="1"/>
    <col min="6" max="6" width="1.109375" customWidth="1"/>
    <col min="7" max="7" width="15.77734375" customWidth="1"/>
    <col min="8" max="10" width="19.77734375" customWidth="1"/>
    <col min="11" max="11" width="27.5546875" customWidth="1"/>
    <col min="12" max="12" width="6.109375" customWidth="1"/>
    <col min="13" max="13" width="9.77734375" customWidth="1"/>
  </cols>
  <sheetData>
    <row r="1" spans="1:14" ht="15.75" thickBot="1">
      <c r="A1" s="859" t="str">
        <f>+'Data sheet'!A53</f>
        <v>Annual Report of New York American Water Company, Inc. (f/k/a Long Island Water Corp)                                   Year Ended  December 31, 2013</v>
      </c>
      <c r="G1" s="859" t="str">
        <f>A1</f>
        <v>Annual Report of New York American Water Company, Inc. (f/k/a Long Island Water Corp)                                   Year Ended  December 31, 2013</v>
      </c>
    </row>
    <row r="2" spans="1:14" ht="15.75" thickTop="1">
      <c r="A2" s="2742"/>
      <c r="B2" s="2743"/>
      <c r="C2" s="2743"/>
      <c r="D2" s="2743"/>
      <c r="E2" s="2744"/>
      <c r="F2" s="174"/>
      <c r="G2" s="173"/>
      <c r="H2" s="174"/>
      <c r="I2" s="174"/>
      <c r="J2" s="174"/>
      <c r="K2" s="174"/>
      <c r="L2" s="175"/>
      <c r="N2" s="1702"/>
    </row>
    <row r="3" spans="1:14" ht="15.75">
      <c r="A3" s="3033" t="s">
        <v>1259</v>
      </c>
      <c r="B3" s="3034"/>
      <c r="C3" s="3034"/>
      <c r="D3" s="3034"/>
      <c r="E3" s="3035"/>
      <c r="F3" s="2805"/>
      <c r="G3" s="380" t="s">
        <v>4257</v>
      </c>
      <c r="H3" s="1087"/>
      <c r="I3" s="1087"/>
      <c r="J3" s="1087"/>
      <c r="K3" s="1087"/>
      <c r="L3" s="178"/>
    </row>
    <row r="4" spans="1:14" ht="15.75">
      <c r="A4" s="3033" t="s">
        <v>4258</v>
      </c>
      <c r="B4" s="3034"/>
      <c r="C4" s="3034"/>
      <c r="D4" s="3034"/>
      <c r="E4" s="3035"/>
      <c r="F4" s="2805"/>
      <c r="G4" s="380" t="s">
        <v>4258</v>
      </c>
      <c r="H4" s="1087"/>
      <c r="I4" s="1087"/>
      <c r="J4" s="1087"/>
      <c r="K4" s="1087"/>
      <c r="L4" s="178"/>
    </row>
    <row r="5" spans="1:14" ht="15.75">
      <c r="A5" s="2783"/>
      <c r="B5" s="361"/>
      <c r="C5" s="180"/>
      <c r="D5" s="180"/>
      <c r="E5" s="2750"/>
      <c r="F5" s="180"/>
      <c r="G5" s="381"/>
      <c r="H5" s="180"/>
      <c r="I5" s="180"/>
      <c r="J5" s="180"/>
      <c r="K5" s="180"/>
      <c r="L5" s="181"/>
    </row>
    <row r="6" spans="1:14">
      <c r="A6" s="2752"/>
      <c r="B6" s="1085"/>
      <c r="C6" s="1085"/>
      <c r="D6" s="322"/>
      <c r="E6" s="2753"/>
      <c r="F6" s="1085"/>
      <c r="G6" s="787" t="s">
        <v>4259</v>
      </c>
      <c r="H6" s="803" t="s">
        <v>4259</v>
      </c>
      <c r="I6" s="803" t="s">
        <v>4259</v>
      </c>
      <c r="J6" s="803" t="s">
        <v>4259</v>
      </c>
      <c r="K6" s="197"/>
      <c r="L6" s="332"/>
    </row>
    <row r="7" spans="1:14">
      <c r="A7" s="2752" t="s">
        <v>1129</v>
      </c>
      <c r="B7" s="1087" t="s">
        <v>429</v>
      </c>
      <c r="C7" s="1087"/>
      <c r="D7" s="307" t="s">
        <v>3323</v>
      </c>
      <c r="E7" s="2784" t="s">
        <v>4260</v>
      </c>
      <c r="F7" s="2804"/>
      <c r="G7" s="2806"/>
      <c r="H7" s="803" t="s">
        <v>3955</v>
      </c>
      <c r="I7" s="803" t="s">
        <v>3955</v>
      </c>
      <c r="J7" s="803" t="s">
        <v>3955</v>
      </c>
      <c r="K7" s="803" t="s">
        <v>2718</v>
      </c>
      <c r="L7" s="332" t="s">
        <v>1129</v>
      </c>
    </row>
    <row r="8" spans="1:14">
      <c r="A8" s="2757" t="s">
        <v>3324</v>
      </c>
      <c r="B8" s="180" t="s">
        <v>4032</v>
      </c>
      <c r="C8" s="180"/>
      <c r="D8" s="306" t="s">
        <v>4033</v>
      </c>
      <c r="E8" s="2785" t="s">
        <v>4034</v>
      </c>
      <c r="F8" s="996"/>
      <c r="G8" s="787" t="s">
        <v>4035</v>
      </c>
      <c r="H8" s="812" t="s">
        <v>2277</v>
      </c>
      <c r="I8" s="812" t="s">
        <v>2278</v>
      </c>
      <c r="J8" s="812" t="s">
        <v>2279</v>
      </c>
      <c r="K8" s="812" t="s">
        <v>2280</v>
      </c>
      <c r="L8" s="330" t="s">
        <v>3324</v>
      </c>
    </row>
    <row r="9" spans="1:14">
      <c r="A9" s="2757" t="s">
        <v>2699</v>
      </c>
      <c r="B9" s="180" t="s">
        <v>2425</v>
      </c>
      <c r="C9" s="180"/>
      <c r="D9" s="383"/>
      <c r="E9" s="2786"/>
      <c r="F9" s="1957"/>
      <c r="G9" s="384"/>
      <c r="H9" s="1957"/>
      <c r="I9" s="1957"/>
      <c r="J9" s="1957"/>
      <c r="K9" s="385"/>
      <c r="L9" s="330" t="s">
        <v>2699</v>
      </c>
    </row>
    <row r="10" spans="1:14">
      <c r="A10" s="2757" t="s">
        <v>2700</v>
      </c>
      <c r="B10" s="852" t="s">
        <v>3956</v>
      </c>
      <c r="C10" s="180"/>
      <c r="D10" s="386"/>
      <c r="E10" s="2808" t="s">
        <v>4373</v>
      </c>
      <c r="F10" s="2807"/>
      <c r="G10" s="2809"/>
      <c r="H10" s="388"/>
      <c r="I10" s="388"/>
      <c r="J10" s="388"/>
      <c r="K10" s="389"/>
      <c r="L10" s="330" t="s">
        <v>2700</v>
      </c>
    </row>
    <row r="11" spans="1:14">
      <c r="A11" s="2757" t="s">
        <v>2701</v>
      </c>
      <c r="B11" s="852" t="s">
        <v>3957</v>
      </c>
      <c r="C11" s="180"/>
      <c r="D11" s="2646">
        <f>SUM(E11:K11)</f>
        <v>193794207.84999999</v>
      </c>
      <c r="E11" s="2788">
        <v>193794207.84999999</v>
      </c>
      <c r="F11" s="1958"/>
      <c r="G11" s="976"/>
      <c r="H11" s="977"/>
      <c r="I11" s="977"/>
      <c r="J11" s="977"/>
      <c r="K11" s="977"/>
      <c r="L11" s="330" t="s">
        <v>2701</v>
      </c>
    </row>
    <row r="12" spans="1:14">
      <c r="A12" s="2757" t="s">
        <v>2702</v>
      </c>
      <c r="B12" s="852" t="s">
        <v>2062</v>
      </c>
      <c r="C12" s="180"/>
      <c r="D12" s="386"/>
      <c r="E12" s="2787"/>
      <c r="F12" s="388"/>
      <c r="G12" s="387"/>
      <c r="H12" s="388"/>
      <c r="I12" s="388"/>
      <c r="J12" s="388"/>
      <c r="K12" s="389"/>
      <c r="L12" s="330" t="s">
        <v>2702</v>
      </c>
    </row>
    <row r="13" spans="1:14">
      <c r="A13" s="2757" t="s">
        <v>2703</v>
      </c>
      <c r="B13" s="852" t="s">
        <v>2063</v>
      </c>
      <c r="C13" s="180"/>
      <c r="D13" s="972">
        <f t="shared" ref="D13:D22" si="0">SUM(E13:K13)</f>
        <v>0</v>
      </c>
      <c r="E13" s="2789">
        <v>0</v>
      </c>
      <c r="F13" s="1959"/>
      <c r="G13" s="973"/>
      <c r="H13" s="974"/>
      <c r="I13" s="974"/>
      <c r="J13" s="974"/>
      <c r="K13" s="974"/>
      <c r="L13" s="330" t="s">
        <v>2703</v>
      </c>
    </row>
    <row r="14" spans="1:14">
      <c r="A14" s="2757" t="s">
        <v>2704</v>
      </c>
      <c r="B14" s="852" t="s">
        <v>4042</v>
      </c>
      <c r="C14" s="180"/>
      <c r="D14" s="972">
        <f t="shared" si="0"/>
        <v>0</v>
      </c>
      <c r="E14" s="2790">
        <v>0</v>
      </c>
      <c r="F14" s="1959"/>
      <c r="G14" s="978"/>
      <c r="H14" s="974"/>
      <c r="I14" s="974"/>
      <c r="J14" s="974"/>
      <c r="K14" s="974"/>
      <c r="L14" s="330" t="s">
        <v>2704</v>
      </c>
    </row>
    <row r="15" spans="1:14">
      <c r="A15" s="2757" t="s">
        <v>2705</v>
      </c>
      <c r="B15" s="852" t="s">
        <v>2111</v>
      </c>
      <c r="C15" s="180"/>
      <c r="D15" s="979">
        <f t="shared" si="0"/>
        <v>22640439.75</v>
      </c>
      <c r="E15" s="2790">
        <v>22640439.75</v>
      </c>
      <c r="F15" s="1959"/>
      <c r="G15" s="978"/>
      <c r="H15" s="974"/>
      <c r="I15" s="974"/>
      <c r="J15" s="974"/>
      <c r="K15" s="974"/>
      <c r="L15" s="330" t="s">
        <v>2705</v>
      </c>
    </row>
    <row r="16" spans="1:14">
      <c r="A16" s="2757" t="s">
        <v>2706</v>
      </c>
      <c r="B16" s="852" t="s">
        <v>2741</v>
      </c>
      <c r="C16" s="180"/>
      <c r="D16" s="972">
        <f>SUM(D11:D15)</f>
        <v>216434647.59999999</v>
      </c>
      <c r="E16" s="2791">
        <f>SUM(E11:E15)</f>
        <v>216434647.59999999</v>
      </c>
      <c r="F16" s="995"/>
      <c r="G16" s="997">
        <f>SUM(G11:G15)</f>
        <v>0</v>
      </c>
      <c r="H16" s="983">
        <f>SUM(H11:H15)</f>
        <v>0</v>
      </c>
      <c r="I16" s="983">
        <f>SUM(I11:I15)</f>
        <v>0</v>
      </c>
      <c r="J16" s="983">
        <f>SUM(J11:J15)</f>
        <v>0</v>
      </c>
      <c r="K16" s="983">
        <f>SUM(K11:K15)</f>
        <v>0</v>
      </c>
      <c r="L16" s="330" t="s">
        <v>2706</v>
      </c>
    </row>
    <row r="17" spans="1:12">
      <c r="A17" s="2757" t="s">
        <v>2024</v>
      </c>
      <c r="B17" s="852" t="s">
        <v>2978</v>
      </c>
      <c r="C17" s="180"/>
      <c r="D17" s="979">
        <f t="shared" si="0"/>
        <v>0</v>
      </c>
      <c r="E17" s="2792">
        <v>0</v>
      </c>
      <c r="F17" s="1959"/>
      <c r="G17" s="978"/>
      <c r="H17" s="974"/>
      <c r="I17" s="974"/>
      <c r="J17" s="974"/>
      <c r="K17" s="974"/>
      <c r="L17" s="330" t="s">
        <v>2024</v>
      </c>
    </row>
    <row r="18" spans="1:12">
      <c r="A18" s="2757" t="s">
        <v>2025</v>
      </c>
      <c r="B18" s="852" t="s">
        <v>2979</v>
      </c>
      <c r="C18" s="180"/>
      <c r="D18" s="979">
        <f t="shared" si="0"/>
        <v>110933.07</v>
      </c>
      <c r="E18" s="2792">
        <v>110933.07</v>
      </c>
      <c r="F18" s="1959"/>
      <c r="G18" s="978"/>
      <c r="H18" s="974"/>
      <c r="I18" s="974"/>
      <c r="J18" s="974"/>
      <c r="K18" s="974"/>
      <c r="L18" s="330" t="s">
        <v>2025</v>
      </c>
    </row>
    <row r="19" spans="1:12">
      <c r="A19" s="2757" t="s">
        <v>2026</v>
      </c>
      <c r="B19" s="852" t="s">
        <v>616</v>
      </c>
      <c r="C19" s="180"/>
      <c r="D19" s="979">
        <f t="shared" si="0"/>
        <v>8468232.5500000007</v>
      </c>
      <c r="E19" s="2792">
        <v>8468232.5500000007</v>
      </c>
      <c r="F19" s="1959"/>
      <c r="G19" s="978"/>
      <c r="H19" s="974"/>
      <c r="I19" s="974"/>
      <c r="J19" s="1013"/>
      <c r="K19" s="974"/>
      <c r="L19" s="330" t="s">
        <v>2026</v>
      </c>
    </row>
    <row r="20" spans="1:12">
      <c r="A20" s="2757" t="s">
        <v>2027</v>
      </c>
      <c r="B20" s="852" t="s">
        <v>371</v>
      </c>
      <c r="C20" s="180"/>
      <c r="D20" s="1942">
        <f t="shared" si="0"/>
        <v>0</v>
      </c>
      <c r="E20" s="2792">
        <v>0</v>
      </c>
      <c r="F20" s="1959"/>
      <c r="G20" s="978"/>
      <c r="H20" s="974"/>
      <c r="I20" s="974"/>
      <c r="J20" s="974"/>
      <c r="K20" s="974"/>
      <c r="L20" s="330" t="s">
        <v>2027</v>
      </c>
    </row>
    <row r="21" spans="1:12">
      <c r="A21" s="2757" t="s">
        <v>2028</v>
      </c>
      <c r="B21" s="852" t="s">
        <v>372</v>
      </c>
      <c r="C21" s="180"/>
      <c r="D21" s="979">
        <f t="shared" si="0"/>
        <v>0</v>
      </c>
      <c r="E21" s="2792">
        <v>0</v>
      </c>
      <c r="F21" s="1959"/>
      <c r="G21" s="978"/>
      <c r="H21" s="974"/>
      <c r="I21" s="974"/>
      <c r="J21" s="974"/>
      <c r="K21" s="974"/>
      <c r="L21" s="330" t="s">
        <v>2028</v>
      </c>
    </row>
    <row r="22" spans="1:12">
      <c r="A22" s="2757" t="s">
        <v>2029</v>
      </c>
      <c r="B22" s="852" t="s">
        <v>2341</v>
      </c>
      <c r="C22" s="180"/>
      <c r="D22" s="979">
        <f t="shared" si="0"/>
        <v>0</v>
      </c>
      <c r="E22" s="2792">
        <v>0</v>
      </c>
      <c r="F22" s="1959"/>
      <c r="G22" s="978"/>
      <c r="H22" s="974"/>
      <c r="I22" s="974"/>
      <c r="J22" s="974"/>
      <c r="K22" s="974"/>
      <c r="L22" s="330" t="s">
        <v>2029</v>
      </c>
    </row>
    <row r="23" spans="1:12">
      <c r="A23" s="2757" t="s">
        <v>2030</v>
      </c>
      <c r="B23" s="852" t="s">
        <v>2342</v>
      </c>
      <c r="C23" s="180"/>
      <c r="D23" s="979">
        <f>SUM(D16:D22)</f>
        <v>225013813.22</v>
      </c>
      <c r="E23" s="2791">
        <f>SUM(E16:E22)</f>
        <v>225013813.22</v>
      </c>
      <c r="F23" s="995"/>
      <c r="G23" s="997">
        <f>SUM(G16:G22)</f>
        <v>0</v>
      </c>
      <c r="H23" s="979">
        <f>SUM(H16:H22)</f>
        <v>0</v>
      </c>
      <c r="I23" s="979">
        <f>SUM(I16:I22)</f>
        <v>0</v>
      </c>
      <c r="J23" s="979">
        <f>SUM(J16:J22)</f>
        <v>0</v>
      </c>
      <c r="K23" s="979">
        <f>SUM(K16:K22)</f>
        <v>0</v>
      </c>
      <c r="L23" s="330" t="s">
        <v>2030</v>
      </c>
    </row>
    <row r="24" spans="1:12">
      <c r="A24" s="2757" t="s">
        <v>4121</v>
      </c>
      <c r="B24" s="852" t="s">
        <v>2343</v>
      </c>
      <c r="C24" s="180"/>
      <c r="D24" s="979">
        <f>D41</f>
        <v>53293937.599999994</v>
      </c>
      <c r="E24" s="2791">
        <f>E41</f>
        <v>53293937.599999994</v>
      </c>
      <c r="F24" s="995"/>
      <c r="G24" s="997">
        <f>G41</f>
        <v>0</v>
      </c>
      <c r="H24" s="983">
        <f>H41</f>
        <v>0</v>
      </c>
      <c r="I24" s="983">
        <f>I41</f>
        <v>0</v>
      </c>
      <c r="J24" s="983">
        <f>J41</f>
        <v>0</v>
      </c>
      <c r="K24" s="983">
        <f>K41</f>
        <v>0</v>
      </c>
      <c r="L24" s="330" t="s">
        <v>4121</v>
      </c>
    </row>
    <row r="25" spans="1:12">
      <c r="A25" s="2757" t="s">
        <v>4122</v>
      </c>
      <c r="B25" s="852" t="s">
        <v>3652</v>
      </c>
      <c r="C25" s="180"/>
      <c r="D25" s="998">
        <f>D23-D24</f>
        <v>171719875.62</v>
      </c>
      <c r="E25" s="2793">
        <f>E23-E24</f>
        <v>171719875.62</v>
      </c>
      <c r="F25" s="994"/>
      <c r="G25" s="999">
        <f>G23-G24</f>
        <v>0</v>
      </c>
      <c r="H25" s="993">
        <f>H23-H24</f>
        <v>0</v>
      </c>
      <c r="I25" s="993">
        <f>I23-I24</f>
        <v>0</v>
      </c>
      <c r="J25" s="993">
        <f>J23-J24</f>
        <v>0</v>
      </c>
      <c r="K25" s="993">
        <f>K23-K24</f>
        <v>0</v>
      </c>
      <c r="L25" s="330" t="s">
        <v>4122</v>
      </c>
    </row>
    <row r="26" spans="1:12">
      <c r="A26" s="2757" t="s">
        <v>4123</v>
      </c>
      <c r="B26" s="2044" t="s">
        <v>3653</v>
      </c>
      <c r="C26" s="1085"/>
      <c r="D26" s="390"/>
      <c r="E26" s="2794"/>
      <c r="F26" s="1960"/>
      <c r="G26" s="391"/>
      <c r="H26" s="1960"/>
      <c r="I26" s="1960"/>
      <c r="J26" s="1960"/>
      <c r="K26" s="392"/>
      <c r="L26" s="330" t="s">
        <v>4123</v>
      </c>
    </row>
    <row r="27" spans="1:12">
      <c r="A27" s="2757" t="s">
        <v>749</v>
      </c>
      <c r="B27" s="855" t="s">
        <v>3654</v>
      </c>
      <c r="C27" s="193"/>
      <c r="D27" s="390"/>
      <c r="E27" s="2794"/>
      <c r="F27" s="1960"/>
      <c r="G27" s="391"/>
      <c r="H27" s="1960"/>
      <c r="I27" s="1960"/>
      <c r="J27" s="1960"/>
      <c r="K27" s="392"/>
      <c r="L27" s="330" t="s">
        <v>749</v>
      </c>
    </row>
    <row r="28" spans="1:12">
      <c r="A28" s="2757" t="s">
        <v>750</v>
      </c>
      <c r="B28" s="852" t="s">
        <v>3655</v>
      </c>
      <c r="C28" s="180"/>
      <c r="D28" s="393"/>
      <c r="E28" s="2795"/>
      <c r="F28" s="395"/>
      <c r="G28" s="394"/>
      <c r="H28" s="395"/>
      <c r="I28" s="395"/>
      <c r="J28" s="395"/>
      <c r="K28" s="396"/>
      <c r="L28" s="330" t="s">
        <v>750</v>
      </c>
    </row>
    <row r="29" spans="1:12">
      <c r="A29" s="2757" t="s">
        <v>751</v>
      </c>
      <c r="B29" s="852" t="s">
        <v>1049</v>
      </c>
      <c r="C29" s="180"/>
      <c r="D29" s="2646">
        <f>SUM(E29:K29)</f>
        <v>53293540.229999997</v>
      </c>
      <c r="E29" s="2788">
        <f>47857968.29+5435571.94</f>
        <v>53293540.229999997</v>
      </c>
      <c r="F29" s="1958"/>
      <c r="G29" s="976"/>
      <c r="H29" s="977"/>
      <c r="I29" s="977"/>
      <c r="J29" s="977"/>
      <c r="K29" s="977"/>
      <c r="L29" s="330" t="s">
        <v>751</v>
      </c>
    </row>
    <row r="30" spans="1:12">
      <c r="A30" s="2757" t="s">
        <v>720</v>
      </c>
      <c r="B30" s="852" t="s">
        <v>1468</v>
      </c>
      <c r="C30" s="180"/>
      <c r="D30" s="980">
        <f>SUM(E30:K30)</f>
        <v>0</v>
      </c>
      <c r="E30" s="2790">
        <v>0</v>
      </c>
      <c r="F30" s="1959"/>
      <c r="G30" s="981"/>
      <c r="H30" s="974"/>
      <c r="I30" s="974"/>
      <c r="J30" s="974"/>
      <c r="K30" s="974"/>
      <c r="L30" s="330" t="s">
        <v>720</v>
      </c>
    </row>
    <row r="31" spans="1:12">
      <c r="A31" s="2757" t="s">
        <v>721</v>
      </c>
      <c r="B31" s="852" t="s">
        <v>772</v>
      </c>
      <c r="C31" s="180"/>
      <c r="D31" s="972">
        <f t="shared" ref="D31:K31" si="1">SUM(D29:D30)</f>
        <v>53293540.229999997</v>
      </c>
      <c r="E31" s="2796">
        <f t="shared" si="1"/>
        <v>53293540.229999997</v>
      </c>
      <c r="F31" s="995"/>
      <c r="G31" s="982">
        <f t="shared" si="1"/>
        <v>0</v>
      </c>
      <c r="H31" s="983">
        <f t="shared" si="1"/>
        <v>0</v>
      </c>
      <c r="I31" s="983">
        <f t="shared" si="1"/>
        <v>0</v>
      </c>
      <c r="J31" s="983">
        <f t="shared" si="1"/>
        <v>0</v>
      </c>
      <c r="K31" s="983">
        <f t="shared" si="1"/>
        <v>0</v>
      </c>
      <c r="L31" s="330" t="s">
        <v>721</v>
      </c>
    </row>
    <row r="32" spans="1:12">
      <c r="A32" s="2757" t="s">
        <v>722</v>
      </c>
      <c r="B32" s="852" t="s">
        <v>773</v>
      </c>
      <c r="C32" s="180"/>
      <c r="D32" s="393"/>
      <c r="E32" s="2795"/>
      <c r="F32" s="1960"/>
      <c r="G32" s="397"/>
      <c r="H32" s="395"/>
      <c r="I32" s="395"/>
      <c r="J32" s="395"/>
      <c r="K32" s="396"/>
      <c r="L32" s="330" t="s">
        <v>722</v>
      </c>
    </row>
    <row r="33" spans="1:12">
      <c r="A33" s="2757" t="s">
        <v>723</v>
      </c>
      <c r="B33" s="852" t="s">
        <v>774</v>
      </c>
      <c r="C33" s="180"/>
      <c r="D33" s="979">
        <f>SUM(E33:K33)</f>
        <v>0</v>
      </c>
      <c r="E33" s="2790">
        <v>0</v>
      </c>
      <c r="F33" s="1959"/>
      <c r="G33" s="981"/>
      <c r="H33" s="974"/>
      <c r="I33" s="974"/>
      <c r="J33" s="974"/>
      <c r="K33" s="974"/>
      <c r="L33" s="330" t="s">
        <v>723</v>
      </c>
    </row>
    <row r="34" spans="1:12">
      <c r="A34" s="2757" t="s">
        <v>2589</v>
      </c>
      <c r="B34" s="852" t="s">
        <v>2928</v>
      </c>
      <c r="C34" s="180"/>
      <c r="D34" s="979">
        <f>SUM(E34:K34)</f>
        <v>0</v>
      </c>
      <c r="E34" s="2790">
        <v>0</v>
      </c>
      <c r="F34" s="1959"/>
      <c r="G34" s="981"/>
      <c r="H34" s="974"/>
      <c r="I34" s="974"/>
      <c r="J34" s="974"/>
      <c r="K34" s="974"/>
      <c r="L34" s="330" t="s">
        <v>2589</v>
      </c>
    </row>
    <row r="35" spans="1:12">
      <c r="A35" s="2757" t="s">
        <v>1771</v>
      </c>
      <c r="B35" s="852" t="s">
        <v>4329</v>
      </c>
      <c r="C35" s="180"/>
      <c r="D35" s="979">
        <f t="shared" ref="D35:K35" si="2">SUM(D33:D34)</f>
        <v>0</v>
      </c>
      <c r="E35" s="2797">
        <f t="shared" si="2"/>
        <v>0</v>
      </c>
      <c r="F35" s="995"/>
      <c r="G35" s="982">
        <f t="shared" si="2"/>
        <v>0</v>
      </c>
      <c r="H35" s="983">
        <f t="shared" si="2"/>
        <v>0</v>
      </c>
      <c r="I35" s="983">
        <f t="shared" si="2"/>
        <v>0</v>
      </c>
      <c r="J35" s="983">
        <f t="shared" si="2"/>
        <v>0</v>
      </c>
      <c r="K35" s="983">
        <f t="shared" si="2"/>
        <v>0</v>
      </c>
      <c r="L35" s="330" t="s">
        <v>1771</v>
      </c>
    </row>
    <row r="36" spans="1:12">
      <c r="A36" s="2757" t="s">
        <v>1772</v>
      </c>
      <c r="B36" s="852" t="s">
        <v>1645</v>
      </c>
      <c r="C36" s="180"/>
      <c r="D36" s="984"/>
      <c r="E36" s="2798"/>
      <c r="F36" s="986"/>
      <c r="G36" s="985"/>
      <c r="H36" s="986"/>
      <c r="I36" s="986"/>
      <c r="J36" s="986"/>
      <c r="K36" s="987"/>
      <c r="L36" s="330" t="s">
        <v>1772</v>
      </c>
    </row>
    <row r="37" spans="1:12">
      <c r="A37" s="2757" t="s">
        <v>1773</v>
      </c>
      <c r="B37" s="852" t="s">
        <v>1646</v>
      </c>
      <c r="C37" s="180"/>
      <c r="D37" s="980">
        <f>SUM(E37:K37)</f>
        <v>397.37</v>
      </c>
      <c r="E37" s="2790">
        <v>397.37</v>
      </c>
      <c r="F37" s="1959"/>
      <c r="G37" s="988"/>
      <c r="H37" s="989"/>
      <c r="I37" s="974"/>
      <c r="J37" s="974"/>
      <c r="K37" s="974"/>
      <c r="L37" s="330" t="s">
        <v>1773</v>
      </c>
    </row>
    <row r="38" spans="1:12">
      <c r="A38" s="2757" t="s">
        <v>1774</v>
      </c>
      <c r="B38" s="852" t="s">
        <v>2819</v>
      </c>
      <c r="C38" s="180"/>
      <c r="D38" s="980">
        <f>SUM(E38:K38)</f>
        <v>0</v>
      </c>
      <c r="E38" s="2790">
        <v>0</v>
      </c>
      <c r="F38" s="1959"/>
      <c r="G38" s="988"/>
      <c r="H38" s="989"/>
      <c r="I38" s="974"/>
      <c r="J38" s="974"/>
      <c r="K38" s="974"/>
      <c r="L38" s="330" t="s">
        <v>1774</v>
      </c>
    </row>
    <row r="39" spans="1:12">
      <c r="A39" s="2757" t="s">
        <v>1775</v>
      </c>
      <c r="B39" s="852" t="s">
        <v>1736</v>
      </c>
      <c r="C39" s="180"/>
      <c r="D39" s="979">
        <f t="shared" ref="D39:K39" si="3">SUM(D37:D38)</f>
        <v>397.37</v>
      </c>
      <c r="E39" s="2797">
        <f t="shared" si="3"/>
        <v>397.37</v>
      </c>
      <c r="F39" s="995"/>
      <c r="G39" s="990">
        <f t="shared" si="3"/>
        <v>0</v>
      </c>
      <c r="H39" s="979">
        <f t="shared" si="3"/>
        <v>0</v>
      </c>
      <c r="I39" s="983">
        <f t="shared" si="3"/>
        <v>0</v>
      </c>
      <c r="J39" s="983">
        <f t="shared" si="3"/>
        <v>0</v>
      </c>
      <c r="K39" s="983">
        <f t="shared" si="3"/>
        <v>0</v>
      </c>
      <c r="L39" s="330" t="s">
        <v>1775</v>
      </c>
    </row>
    <row r="40" spans="1:12">
      <c r="A40" s="2757" t="s">
        <v>1776</v>
      </c>
      <c r="B40" s="852" t="s">
        <v>3181</v>
      </c>
      <c r="C40" s="180"/>
      <c r="D40" s="980">
        <f>SUM(E40:K40)</f>
        <v>0</v>
      </c>
      <c r="E40" s="2790">
        <v>0</v>
      </c>
      <c r="F40" s="1959"/>
      <c r="G40" s="988"/>
      <c r="H40" s="989"/>
      <c r="I40" s="974"/>
      <c r="J40" s="974"/>
      <c r="K40" s="974"/>
      <c r="L40" s="330" t="s">
        <v>1776</v>
      </c>
    </row>
    <row r="41" spans="1:12">
      <c r="A41" s="2757" t="s">
        <v>1777</v>
      </c>
      <c r="B41" s="2044" t="s">
        <v>3182</v>
      </c>
      <c r="C41" s="1087"/>
      <c r="D41" s="998">
        <f t="shared" ref="D41:K41" si="4">D31+D35+D39+D40</f>
        <v>53293937.599999994</v>
      </c>
      <c r="E41" s="2799">
        <f t="shared" si="4"/>
        <v>53293937.599999994</v>
      </c>
      <c r="F41" s="994"/>
      <c r="G41" s="991">
        <f t="shared" si="4"/>
        <v>0</v>
      </c>
      <c r="H41" s="975">
        <f t="shared" si="4"/>
        <v>0</v>
      </c>
      <c r="I41" s="975">
        <f t="shared" si="4"/>
        <v>0</v>
      </c>
      <c r="J41" s="975">
        <f t="shared" si="4"/>
        <v>0</v>
      </c>
      <c r="K41" s="975">
        <f t="shared" si="4"/>
        <v>0</v>
      </c>
      <c r="L41" s="330" t="s">
        <v>1777</v>
      </c>
    </row>
    <row r="42" spans="1:12">
      <c r="A42" s="2757" t="s">
        <v>1778</v>
      </c>
      <c r="B42" s="852" t="s">
        <v>3183</v>
      </c>
      <c r="C42" s="378"/>
      <c r="D42" s="393"/>
      <c r="E42" s="2795"/>
      <c r="F42" s="395"/>
      <c r="G42" s="398"/>
      <c r="H42" s="395"/>
      <c r="I42" s="395"/>
      <c r="J42" s="395"/>
      <c r="K42" s="396"/>
      <c r="L42" s="330" t="s">
        <v>1778</v>
      </c>
    </row>
    <row r="43" spans="1:12">
      <c r="A43" s="2800"/>
      <c r="B43" s="1087"/>
      <c r="C43" s="1087"/>
      <c r="D43" s="1954"/>
      <c r="E43" s="2749"/>
      <c r="F43" s="1954"/>
      <c r="G43" s="400"/>
      <c r="H43" s="1087"/>
      <c r="I43" s="1087"/>
      <c r="J43" s="1087"/>
      <c r="K43" s="1954"/>
      <c r="L43" s="401"/>
    </row>
    <row r="44" spans="1:12">
      <c r="A44" s="2800"/>
      <c r="B44" s="1087"/>
      <c r="C44" s="1087"/>
      <c r="D44" s="1954"/>
      <c r="E44" s="2749"/>
      <c r="F44" s="1954"/>
      <c r="G44" s="400"/>
      <c r="H44" s="1087"/>
      <c r="I44" s="1087"/>
      <c r="J44" s="1087"/>
      <c r="K44" s="1954"/>
      <c r="L44" s="401"/>
    </row>
    <row r="45" spans="1:12">
      <c r="A45" s="2800"/>
      <c r="B45" s="1087"/>
      <c r="C45" s="1087"/>
      <c r="D45" s="1954"/>
      <c r="E45" s="2749"/>
      <c r="F45" s="1954"/>
      <c r="G45" s="400"/>
      <c r="H45" s="1085"/>
      <c r="I45" s="1087"/>
      <c r="J45" s="1087"/>
      <c r="K45" s="1954"/>
      <c r="L45" s="401"/>
    </row>
    <row r="46" spans="1:12">
      <c r="A46" s="2800"/>
      <c r="B46" s="1085"/>
      <c r="C46" s="1087"/>
      <c r="D46" s="1954"/>
      <c r="E46" s="2749"/>
      <c r="F46" s="1954"/>
      <c r="G46" s="400"/>
      <c r="H46" s="1085"/>
      <c r="I46" s="1087"/>
      <c r="J46" s="1087"/>
      <c r="K46" s="1954"/>
      <c r="L46" s="401"/>
    </row>
    <row r="47" spans="1:12">
      <c r="A47" s="2800"/>
      <c r="B47" s="1085"/>
      <c r="C47" s="1087"/>
      <c r="D47" s="1954"/>
      <c r="E47" s="2749"/>
      <c r="F47" s="1954"/>
      <c r="G47" s="400"/>
      <c r="H47" s="1085"/>
      <c r="I47" s="1087"/>
      <c r="J47" s="1087"/>
      <c r="K47" s="1954"/>
      <c r="L47" s="401"/>
    </row>
    <row r="48" spans="1:12">
      <c r="A48" s="2800"/>
      <c r="B48" s="1085"/>
      <c r="C48" s="1087"/>
      <c r="D48" s="1954"/>
      <c r="E48" s="2749"/>
      <c r="F48" s="1954"/>
      <c r="G48" s="400"/>
      <c r="H48" s="1085"/>
      <c r="I48" s="1087"/>
      <c r="J48" s="1087"/>
      <c r="K48" s="1954"/>
      <c r="L48" s="401"/>
    </row>
    <row r="49" spans="1:12">
      <c r="A49" s="2800"/>
      <c r="B49" s="1085"/>
      <c r="C49" s="1087"/>
      <c r="D49" s="1954"/>
      <c r="E49" s="2749"/>
      <c r="F49" s="1954"/>
      <c r="G49" s="400"/>
      <c r="H49" s="1085"/>
      <c r="I49" s="1087"/>
      <c r="J49" s="1087"/>
      <c r="K49" s="1954"/>
      <c r="L49" s="401"/>
    </row>
    <row r="50" spans="1:12">
      <c r="A50" s="2800"/>
      <c r="B50" s="1085"/>
      <c r="C50" s="1087"/>
      <c r="D50" s="1954"/>
      <c r="E50" s="2749"/>
      <c r="F50" s="1954"/>
      <c r="G50" s="400"/>
      <c r="H50" s="1085"/>
      <c r="I50" s="1087"/>
      <c r="J50" s="1087"/>
      <c r="K50" s="1954"/>
      <c r="L50" s="401"/>
    </row>
    <row r="51" spans="1:12">
      <c r="A51" s="2800"/>
      <c r="B51" s="1085"/>
      <c r="C51" s="1087"/>
      <c r="D51" s="1954"/>
      <c r="E51" s="2749"/>
      <c r="F51" s="1954"/>
      <c r="G51" s="400"/>
      <c r="H51" s="1085"/>
      <c r="I51" s="1087"/>
      <c r="J51" s="1087"/>
      <c r="K51" s="1954"/>
      <c r="L51" s="401"/>
    </row>
    <row r="52" spans="1:12">
      <c r="A52" s="2800"/>
      <c r="B52" s="1085"/>
      <c r="C52" s="1087"/>
      <c r="D52" s="1954"/>
      <c r="E52" s="2749"/>
      <c r="F52" s="1954"/>
      <c r="G52" s="400"/>
      <c r="H52" s="1085"/>
      <c r="I52" s="1087"/>
      <c r="J52" s="1087"/>
      <c r="K52" s="1954"/>
      <c r="L52" s="401"/>
    </row>
    <row r="53" spans="1:12">
      <c r="A53" s="2800"/>
      <c r="B53" s="1085"/>
      <c r="C53" s="1087"/>
      <c r="D53" s="1954"/>
      <c r="E53" s="2749"/>
      <c r="F53" s="1954"/>
      <c r="G53" s="400"/>
      <c r="H53" s="1085"/>
      <c r="I53" s="1087"/>
      <c r="J53" s="1087"/>
      <c r="K53" s="1954"/>
      <c r="L53" s="401"/>
    </row>
    <row r="54" spans="1:12">
      <c r="A54" s="2800"/>
      <c r="B54" s="1085"/>
      <c r="C54" s="1087"/>
      <c r="D54" s="1954"/>
      <c r="E54" s="2749"/>
      <c r="F54" s="1954"/>
      <c r="G54" s="400"/>
      <c r="H54" s="1085"/>
      <c r="I54" s="1087"/>
      <c r="J54" s="1087"/>
      <c r="K54" s="1954"/>
      <c r="L54" s="401"/>
    </row>
    <row r="55" spans="1:12">
      <c r="A55" s="2800"/>
      <c r="B55" s="1085"/>
      <c r="C55" s="1087"/>
      <c r="D55" s="1954"/>
      <c r="E55" s="2749"/>
      <c r="F55" s="1954"/>
      <c r="G55" s="400"/>
      <c r="H55" s="1085"/>
      <c r="I55" s="1087"/>
      <c r="J55" s="1087"/>
      <c r="K55" s="1954"/>
      <c r="L55" s="401"/>
    </row>
    <row r="56" spans="1:12">
      <c r="A56" s="2800"/>
      <c r="B56" s="1085"/>
      <c r="C56" s="1087"/>
      <c r="D56" s="1954"/>
      <c r="E56" s="2749"/>
      <c r="F56" s="1954"/>
      <c r="G56" s="400"/>
      <c r="H56" s="1085"/>
      <c r="I56" s="1087"/>
      <c r="J56" s="1087"/>
      <c r="K56" s="1954"/>
      <c r="L56" s="401"/>
    </row>
    <row r="57" spans="1:12">
      <c r="A57" s="2800"/>
      <c r="B57" s="1085"/>
      <c r="C57" s="1087"/>
      <c r="D57" s="1954"/>
      <c r="E57" s="2749"/>
      <c r="F57" s="1954"/>
      <c r="G57" s="400"/>
      <c r="H57" s="1085"/>
      <c r="I57" s="1087"/>
      <c r="J57" s="1087"/>
      <c r="K57" s="1954"/>
      <c r="L57" s="401"/>
    </row>
    <row r="58" spans="1:12">
      <c r="A58" s="2800"/>
      <c r="B58" s="1085"/>
      <c r="C58" s="1087"/>
      <c r="D58" s="1954"/>
      <c r="E58" s="2749"/>
      <c r="F58" s="1954"/>
      <c r="G58" s="400"/>
      <c r="H58" s="1085"/>
      <c r="I58" s="1087"/>
      <c r="J58" s="1087"/>
      <c r="K58" s="1954"/>
      <c r="L58" s="401"/>
    </row>
    <row r="59" spans="1:12">
      <c r="A59" s="2800"/>
      <c r="B59" s="1085"/>
      <c r="C59" s="1087"/>
      <c r="D59" s="1954"/>
      <c r="E59" s="2749"/>
      <c r="F59" s="1954"/>
      <c r="G59" s="400"/>
      <c r="H59" s="1085"/>
      <c r="I59" s="1087"/>
      <c r="J59" s="1087"/>
      <c r="K59" s="1954"/>
      <c r="L59" s="401"/>
    </row>
    <row r="60" spans="1:12" ht="15.75" thickBot="1">
      <c r="A60" s="2801"/>
      <c r="B60" s="2767"/>
      <c r="C60" s="2768"/>
      <c r="D60" s="2802"/>
      <c r="E60" s="2803"/>
      <c r="F60" s="402"/>
      <c r="G60" s="225"/>
      <c r="H60" s="214"/>
      <c r="I60" s="226"/>
      <c r="J60" s="226"/>
      <c r="K60" s="402"/>
      <c r="L60" s="403"/>
    </row>
    <row r="61" spans="1:12" ht="15.75" thickTop="1">
      <c r="A61" s="209" t="s">
        <v>3184</v>
      </c>
      <c r="B61" s="195"/>
      <c r="C61" s="177"/>
      <c r="D61" s="229"/>
      <c r="E61" s="229"/>
      <c r="F61" s="229"/>
      <c r="G61" s="177"/>
      <c r="H61" s="195"/>
      <c r="I61" s="177"/>
      <c r="J61" s="177"/>
      <c r="K61" s="177" t="s">
        <v>3184</v>
      </c>
      <c r="L61" s="404"/>
    </row>
    <row r="62" spans="1:12">
      <c r="A62" s="177" t="s">
        <v>4111</v>
      </c>
      <c r="B62" s="177"/>
      <c r="C62" s="131"/>
      <c r="D62" s="229"/>
      <c r="E62" s="229"/>
      <c r="F62" s="229"/>
      <c r="G62" s="177" t="s">
        <v>4112</v>
      </c>
      <c r="H62" s="177"/>
      <c r="I62" s="131"/>
      <c r="J62" s="177"/>
      <c r="K62" s="229"/>
      <c r="L62" s="404"/>
    </row>
    <row r="63" spans="1:12">
      <c r="A63" s="996"/>
      <c r="B63" s="195"/>
      <c r="C63" s="195"/>
      <c r="D63" s="223"/>
      <c r="E63" s="223"/>
      <c r="F63" s="223"/>
      <c r="G63" s="195"/>
      <c r="H63" s="195"/>
      <c r="I63" s="195"/>
      <c r="J63" s="195"/>
      <c r="K63" s="223"/>
      <c r="L63" s="195"/>
    </row>
    <row r="64" spans="1:12">
      <c r="A64" s="399"/>
      <c r="B64" s="195"/>
      <c r="C64" s="195"/>
      <c r="D64" s="223"/>
      <c r="E64" s="223"/>
      <c r="F64" s="223"/>
      <c r="G64" s="195"/>
      <c r="H64" s="195"/>
      <c r="I64" s="195"/>
      <c r="J64" s="195"/>
      <c r="K64" s="223"/>
      <c r="L64" s="195"/>
    </row>
    <row r="65" spans="1:12">
      <c r="A65" s="399"/>
      <c r="B65" s="195"/>
      <c r="C65" s="195"/>
      <c r="D65" s="223"/>
      <c r="E65" s="223"/>
      <c r="F65" s="223"/>
      <c r="G65" s="195"/>
      <c r="H65" s="195"/>
      <c r="I65" s="195"/>
      <c r="J65" s="195"/>
      <c r="K65" s="223"/>
      <c r="L65" s="195"/>
    </row>
    <row r="66" spans="1:12">
      <c r="C66" s="195"/>
      <c r="D66" s="223"/>
      <c r="E66" s="223"/>
      <c r="F66" s="223"/>
      <c r="G66" s="195"/>
      <c r="H66" s="195"/>
      <c r="I66" s="195"/>
      <c r="J66" s="195"/>
      <c r="K66" s="223"/>
      <c r="L66" s="195"/>
    </row>
    <row r="67" spans="1:12">
      <c r="A67" s="399"/>
      <c r="B67" s="195"/>
      <c r="C67" s="195"/>
      <c r="D67" s="223"/>
      <c r="E67" s="223"/>
      <c r="F67" s="223"/>
      <c r="G67" s="195"/>
      <c r="H67" s="195"/>
      <c r="I67" s="195"/>
      <c r="J67" s="195"/>
      <c r="K67" s="223"/>
      <c r="L67" s="195"/>
    </row>
    <row r="68" spans="1:12">
      <c r="A68" s="399"/>
      <c r="B68" s="195"/>
      <c r="C68" s="195"/>
      <c r="D68" s="223"/>
      <c r="E68" s="223"/>
      <c r="F68" s="223"/>
      <c r="G68" s="195"/>
      <c r="H68" s="195"/>
      <c r="I68" s="195"/>
      <c r="J68" s="195"/>
      <c r="K68" s="223"/>
      <c r="L68" s="195"/>
    </row>
    <row r="69" spans="1:12">
      <c r="A69" s="399"/>
      <c r="B69" s="195"/>
      <c r="C69" s="195"/>
      <c r="D69" s="223"/>
      <c r="E69" s="223"/>
      <c r="F69" s="223"/>
      <c r="G69" s="195"/>
      <c r="H69" s="195"/>
      <c r="I69" s="195"/>
      <c r="J69" s="195"/>
      <c r="K69" s="223"/>
      <c r="L69" s="195"/>
    </row>
    <row r="70" spans="1:12">
      <c r="A70" s="399"/>
      <c r="B70" s="195"/>
      <c r="C70" s="195"/>
      <c r="D70" s="223"/>
      <c r="E70" s="223"/>
      <c r="F70" s="223"/>
      <c r="G70" s="195"/>
      <c r="H70" s="195"/>
      <c r="I70" s="195"/>
      <c r="J70" s="195"/>
      <c r="K70" s="223"/>
      <c r="L70" s="195"/>
    </row>
    <row r="71" spans="1:12">
      <c r="A71" s="195"/>
      <c r="B71" s="195"/>
      <c r="C71" s="195"/>
      <c r="D71" s="223"/>
      <c r="E71" s="223"/>
      <c r="F71" s="223"/>
      <c r="G71" s="195"/>
      <c r="H71" s="195"/>
      <c r="I71" s="195"/>
      <c r="J71" s="195"/>
      <c r="K71" s="223"/>
      <c r="L71" s="223"/>
    </row>
    <row r="72" spans="1:12">
      <c r="A72" s="195"/>
      <c r="B72" s="195"/>
      <c r="C72" s="195"/>
      <c r="D72" s="223"/>
      <c r="E72" s="223"/>
      <c r="F72" s="223"/>
      <c r="G72" s="195"/>
      <c r="H72" s="195"/>
      <c r="I72" s="195"/>
      <c r="J72" s="195"/>
      <c r="K72" s="223"/>
      <c r="L72" s="223"/>
    </row>
    <row r="73" spans="1:12">
      <c r="A73" s="195"/>
      <c r="B73" s="195"/>
      <c r="C73" s="195"/>
      <c r="D73" s="195"/>
      <c r="E73" s="195"/>
      <c r="F73" s="195"/>
      <c r="G73" s="195"/>
      <c r="H73" s="195"/>
      <c r="I73" s="195"/>
      <c r="J73" s="195"/>
      <c r="K73" s="195"/>
      <c r="L73" s="195"/>
    </row>
    <row r="74" spans="1:12">
      <c r="A74" s="195"/>
      <c r="B74" s="195"/>
      <c r="C74" s="195"/>
      <c r="D74" s="195"/>
      <c r="E74" s="195"/>
      <c r="F74" s="195"/>
      <c r="G74" s="195"/>
      <c r="H74" s="195"/>
      <c r="I74" s="195"/>
      <c r="J74" s="195"/>
      <c r="K74" s="195"/>
      <c r="L74" s="195"/>
    </row>
    <row r="75" spans="1:12">
      <c r="A75" s="195"/>
      <c r="B75" s="195"/>
      <c r="C75" s="195"/>
      <c r="D75" s="195"/>
      <c r="E75" s="195"/>
      <c r="F75" s="195"/>
      <c r="G75" s="195"/>
      <c r="H75" s="195"/>
      <c r="I75" s="195"/>
      <c r="J75" s="195"/>
      <c r="K75" s="195"/>
      <c r="L75" s="195"/>
    </row>
    <row r="76" spans="1:12">
      <c r="A76" s="195"/>
      <c r="B76" s="195"/>
      <c r="C76" s="195"/>
      <c r="D76" s="195"/>
      <c r="E76" s="195"/>
      <c r="F76" s="195"/>
      <c r="G76" s="195"/>
      <c r="H76" s="195"/>
      <c r="I76" s="195"/>
      <c r="J76" s="195"/>
      <c r="K76" s="195"/>
      <c r="L76" s="195"/>
    </row>
  </sheetData>
  <customSheetViews>
    <customSheetView guid="{1BA452AD-1A45-4D9C-9666-ADFFA6F2F567}" scale="75" colorId="22" fitToPage="1">
      <selection activeCell="N4" sqref="N4"/>
      <colBreaks count="1" manualBreakCount="1">
        <brk id="6" max="1048575" man="1"/>
      </colBreaks>
      <pageMargins left="0.4" right="0.4" top="0.3" bottom="0.3" header="0" footer="0"/>
      <printOptions horizontalCentered="1" verticalCentered="1"/>
      <pageSetup scale="72" orientation="portrait" r:id="rId1"/>
      <headerFooter alignWithMargins="0"/>
    </customSheetView>
    <customSheetView guid="{EEF7ABD6-0F96-4791-B749-C06F707E7673}" scale="70" colorId="22" showPageBreaks="1" fitToPage="1" printArea="1" view="pageBreakPreview" showRuler="0">
      <selection activeCell="D24" sqref="D24"/>
      <colBreaks count="1" manualBreakCount="1">
        <brk id="6" max="1048575" man="1"/>
      </colBreaks>
      <pageMargins left="0.4" right="0.4" top="0.3" bottom="0.3" header="0" footer="0"/>
      <printOptions horizontalCentered="1" verticalCentered="1"/>
      <pageSetup scale="72" orientation="portrait" r:id="rId2"/>
      <headerFooter alignWithMargins="0"/>
    </customSheetView>
    <customSheetView guid="{A7D7DB3C-AFE6-468E-8C6B-9531F6711497}" scale="60" colorId="22" showPageBreaks="1" printArea="1" view="pageBreakPreview" showRuler="0">
      <selection activeCell="D24" sqref="D24"/>
      <colBreaks count="1" manualBreakCount="1">
        <brk id="5" max="1048575" man="1"/>
      </colBreaks>
      <pageMargins left="0.4" right="0.4" top="0.3" bottom="0.3" header="0" footer="0"/>
      <printOptions horizontalCentered="1" verticalCentered="1"/>
      <pageSetup scale="72" fitToWidth="2" orientation="portrait" r:id="rId3"/>
      <headerFooter alignWithMargins="0"/>
    </customSheetView>
    <customSheetView guid="{4436FEB5-BFEC-4348-9286-CB706802873E}" scale="60" colorId="22" showPageBreaks="1" printArea="1" view="pageBreakPreview" showRuler="0">
      <selection activeCell="D24" sqref="D24"/>
      <colBreaks count="1" manualBreakCount="1">
        <brk id="5" max="1048575" man="1"/>
      </colBreaks>
      <pageMargins left="0.4" right="0.4" top="0.3" bottom="0.3" header="0" footer="0"/>
      <printOptions horizontalCentered="1" verticalCentered="1"/>
      <pageSetup scale="72" fitToWidth="2" orientation="portrait" r:id="rId4"/>
      <headerFooter alignWithMargins="0"/>
    </customSheetView>
    <customSheetView guid="{044CF00C-469F-44B3-B2C4-9B4049CE70CB}" scale="75" colorId="22" showRuler="0">
      <selection activeCell="A2" sqref="A2"/>
      <colBreaks count="1" manualBreakCount="1">
        <brk id="5" max="1048575" man="1"/>
      </colBreaks>
      <pageMargins left="0.4" right="0.4" top="0.3" bottom="0.3" header="0" footer="0"/>
      <printOptions horizontalCentered="1" verticalCentered="1"/>
      <pageSetup scale="72" fitToWidth="2" orientation="portrait" r:id="rId5"/>
      <headerFooter alignWithMargins="0"/>
    </customSheetView>
    <customSheetView guid="{4826FCC0-BDD6-4B2C-ACC6-ACE271DDF0E3}" scale="70" colorId="22" showPageBreaks="1" fitToPage="1" printArea="1" view="pageBreakPreview" showRuler="0">
      <selection activeCell="D24" sqref="D24"/>
      <colBreaks count="1" manualBreakCount="1">
        <brk id="6" max="1048575" man="1"/>
      </colBreaks>
      <pageMargins left="0.4" right="0.4" top="0.3" bottom="0.3" header="0" footer="0"/>
      <printOptions horizontalCentered="1" verticalCentered="1"/>
      <pageSetup scale="72" orientation="portrait" r:id="rId6"/>
      <headerFooter alignWithMargins="0"/>
    </customSheetView>
    <customSheetView guid="{EF376D10-23D6-4FE2-AB5B-4460D52CC93F}" scale="70" colorId="22" showPageBreaks="1" fitToPage="1" printArea="1" view="pageBreakPreview" showRuler="0">
      <selection activeCell="D24" sqref="D24"/>
      <colBreaks count="1" manualBreakCount="1">
        <brk id="6" max="1048575" man="1"/>
      </colBreaks>
      <pageMargins left="0.4" right="0.4" top="0.3" bottom="0.3" header="0" footer="0"/>
      <printOptions horizontalCentered="1" verticalCentered="1"/>
      <pageSetup scale="72" orientation="portrait" r:id="rId7"/>
      <headerFooter alignWithMargins="0"/>
    </customSheetView>
    <customSheetView guid="{1C046605-15CE-44F1-BFCD-2CA8588E7ACF}" scale="70" colorId="22" showPageBreaks="1" fitToPage="1" printArea="1" view="pageBreakPreview" showRuler="0">
      <selection activeCell="E32" sqref="E32"/>
      <colBreaks count="1" manualBreakCount="1">
        <brk id="6" max="1048575" man="1"/>
      </colBreaks>
      <pageMargins left="0.4" right="0.4" top="0.3" bottom="0.3" header="0" footer="0"/>
      <printOptions horizontalCentered="1" verticalCentered="1"/>
      <pageSetup scale="72" orientation="portrait" r:id="rId8"/>
      <headerFooter alignWithMargins="0"/>
    </customSheetView>
    <customSheetView guid="{3911D713-188C-46A1-A299-F21DD3B7A146}" scale="70" colorId="22" showPageBreaks="1" fitToPage="1" printArea="1" view="pageBreakPreview" showRuler="0">
      <selection activeCell="E32" sqref="E32"/>
      <colBreaks count="1" manualBreakCount="1">
        <brk id="6" max="1048575" man="1"/>
      </colBreaks>
      <pageMargins left="0.4" right="0.4" top="0.3" bottom="0.3" header="0" footer="0"/>
      <printOptions horizontalCentered="1" verticalCentered="1"/>
      <pageSetup scale="72" orientation="portrait" r:id="rId9"/>
      <headerFooter alignWithMargins="0"/>
    </customSheetView>
    <customSheetView guid="{78BB1E60-60BE-4F56-9763-075185EFEFAB}" scale="75" colorId="22" fitToPage="1">
      <selection activeCell="N4" sqref="N4"/>
      <colBreaks count="1" manualBreakCount="1">
        <brk id="6" max="1048575" man="1"/>
      </colBreaks>
      <pageMargins left="0.4" right="0.4" top="0.3" bottom="0.3" header="0" footer="0"/>
      <printOptions horizontalCentered="1" verticalCentered="1"/>
      <pageSetup scale="72" orientation="portrait" r:id="rId10"/>
      <headerFooter alignWithMargins="0"/>
    </customSheetView>
    <customSheetView guid="{9C30803E-1E2D-4850-B0A5-591CA6F246A1}" scale="75" colorId="22" fitToPage="1">
      <selection activeCell="N4" sqref="N4"/>
      <colBreaks count="1" manualBreakCount="1">
        <brk id="6" max="1048575" man="1"/>
      </colBreaks>
      <pageMargins left="0.4" right="0.4" top="0.3" bottom="0.3" header="0" footer="0"/>
      <printOptions horizontalCentered="1" verticalCentered="1"/>
      <pageSetup scale="72" orientation="portrait" r:id="rId11"/>
      <headerFooter alignWithMargins="0"/>
    </customSheetView>
    <customSheetView guid="{3B1006FF-A2CA-49E7-9B25-DAC8815279AF}" scale="75" colorId="22" fitToPage="1">
      <selection activeCell="N4" sqref="N4"/>
      <colBreaks count="1" manualBreakCount="1">
        <brk id="6" max="1048575" man="1"/>
      </colBreaks>
      <pageMargins left="0.4" right="0.4" top="0.3" bottom="0.3" header="0" footer="0"/>
      <printOptions horizontalCentered="1" verticalCentered="1"/>
      <pageSetup scale="72" orientation="portrait" r:id="rId12"/>
      <headerFooter alignWithMargins="0"/>
    </customSheetView>
    <customSheetView guid="{FB1A60C8-E1F9-4DF0-8E0E-1C965F86027F}" scale="75" colorId="22" fitToPage="1">
      <selection activeCell="N4" sqref="N4"/>
      <colBreaks count="1" manualBreakCount="1">
        <brk id="6" max="1048575" man="1"/>
      </colBreaks>
      <pageMargins left="0.4" right="0.4" top="0.3" bottom="0.3" header="0" footer="0"/>
      <printOptions horizontalCentered="1" verticalCentered="1"/>
      <pageSetup scale="72" orientation="portrait" r:id="rId13"/>
      <headerFooter alignWithMargins="0"/>
    </customSheetView>
    <customSheetView guid="{C5B6D812-CBE6-46AA-99F7-02494E9802B4}" scale="70" colorId="22" fitToPage="1" topLeftCell="A7">
      <selection activeCell="D18" sqref="D18"/>
      <colBreaks count="1" manualBreakCount="1">
        <brk id="6" max="1048575" man="1"/>
      </colBreaks>
      <pageMargins left="0.4" right="0.4" top="0.3" bottom="0.3" header="0" footer="0"/>
      <printOptions horizontalCentered="1" verticalCentered="1"/>
      <pageSetup scale="72" orientation="portrait" r:id="rId14"/>
      <headerFooter alignWithMargins="0"/>
    </customSheetView>
  </customSheetViews>
  <mergeCells count="2">
    <mergeCell ref="A3:E3"/>
    <mergeCell ref="A4:E4"/>
  </mergeCells>
  <phoneticPr fontId="0" type="noConversion"/>
  <printOptions horizontalCentered="1" verticalCentered="1"/>
  <pageMargins left="0.4" right="0.4" top="0.3" bottom="0.3" header="0" footer="0"/>
  <pageSetup scale="72" orientation="portrait" r:id="rId15"/>
  <headerFooter alignWithMargins="0"/>
  <colBreaks count="1" manualBreakCount="1">
    <brk id="6" max="1048575" man="1"/>
  </colBreaks>
  <customProperties>
    <customPr name="_pios_id" r:id="rId16"/>
  </customProperties>
</worksheet>
</file>

<file path=xl/worksheets/sheet2.xml><?xml version="1.0" encoding="utf-8"?>
<worksheet xmlns="http://schemas.openxmlformats.org/spreadsheetml/2006/main" xmlns:r="http://schemas.openxmlformats.org/officeDocument/2006/relationships">
  <sheetPr transitionEvaluation="1" codeName="Sheet1"/>
  <dimension ref="A1:H58"/>
  <sheetViews>
    <sheetView defaultGridColor="0" colorId="22" zoomScale="70" zoomScaleNormal="70" workbookViewId="0"/>
  </sheetViews>
  <sheetFormatPr defaultColWidth="9.77734375" defaultRowHeight="15"/>
  <sheetData>
    <row r="1" spans="1:8" ht="18">
      <c r="A1" s="1" t="s">
        <v>3223</v>
      </c>
      <c r="B1" s="1"/>
      <c r="C1" s="1"/>
      <c r="D1" s="1"/>
      <c r="E1" s="1"/>
      <c r="F1" s="1"/>
      <c r="G1" s="1"/>
      <c r="H1" s="1"/>
    </row>
    <row r="2" spans="1:8">
      <c r="A2" s="2"/>
      <c r="B2" s="2"/>
      <c r="C2" s="2"/>
      <c r="D2" s="2"/>
      <c r="E2" s="2"/>
      <c r="F2" s="2"/>
      <c r="G2" s="2"/>
      <c r="H2" s="2"/>
    </row>
    <row r="3" spans="1:8" ht="15.75">
      <c r="A3" s="3" t="s">
        <v>3573</v>
      </c>
      <c r="B3" s="3"/>
      <c r="C3" s="3"/>
      <c r="D3" s="3"/>
      <c r="E3" s="3"/>
      <c r="F3" s="3"/>
      <c r="G3" s="3"/>
      <c r="H3" s="3"/>
    </row>
    <row r="4" spans="1:8" ht="15.75">
      <c r="A4" s="4"/>
      <c r="B4" s="2"/>
      <c r="C4" s="2"/>
      <c r="D4" s="2"/>
      <c r="E4" s="2"/>
      <c r="F4" s="2"/>
      <c r="G4" s="2"/>
      <c r="H4" s="2"/>
    </row>
    <row r="5" spans="1:8">
      <c r="A5" s="2"/>
      <c r="B5" s="2"/>
      <c r="C5" s="2"/>
      <c r="D5" s="2"/>
      <c r="E5" s="2"/>
      <c r="F5" s="2"/>
      <c r="G5" s="2"/>
      <c r="H5" s="2"/>
    </row>
    <row r="6" spans="1:8">
      <c r="A6" s="2"/>
      <c r="B6" s="2"/>
      <c r="C6" s="2"/>
      <c r="D6" s="2"/>
      <c r="E6" s="2"/>
      <c r="F6" s="2"/>
      <c r="G6" s="2"/>
      <c r="H6" s="2"/>
    </row>
    <row r="7" spans="1:8" ht="15.75">
      <c r="A7" s="4" t="s">
        <v>3574</v>
      </c>
      <c r="B7" s="2"/>
      <c r="C7" s="2"/>
      <c r="D7" s="2"/>
      <c r="E7" s="2"/>
      <c r="F7" s="2"/>
      <c r="G7" s="2"/>
      <c r="H7" s="2"/>
    </row>
    <row r="8" spans="1:8" ht="45">
      <c r="A8" s="2" t="s">
        <v>293</v>
      </c>
      <c r="B8" s="2"/>
      <c r="C8" s="2"/>
      <c r="D8" s="2"/>
      <c r="E8" s="2"/>
      <c r="F8" s="2"/>
      <c r="G8" s="2"/>
      <c r="H8" s="2"/>
    </row>
    <row r="9" spans="1:8">
      <c r="A9" s="2"/>
      <c r="B9" s="2"/>
      <c r="C9" s="2"/>
      <c r="D9" s="2"/>
      <c r="E9" s="2"/>
      <c r="F9" s="2"/>
      <c r="G9" s="2"/>
      <c r="H9" s="2"/>
    </row>
    <row r="10" spans="1:8" ht="45">
      <c r="A10" s="2" t="s">
        <v>1315</v>
      </c>
      <c r="B10" s="2"/>
      <c r="C10" s="2"/>
      <c r="D10" s="2"/>
      <c r="E10" s="2"/>
      <c r="F10" s="2"/>
      <c r="G10" s="2"/>
      <c r="H10" s="2"/>
    </row>
    <row r="11" spans="1:8">
      <c r="A11" s="2"/>
      <c r="B11" s="2"/>
      <c r="C11" s="2"/>
      <c r="D11" s="2"/>
      <c r="E11" s="2"/>
      <c r="F11" s="2"/>
      <c r="G11" s="2"/>
      <c r="H11" s="2"/>
    </row>
    <row r="12" spans="1:8" ht="45">
      <c r="A12" s="2" t="s">
        <v>1238</v>
      </c>
      <c r="B12" s="2"/>
      <c r="C12" s="2"/>
      <c r="D12" s="2"/>
      <c r="E12" s="2"/>
      <c r="F12" s="2"/>
      <c r="G12" s="2"/>
      <c r="H12" s="2"/>
    </row>
    <row r="13" spans="1:8">
      <c r="A13" s="2"/>
      <c r="B13" s="2"/>
      <c r="C13" s="2"/>
      <c r="D13" s="2"/>
      <c r="E13" s="2"/>
      <c r="F13" s="2"/>
      <c r="G13" s="2"/>
      <c r="H13" s="2"/>
    </row>
    <row r="14" spans="1:8" ht="60">
      <c r="A14" s="2" t="s">
        <v>2890</v>
      </c>
      <c r="B14" s="2"/>
      <c r="C14" s="2"/>
      <c r="D14" s="2"/>
      <c r="E14" s="2"/>
      <c r="F14" s="2"/>
      <c r="G14" s="2"/>
      <c r="H14" s="2"/>
    </row>
    <row r="15" spans="1:8">
      <c r="A15" s="2"/>
      <c r="B15" s="2"/>
      <c r="C15" s="2"/>
      <c r="D15" s="2"/>
      <c r="E15" s="2"/>
      <c r="F15" s="2"/>
      <c r="G15" s="2"/>
      <c r="H15" s="2"/>
    </row>
    <row r="16" spans="1:8" ht="60">
      <c r="A16" s="2" t="s">
        <v>3846</v>
      </c>
      <c r="B16" s="2"/>
      <c r="C16" s="2"/>
      <c r="D16" s="2"/>
      <c r="E16" s="2"/>
      <c r="F16" s="2"/>
      <c r="G16" s="2"/>
      <c r="H16" s="2"/>
    </row>
    <row r="17" spans="1:8">
      <c r="A17" s="2"/>
      <c r="B17" s="2"/>
      <c r="C17" s="2"/>
      <c r="D17" s="2"/>
      <c r="E17" s="2"/>
      <c r="F17" s="2"/>
      <c r="G17" s="2"/>
      <c r="H17" s="2"/>
    </row>
    <row r="18" spans="1:8">
      <c r="A18" s="2"/>
      <c r="B18" s="2"/>
      <c r="C18" s="2"/>
      <c r="D18" s="2"/>
      <c r="E18" s="2"/>
      <c r="F18" s="2"/>
      <c r="G18" s="2"/>
      <c r="H18" s="2"/>
    </row>
    <row r="19" spans="1:8" ht="15.75">
      <c r="A19" s="4" t="s">
        <v>615</v>
      </c>
      <c r="B19" s="2"/>
      <c r="C19" s="2"/>
      <c r="D19" s="2"/>
      <c r="E19" s="2"/>
      <c r="F19" s="2"/>
      <c r="G19" s="2"/>
      <c r="H19" s="2"/>
    </row>
    <row r="20" spans="1:8" ht="75">
      <c r="A20" s="2" t="s">
        <v>2740</v>
      </c>
      <c r="B20" s="2"/>
      <c r="C20" s="2"/>
      <c r="D20" s="2"/>
      <c r="E20" s="2"/>
      <c r="F20" s="2"/>
      <c r="G20" s="2"/>
      <c r="H20" s="2"/>
    </row>
    <row r="21" spans="1:8">
      <c r="A21" s="2"/>
      <c r="B21" s="2"/>
      <c r="C21" s="2"/>
      <c r="D21" s="2"/>
      <c r="E21" s="2"/>
      <c r="F21" s="2"/>
      <c r="G21" s="2"/>
      <c r="H21" s="2"/>
    </row>
    <row r="22" spans="1:8">
      <c r="A22" s="2"/>
      <c r="B22" s="2"/>
      <c r="C22" s="2"/>
      <c r="D22" s="2"/>
      <c r="E22" s="2"/>
      <c r="F22" s="2"/>
      <c r="G22" s="2"/>
      <c r="H22" s="2"/>
    </row>
    <row r="23" spans="1:8" ht="15.75">
      <c r="A23" s="4" t="s">
        <v>3650</v>
      </c>
      <c r="B23" s="2"/>
      <c r="C23" s="2"/>
      <c r="D23" s="2"/>
      <c r="E23" s="2"/>
      <c r="F23" s="2"/>
      <c r="G23" s="2"/>
      <c r="H23" s="2"/>
    </row>
    <row r="24" spans="1:8" ht="30">
      <c r="A24" s="2" t="s">
        <v>3441</v>
      </c>
      <c r="B24" s="2"/>
      <c r="C24" s="2"/>
      <c r="D24" s="2"/>
      <c r="E24" s="2"/>
      <c r="F24" s="2"/>
      <c r="G24" s="2"/>
      <c r="H24" s="2"/>
    </row>
    <row r="25" spans="1:8">
      <c r="A25" s="2"/>
      <c r="B25" s="2"/>
      <c r="C25" s="2"/>
      <c r="D25" s="2"/>
      <c r="E25" s="2"/>
      <c r="F25" s="2"/>
      <c r="G25" s="2"/>
      <c r="H25" s="2"/>
    </row>
    <row r="26" spans="1:8" ht="15.75">
      <c r="A26" s="4" t="s">
        <v>3651</v>
      </c>
      <c r="B26" s="2"/>
      <c r="C26" s="2"/>
      <c r="D26" s="2"/>
      <c r="E26" s="2"/>
      <c r="F26" s="2"/>
      <c r="G26" s="2"/>
      <c r="H26" s="2"/>
    </row>
    <row r="27" spans="1:8" ht="45">
      <c r="A27" s="2" t="s">
        <v>4152</v>
      </c>
      <c r="B27" s="2"/>
      <c r="C27" s="2"/>
      <c r="D27" s="2"/>
      <c r="E27" s="2"/>
      <c r="F27" s="2"/>
      <c r="G27" s="2"/>
      <c r="H27" s="2"/>
    </row>
    <row r="28" spans="1:8">
      <c r="A28" s="2"/>
      <c r="B28" s="2"/>
      <c r="C28" s="2"/>
      <c r="D28" s="2"/>
      <c r="E28" s="2"/>
      <c r="F28" s="2"/>
      <c r="G28" s="2"/>
      <c r="H28" s="2"/>
    </row>
    <row r="29" spans="1:8" ht="15.75">
      <c r="A29" s="4" t="s">
        <v>3707</v>
      </c>
      <c r="B29" s="2"/>
      <c r="C29" s="2"/>
      <c r="D29" s="2"/>
      <c r="E29" s="2"/>
      <c r="F29" s="2"/>
      <c r="G29" s="2"/>
      <c r="H29" s="2"/>
    </row>
    <row r="30" spans="1:8" ht="60">
      <c r="A30" s="2" t="s">
        <v>439</v>
      </c>
      <c r="B30" s="2"/>
      <c r="C30" s="2"/>
      <c r="D30" s="2"/>
      <c r="E30" s="2"/>
      <c r="F30" s="2"/>
      <c r="G30" s="2"/>
      <c r="H30" s="2"/>
    </row>
    <row r="31" spans="1:8">
      <c r="A31" s="2"/>
      <c r="B31" s="2"/>
      <c r="C31" s="2"/>
      <c r="D31" s="2"/>
      <c r="E31" s="2"/>
      <c r="F31" s="2"/>
      <c r="G31" s="2"/>
      <c r="H31" s="2"/>
    </row>
    <row r="32" spans="1:8">
      <c r="A32" s="2"/>
      <c r="B32" s="2"/>
      <c r="C32" s="2"/>
      <c r="D32" s="2"/>
      <c r="E32" s="2"/>
      <c r="F32" s="2"/>
      <c r="G32" s="2"/>
      <c r="H32" s="2"/>
    </row>
    <row r="33" spans="1:8" ht="15.75">
      <c r="B33" s="5"/>
      <c r="C33" s="6" t="s">
        <v>440</v>
      </c>
      <c r="D33" s="7"/>
      <c r="E33" s="6"/>
      <c r="F33" s="8"/>
      <c r="G33" s="5"/>
    </row>
    <row r="34" spans="1:8" ht="15.75">
      <c r="A34" s="9" t="s">
        <v>3708</v>
      </c>
      <c r="B34" s="8"/>
      <c r="C34" s="9" t="s">
        <v>3709</v>
      </c>
      <c r="D34" s="10"/>
      <c r="E34" s="9"/>
      <c r="F34" s="10"/>
    </row>
    <row r="35" spans="1:8" ht="18">
      <c r="A35" s="1002" t="s">
        <v>448</v>
      </c>
      <c r="B35" s="8"/>
      <c r="C35" s="9"/>
      <c r="D35" s="260" t="s">
        <v>449</v>
      </c>
      <c r="E35" s="9"/>
      <c r="F35" s="10"/>
      <c r="H35" s="230" t="s">
        <v>4893</v>
      </c>
    </row>
    <row r="36" spans="1:8" ht="18">
      <c r="A36" s="12" t="s">
        <v>3710</v>
      </c>
      <c r="D36" t="s">
        <v>3098</v>
      </c>
    </row>
    <row r="37" spans="1:8" ht="18">
      <c r="A37" s="12" t="s">
        <v>3711</v>
      </c>
      <c r="D37" t="s">
        <v>3099</v>
      </c>
    </row>
    <row r="38" spans="1:8" ht="18">
      <c r="A38" s="12" t="s">
        <v>3712</v>
      </c>
      <c r="D38" t="s">
        <v>3100</v>
      </c>
    </row>
    <row r="39" spans="1:8" ht="18">
      <c r="A39" s="12" t="s">
        <v>3713</v>
      </c>
      <c r="D39" t="s">
        <v>444</v>
      </c>
    </row>
    <row r="40" spans="1:8" ht="18">
      <c r="A40" s="12" t="s">
        <v>201</v>
      </c>
      <c r="D40" t="s">
        <v>445</v>
      </c>
    </row>
    <row r="41" spans="1:8" ht="18">
      <c r="A41" s="12" t="s">
        <v>2179</v>
      </c>
      <c r="D41" t="s">
        <v>446</v>
      </c>
    </row>
    <row r="42" spans="1:8" ht="18">
      <c r="A42" s="12" t="s">
        <v>2180</v>
      </c>
      <c r="D42" t="s">
        <v>447</v>
      </c>
    </row>
    <row r="43" spans="1:8">
      <c r="A43" s="2"/>
      <c r="B43" s="2"/>
      <c r="C43" s="2"/>
      <c r="D43" s="2"/>
      <c r="E43" s="2"/>
      <c r="F43" s="2"/>
      <c r="G43" s="2"/>
    </row>
    <row r="44" spans="1:8">
      <c r="A44" s="2"/>
      <c r="B44" s="2"/>
      <c r="C44" s="2"/>
      <c r="D44" s="2"/>
      <c r="E44" s="2"/>
      <c r="F44" s="2"/>
      <c r="G44" s="2"/>
    </row>
    <row r="45" spans="1:8">
      <c r="A45" s="2"/>
      <c r="B45" s="2"/>
      <c r="C45" s="2"/>
      <c r="D45" s="2"/>
      <c r="E45" s="2"/>
      <c r="F45" s="2"/>
      <c r="G45" s="2"/>
    </row>
    <row r="46" spans="1:8">
      <c r="A46" s="2"/>
      <c r="B46" s="2"/>
      <c r="C46" s="2"/>
      <c r="D46" s="2"/>
      <c r="E46" s="2"/>
      <c r="F46" s="2"/>
      <c r="G46" s="2"/>
    </row>
    <row r="47" spans="1:8">
      <c r="A47" s="2"/>
      <c r="B47" s="2"/>
      <c r="C47" s="2"/>
      <c r="D47" s="2"/>
      <c r="E47" s="2"/>
      <c r="F47" s="2"/>
      <c r="G47" s="2"/>
    </row>
    <row r="48" spans="1:8">
      <c r="A48" s="2"/>
      <c r="B48" s="2"/>
      <c r="C48" s="2"/>
      <c r="D48" s="2"/>
      <c r="E48" s="2"/>
      <c r="F48" s="2"/>
      <c r="G48" s="2"/>
    </row>
    <row r="49" spans="1:7">
      <c r="A49" s="13"/>
      <c r="C49" s="2"/>
      <c r="D49" s="2"/>
      <c r="E49" s="2"/>
      <c r="F49" s="2"/>
      <c r="G49" s="2"/>
    </row>
    <row r="50" spans="1:7">
      <c r="A50" s="13"/>
      <c r="C50" s="2"/>
      <c r="D50" s="2"/>
      <c r="E50" s="2"/>
      <c r="F50" s="2"/>
      <c r="G50" s="2"/>
    </row>
    <row r="51" spans="1:7">
      <c r="A51" s="13"/>
      <c r="C51" s="2"/>
      <c r="D51" s="2"/>
      <c r="E51" s="2"/>
      <c r="F51" s="2"/>
      <c r="G51" s="2"/>
    </row>
    <row r="52" spans="1:7">
      <c r="A52" s="13"/>
      <c r="C52" s="2"/>
      <c r="D52" s="2"/>
      <c r="E52" s="2"/>
      <c r="F52" s="2"/>
      <c r="G52" s="2"/>
    </row>
    <row r="53" spans="1:7">
      <c r="A53" s="13"/>
      <c r="C53" s="2"/>
      <c r="D53" s="2"/>
      <c r="E53" s="2"/>
      <c r="F53" s="2"/>
      <c r="G53" s="2"/>
    </row>
    <row r="54" spans="1:7">
      <c r="A54" s="13"/>
      <c r="C54" s="2"/>
      <c r="D54" s="2"/>
      <c r="E54" s="2"/>
      <c r="F54" s="2"/>
      <c r="G54" s="2"/>
    </row>
    <row r="55" spans="1:7">
      <c r="A55" s="13"/>
      <c r="C55" s="2"/>
      <c r="D55" s="2"/>
      <c r="E55" s="2"/>
      <c r="F55" s="2"/>
      <c r="G55" s="2"/>
    </row>
    <row r="56" spans="1:7">
      <c r="C56" s="2"/>
      <c r="D56" s="2"/>
      <c r="E56" s="2"/>
      <c r="F56" s="2"/>
      <c r="G56" s="2"/>
    </row>
    <row r="57" spans="1:7">
      <c r="A57" s="13"/>
      <c r="C57" s="2"/>
      <c r="D57" s="2"/>
      <c r="E57" s="2"/>
      <c r="F57" s="2"/>
      <c r="G57" s="2"/>
    </row>
    <row r="58" spans="1:7">
      <c r="A58" s="13"/>
      <c r="C58" s="2"/>
      <c r="D58" s="2"/>
      <c r="E58" s="2"/>
      <c r="F58" s="2"/>
      <c r="G58" s="2"/>
    </row>
  </sheetData>
  <customSheetViews>
    <customSheetView guid="{1BA452AD-1A45-4D9C-9666-ADFFA6F2F567}" scale="87" colorId="22" topLeftCell="A19">
      <selection activeCell="H35" sqref="H35"/>
      <rowBreaks count="1" manualBreakCount="1">
        <brk id="28" max="16383" man="1"/>
      </rowBreaks>
      <pageMargins left="0.4" right="0.4" top="0.3" bottom="0.3" header="0" footer="0"/>
      <printOptions horizontalCentered="1" verticalCentered="1"/>
      <pageSetup scale="82" orientation="portrait" r:id="rId1"/>
      <headerFooter alignWithMargins="0"/>
    </customSheetView>
    <customSheetView guid="{EEF7ABD6-0F96-4791-B749-C06F707E7673}" scale="87" colorId="22" showRuler="0">
      <rowBreaks count="1" manualBreakCount="1">
        <brk id="28" max="16383" man="1"/>
      </rowBreaks>
      <pageMargins left="0.4" right="0.4" top="0.3" bottom="0.3" header="0" footer="0"/>
      <printOptions horizontalCentered="1" verticalCentered="1"/>
      <pageSetup scale="82" orientation="portrait" r:id="rId2"/>
      <headerFooter alignWithMargins="0"/>
    </customSheetView>
    <customSheetView guid="{A7D7DB3C-AFE6-468E-8C6B-9531F6711497}" scale="87" colorId="22" showPageBreaks="1" showRuler="0" topLeftCell="A13">
      <selection activeCell="H5" sqref="H5"/>
      <rowBreaks count="1" manualBreakCount="1">
        <brk id="28" max="16383" man="1"/>
      </rowBreaks>
      <pageMargins left="0.4" right="0.4" top="0.3" bottom="0.3" header="0" footer="0"/>
      <printOptions horizontalCentered="1" verticalCentered="1"/>
      <pageSetup scale="82" orientation="portrait" r:id="rId3"/>
      <headerFooter alignWithMargins="0"/>
    </customSheetView>
    <customSheetView guid="{4436FEB5-BFEC-4348-9286-CB706802873E}" scale="87" colorId="22" showRuler="0" topLeftCell="A13">
      <selection activeCell="H5" sqref="H5"/>
      <rowBreaks count="1" manualBreakCount="1">
        <brk id="28" max="16383" man="1"/>
      </rowBreaks>
      <pageMargins left="0.4" right="0.4" top="0.3" bottom="0.3" header="0" footer="0"/>
      <printOptions horizontalCentered="1" verticalCentered="1"/>
      <pageSetup scale="82" orientation="portrait" r:id="rId4"/>
      <headerFooter alignWithMargins="0"/>
    </customSheetView>
    <customSheetView guid="{044CF00C-469F-44B3-B2C4-9B4049CE70CB}" scale="87" colorId="22" showRuler="0">
      <selection activeCell="A2" sqref="A2"/>
      <rowBreaks count="1" manualBreakCount="1">
        <brk id="28" max="16383" man="1"/>
      </rowBreaks>
      <pageMargins left="0.4" right="0.4" top="0.3" bottom="0.3" header="0" footer="0"/>
      <printOptions horizontalCentered="1" verticalCentered="1"/>
      <pageSetup scale="82" orientation="portrait" r:id="rId5"/>
      <headerFooter alignWithMargins="0"/>
    </customSheetView>
    <customSheetView guid="{4826FCC0-BDD6-4B2C-ACC6-ACE271DDF0E3}" scale="87" colorId="22" showRuler="0">
      <rowBreaks count="1" manualBreakCount="1">
        <brk id="28" max="16383" man="1"/>
      </rowBreaks>
      <pageMargins left="0.4" right="0.4" top="0.3" bottom="0.3" header="0" footer="0"/>
      <printOptions horizontalCentered="1" verticalCentered="1"/>
      <pageSetup scale="82" orientation="portrait" r:id="rId6"/>
      <headerFooter alignWithMargins="0"/>
    </customSheetView>
    <customSheetView guid="{EF376D10-23D6-4FE2-AB5B-4460D52CC93F}" scale="87" colorId="22" showRuler="0">
      <rowBreaks count="1" manualBreakCount="1">
        <brk id="28" max="16383" man="1"/>
      </rowBreaks>
      <pageMargins left="0.4" right="0.4" top="0.3" bottom="0.3" header="0" footer="0"/>
      <printOptions horizontalCentered="1" verticalCentered="1"/>
      <pageSetup scale="82" orientation="portrait" r:id="rId7"/>
      <headerFooter alignWithMargins="0"/>
    </customSheetView>
    <customSheetView guid="{1C046605-15CE-44F1-BFCD-2CA8588E7ACF}" scale="87" colorId="22" showRuler="0">
      <rowBreaks count="1" manualBreakCount="1">
        <brk id="28" max="16383" man="1"/>
      </rowBreaks>
      <pageMargins left="0.4" right="0.4" top="0.3" bottom="0.3" header="0" footer="0"/>
      <printOptions horizontalCentered="1" verticalCentered="1"/>
      <pageSetup scale="82" orientation="portrait" r:id="rId8"/>
      <headerFooter alignWithMargins="0"/>
    </customSheetView>
    <customSheetView guid="{3911D713-188C-46A1-A299-F21DD3B7A146}" scale="87" colorId="22" showRuler="0">
      <rowBreaks count="1" manualBreakCount="1">
        <brk id="28" max="16383" man="1"/>
      </rowBreaks>
      <pageMargins left="0.4" right="0.4" top="0.3" bottom="0.3" header="0" footer="0"/>
      <printOptions horizontalCentered="1" verticalCentered="1"/>
      <pageSetup scale="82" orientation="portrait" r:id="rId9"/>
      <headerFooter alignWithMargins="0"/>
    </customSheetView>
    <customSheetView guid="{78BB1E60-60BE-4F56-9763-075185EFEFAB}" scale="87" colorId="22" topLeftCell="A19">
      <selection activeCell="N36" sqref="N36"/>
      <rowBreaks count="1" manualBreakCount="1">
        <brk id="28" max="16383" man="1"/>
      </rowBreaks>
      <pageMargins left="0.4" right="0.4" top="0.3" bottom="0.3" header="0" footer="0"/>
      <printOptions horizontalCentered="1" verticalCentered="1"/>
      <pageSetup scale="82" orientation="portrait" r:id="rId10"/>
      <headerFooter alignWithMargins="0"/>
    </customSheetView>
    <customSheetView guid="{9C30803E-1E2D-4850-B0A5-591CA6F246A1}" scale="87" colorId="22" topLeftCell="A19">
      <selection activeCell="N36" sqref="N36"/>
      <rowBreaks count="1" manualBreakCount="1">
        <brk id="28" max="16383" man="1"/>
      </rowBreaks>
      <pageMargins left="0.4" right="0.4" top="0.3" bottom="0.3" header="0" footer="0"/>
      <printOptions horizontalCentered="1" verticalCentered="1"/>
      <pageSetup scale="82" orientation="portrait" r:id="rId11"/>
      <headerFooter alignWithMargins="0"/>
    </customSheetView>
    <customSheetView guid="{3B1006FF-A2CA-49E7-9B25-DAC8815279AF}" scale="87" colorId="22" topLeftCell="A19">
      <selection activeCell="N36" sqref="N36"/>
      <rowBreaks count="1" manualBreakCount="1">
        <brk id="28" max="16383" man="1"/>
      </rowBreaks>
      <pageMargins left="0.4" right="0.4" top="0.3" bottom="0.3" header="0" footer="0"/>
      <printOptions horizontalCentered="1" verticalCentered="1"/>
      <pageSetup scale="82" orientation="portrait" r:id="rId12"/>
      <headerFooter alignWithMargins="0"/>
    </customSheetView>
    <customSheetView guid="{FB1A60C8-E1F9-4DF0-8E0E-1C965F86027F}" scale="87" colorId="22" topLeftCell="A19">
      <selection activeCell="N36" sqref="N36"/>
      <rowBreaks count="1" manualBreakCount="1">
        <brk id="28" max="16383" man="1"/>
      </rowBreaks>
      <pageMargins left="0.4" right="0.4" top="0.3" bottom="0.3" header="0" footer="0"/>
      <printOptions horizontalCentered="1" verticalCentered="1"/>
      <pageSetup scale="82" orientation="portrait" r:id="rId13"/>
      <headerFooter alignWithMargins="0"/>
    </customSheetView>
    <customSheetView guid="{C5B6D812-CBE6-46AA-99F7-02494E9802B4}" scale="70" colorId="22" topLeftCell="A4">
      <selection activeCell="C10" sqref="C10"/>
      <rowBreaks count="1" manualBreakCount="1">
        <brk id="28" max="16383" man="1"/>
      </rowBreaks>
      <pageMargins left="0.4" right="0.4" top="0.3" bottom="0.3" header="0" footer="0"/>
      <printOptions horizontalCentered="1" verticalCentered="1"/>
      <pageSetup scale="82" orientation="portrait" r:id="rId14"/>
      <headerFooter alignWithMargins="0"/>
    </customSheetView>
  </customSheetViews>
  <phoneticPr fontId="0" type="noConversion"/>
  <printOptions horizontalCentered="1" verticalCentered="1"/>
  <pageMargins left="0.4" right="0.4" top="0.3" bottom="0.3" header="0" footer="0"/>
  <pageSetup scale="82" orientation="portrait" r:id="rId15"/>
  <headerFooter alignWithMargins="0"/>
  <rowBreaks count="1" manualBreakCount="1">
    <brk id="28" max="16383" man="1"/>
  </rowBreaks>
  <customProperties>
    <customPr name="_pios_id" r:id="rId16"/>
  </customProperties>
</worksheet>
</file>

<file path=xl/worksheets/sheet20.xml><?xml version="1.0" encoding="utf-8"?>
<worksheet xmlns="http://schemas.openxmlformats.org/spreadsheetml/2006/main" xmlns:r="http://schemas.openxmlformats.org/officeDocument/2006/relationships">
  <sheetPr transitionEvaluation="1" codeName="Sheet20" enableFormatConditionsCalculation="0"/>
  <dimension ref="A1:N153"/>
  <sheetViews>
    <sheetView defaultGridColor="0" colorId="22" zoomScale="70" zoomScaleNormal="70" zoomScaleSheetLayoutView="55" workbookViewId="0"/>
  </sheetViews>
  <sheetFormatPr defaultColWidth="9.77734375" defaultRowHeight="15"/>
  <cols>
    <col min="1" max="1" width="4.77734375" customWidth="1"/>
    <col min="2" max="2" width="38.88671875" customWidth="1"/>
    <col min="3" max="3" width="14.33203125" customWidth="1"/>
    <col min="4" max="4" width="18.5546875" customWidth="1"/>
    <col min="5" max="5" width="19.88671875" style="1633" customWidth="1"/>
    <col min="6" max="6" width="1.21875" style="1633" customWidth="1"/>
    <col min="7" max="7" width="11.88671875" style="1633" customWidth="1"/>
    <col min="8" max="8" width="12.109375" style="1633" customWidth="1"/>
    <col min="9" max="9" width="11.109375" style="1633" customWidth="1"/>
    <col min="10" max="10" width="15.109375" customWidth="1"/>
    <col min="11" max="11" width="6.44140625" customWidth="1"/>
    <col min="12" max="12" width="42.77734375" customWidth="1"/>
  </cols>
  <sheetData>
    <row r="1" spans="1:14" ht="15.75" thickBot="1">
      <c r="A1" s="2649" t="str">
        <f>+'Data sheet'!A53</f>
        <v>Annual Report of New York American Water Company, Inc. (f/k/a Long Island Water Corp)                                   Year Ended  December 31, 2013</v>
      </c>
      <c r="G1" s="2649" t="str">
        <f>A1</f>
        <v>Annual Report of New York American Water Company, Inc. (f/k/a Long Island Water Corp)                                   Year Ended  December 31, 2013</v>
      </c>
      <c r="N1" s="1666"/>
    </row>
    <row r="2" spans="1:14">
      <c r="A2" s="142"/>
      <c r="B2" s="143"/>
      <c r="C2" s="143"/>
      <c r="D2" s="143"/>
      <c r="E2" s="1795"/>
      <c r="F2" s="1708"/>
      <c r="G2" s="1796"/>
      <c r="H2" s="1708"/>
      <c r="I2" s="1708"/>
      <c r="J2" s="143"/>
      <c r="K2" s="143"/>
      <c r="L2" s="144"/>
    </row>
    <row r="3" spans="1:14" ht="15.75">
      <c r="A3" s="3040" t="s">
        <v>4113</v>
      </c>
      <c r="B3" s="3041"/>
      <c r="C3" s="3041"/>
      <c r="D3" s="3041"/>
      <c r="E3" s="3042"/>
      <c r="F3" s="2810"/>
      <c r="G3" s="1797" t="s">
        <v>4113</v>
      </c>
      <c r="H3" s="1961"/>
      <c r="I3" s="1961"/>
      <c r="J3" s="1358"/>
      <c r="K3" s="1358"/>
      <c r="L3" s="145"/>
    </row>
    <row r="4" spans="1:14">
      <c r="A4" s="108"/>
      <c r="B4" s="109"/>
      <c r="C4" s="109"/>
      <c r="D4" s="141"/>
      <c r="E4" s="1798"/>
      <c r="F4" s="1696"/>
      <c r="G4" s="1799"/>
      <c r="H4" s="1703"/>
      <c r="I4" s="1800"/>
      <c r="J4" s="293"/>
      <c r="K4" s="109"/>
      <c r="L4" s="112"/>
    </row>
    <row r="5" spans="1:14">
      <c r="A5" s="96"/>
      <c r="B5" s="97"/>
      <c r="C5" s="97"/>
      <c r="D5" s="97"/>
      <c r="E5" s="1801"/>
      <c r="F5" s="1116"/>
      <c r="G5" s="1802"/>
      <c r="H5" s="1116"/>
      <c r="I5" s="1116"/>
      <c r="J5" s="847"/>
      <c r="K5" s="847"/>
      <c r="L5" s="98"/>
    </row>
    <row r="6" spans="1:14">
      <c r="A6" s="405" t="s">
        <v>3532</v>
      </c>
      <c r="B6" s="406"/>
      <c r="C6" s="406"/>
      <c r="D6" s="406"/>
      <c r="E6" s="1803"/>
      <c r="F6" s="1761"/>
      <c r="G6" s="1804" t="s">
        <v>2146</v>
      </c>
      <c r="H6" s="1761"/>
      <c r="I6" s="1761"/>
      <c r="J6" s="1356"/>
      <c r="K6" s="1356"/>
      <c r="L6" s="98"/>
    </row>
    <row r="7" spans="1:14">
      <c r="A7" s="405"/>
      <c r="B7" s="406"/>
      <c r="C7" s="406"/>
      <c r="D7" s="406"/>
      <c r="E7" s="1803"/>
      <c r="F7" s="1761"/>
      <c r="G7" s="1804" t="s">
        <v>3671</v>
      </c>
      <c r="H7" s="1761"/>
      <c r="I7" s="1761"/>
      <c r="J7" s="1356"/>
      <c r="K7" s="1356"/>
      <c r="L7" s="98"/>
    </row>
    <row r="8" spans="1:14">
      <c r="A8" s="405" t="s">
        <v>3590</v>
      </c>
      <c r="B8" s="406"/>
      <c r="C8" s="406"/>
      <c r="D8" s="406"/>
      <c r="E8" s="1803"/>
      <c r="F8" s="1761"/>
      <c r="G8" s="1804" t="s">
        <v>2511</v>
      </c>
      <c r="H8" s="1761"/>
      <c r="I8" s="1761"/>
      <c r="J8" s="1356"/>
      <c r="K8" s="1356"/>
      <c r="L8" s="98"/>
    </row>
    <row r="9" spans="1:14">
      <c r="A9" s="405" t="s">
        <v>2512</v>
      </c>
      <c r="B9" s="406"/>
      <c r="C9" s="406"/>
      <c r="D9" s="406"/>
      <c r="E9" s="1803"/>
      <c r="F9" s="1761"/>
      <c r="G9" s="1804" t="s">
        <v>3089</v>
      </c>
      <c r="H9" s="1761"/>
      <c r="I9" s="1761"/>
      <c r="J9" s="1356"/>
      <c r="K9" s="1356"/>
      <c r="L9" s="98"/>
    </row>
    <row r="10" spans="1:14">
      <c r="A10" s="405"/>
      <c r="B10" s="406"/>
      <c r="C10" s="406"/>
      <c r="D10" s="406"/>
      <c r="E10" s="1803"/>
      <c r="F10" s="1761"/>
      <c r="G10" s="1804"/>
      <c r="H10" s="1761"/>
      <c r="I10" s="1761"/>
      <c r="J10" s="1356"/>
      <c r="K10" s="1356"/>
      <c r="L10" s="98"/>
    </row>
    <row r="11" spans="1:14">
      <c r="A11" s="405" t="s">
        <v>1763</v>
      </c>
      <c r="B11" s="406"/>
      <c r="C11" s="406"/>
      <c r="D11" s="406"/>
      <c r="E11" s="1803"/>
      <c r="F11" s="1761"/>
      <c r="G11" s="1804" t="s">
        <v>2791</v>
      </c>
      <c r="H11" s="1761"/>
      <c r="I11" s="1761"/>
      <c r="J11" s="1356"/>
      <c r="K11" s="1356"/>
      <c r="L11" s="98"/>
    </row>
    <row r="12" spans="1:14">
      <c r="A12" s="405"/>
      <c r="B12" s="406"/>
      <c r="C12" s="406"/>
      <c r="D12" s="406"/>
      <c r="E12" s="1803"/>
      <c r="F12" s="1761"/>
      <c r="G12" s="1804" t="s">
        <v>1678</v>
      </c>
      <c r="H12" s="1761"/>
      <c r="I12" s="1761"/>
      <c r="J12" s="1356"/>
      <c r="K12" s="1356"/>
      <c r="L12" s="98"/>
    </row>
    <row r="13" spans="1:14">
      <c r="A13" s="405" t="s">
        <v>1987</v>
      </c>
      <c r="B13" s="406"/>
      <c r="C13" s="406"/>
      <c r="D13" s="406"/>
      <c r="E13" s="1803"/>
      <c r="F13" s="1761"/>
      <c r="G13" s="1804"/>
      <c r="H13" s="1761"/>
      <c r="I13" s="1761"/>
      <c r="J13" s="1356"/>
      <c r="K13" s="1356"/>
      <c r="L13" s="98"/>
    </row>
    <row r="14" spans="1:14" ht="15.75">
      <c r="A14" s="405"/>
      <c r="B14" s="408"/>
      <c r="C14" s="406"/>
      <c r="D14" s="406"/>
      <c r="E14" s="1803"/>
      <c r="F14" s="1761"/>
      <c r="G14" s="1804" t="s">
        <v>1988</v>
      </c>
      <c r="H14" s="1761"/>
      <c r="I14" s="1761"/>
      <c r="J14" s="1356"/>
      <c r="K14" s="1356"/>
      <c r="L14" s="98"/>
    </row>
    <row r="15" spans="1:14">
      <c r="A15" s="405" t="s">
        <v>3692</v>
      </c>
      <c r="B15" s="406"/>
      <c r="C15" s="406"/>
      <c r="D15" s="406"/>
      <c r="E15" s="1803"/>
      <c r="F15" s="1761"/>
      <c r="G15" s="1804" t="s">
        <v>2312</v>
      </c>
      <c r="H15" s="1761"/>
      <c r="I15" s="1761"/>
      <c r="J15" s="1356"/>
      <c r="K15" s="1356"/>
      <c r="L15" s="98"/>
    </row>
    <row r="16" spans="1:14">
      <c r="A16" s="96"/>
      <c r="B16" s="97"/>
      <c r="C16" s="97"/>
      <c r="D16" s="97"/>
      <c r="E16" s="1801"/>
      <c r="F16" s="1116"/>
      <c r="G16" s="1799" t="s">
        <v>2313</v>
      </c>
      <c r="H16" s="1703"/>
      <c r="I16" s="1703"/>
      <c r="J16" s="109"/>
      <c r="K16" s="109"/>
      <c r="L16" s="112"/>
    </row>
    <row r="17" spans="1:12">
      <c r="A17" s="409"/>
      <c r="B17" s="150"/>
      <c r="C17" s="102"/>
      <c r="D17" s="798" t="s">
        <v>1062</v>
      </c>
      <c r="E17" s="1805"/>
      <c r="F17" s="1116"/>
      <c r="G17" s="1802"/>
      <c r="H17" s="1729"/>
      <c r="I17" s="1116"/>
      <c r="J17" s="120" t="s">
        <v>1062</v>
      </c>
      <c r="K17" s="106"/>
      <c r="L17" s="410"/>
    </row>
    <row r="18" spans="1:12">
      <c r="A18" s="121" t="s">
        <v>1129</v>
      </c>
      <c r="B18" s="147" t="s">
        <v>1139</v>
      </c>
      <c r="C18" s="129"/>
      <c r="D18" s="120" t="s">
        <v>2314</v>
      </c>
      <c r="E18" s="1806" t="s">
        <v>2315</v>
      </c>
      <c r="F18" s="1962"/>
      <c r="G18" s="1651" t="s">
        <v>2907</v>
      </c>
      <c r="H18" s="1807" t="s">
        <v>560</v>
      </c>
      <c r="I18" s="1962" t="s">
        <v>2908</v>
      </c>
      <c r="J18" s="120" t="s">
        <v>2423</v>
      </c>
      <c r="K18" s="106"/>
      <c r="L18" s="410" t="s">
        <v>1129</v>
      </c>
    </row>
    <row r="19" spans="1:12">
      <c r="A19" s="411" t="s">
        <v>3324</v>
      </c>
      <c r="B19" s="412" t="s">
        <v>4032</v>
      </c>
      <c r="C19" s="413"/>
      <c r="D19" s="800" t="s">
        <v>4033</v>
      </c>
      <c r="E19" s="1809" t="s">
        <v>4034</v>
      </c>
      <c r="F19" s="1812"/>
      <c r="G19" s="1810" t="s">
        <v>4035</v>
      </c>
      <c r="H19" s="1811" t="s">
        <v>2277</v>
      </c>
      <c r="I19" s="1812" t="s">
        <v>2278</v>
      </c>
      <c r="J19" s="800" t="s">
        <v>2279</v>
      </c>
      <c r="K19" s="110"/>
      <c r="L19" s="414" t="s">
        <v>3324</v>
      </c>
    </row>
    <row r="20" spans="1:12" ht="15.75">
      <c r="A20" s="415" t="s">
        <v>2699</v>
      </c>
      <c r="B20" s="416" t="s">
        <v>2909</v>
      </c>
      <c r="C20" s="417"/>
      <c r="D20" s="418"/>
      <c r="E20" s="1813"/>
      <c r="F20" s="1815"/>
      <c r="G20" s="1814"/>
      <c r="H20" s="1815"/>
      <c r="I20" s="1815"/>
      <c r="J20" s="419"/>
      <c r="K20" s="110"/>
      <c r="L20" s="420" t="s">
        <v>2699</v>
      </c>
    </row>
    <row r="21" spans="1:12">
      <c r="A21" s="415">
        <v>2</v>
      </c>
      <c r="B21" s="421" t="s">
        <v>2910</v>
      </c>
      <c r="C21" s="417"/>
      <c r="D21" s="425">
        <v>72.55</v>
      </c>
      <c r="E21" s="1816"/>
      <c r="F21" s="1963"/>
      <c r="G21" s="1817"/>
      <c r="H21" s="1818"/>
      <c r="I21" s="1818"/>
      <c r="J21" s="425">
        <f>D21+E21-G21+H21+I21</f>
        <v>72.55</v>
      </c>
      <c r="K21" s="816" t="s">
        <v>2911</v>
      </c>
      <c r="L21" s="420">
        <v>2</v>
      </c>
    </row>
    <row r="22" spans="1:12">
      <c r="A22" s="415">
        <v>3</v>
      </c>
      <c r="B22" s="421" t="s">
        <v>2912</v>
      </c>
      <c r="C22" s="417"/>
      <c r="D22" s="426">
        <v>518.34</v>
      </c>
      <c r="E22" s="1819"/>
      <c r="F22" s="1827"/>
      <c r="G22" s="1820"/>
      <c r="H22" s="1821"/>
      <c r="I22" s="1821"/>
      <c r="J22" s="429">
        <f>D22+E22-G22+H22+I22</f>
        <v>518.34</v>
      </c>
      <c r="K22" s="816" t="s">
        <v>2913</v>
      </c>
      <c r="L22" s="420">
        <v>3</v>
      </c>
    </row>
    <row r="23" spans="1:12">
      <c r="A23" s="415">
        <v>4</v>
      </c>
      <c r="B23" s="421" t="s">
        <v>2914</v>
      </c>
      <c r="C23" s="417"/>
      <c r="D23" s="426">
        <v>147989.19999999998</v>
      </c>
      <c r="E23" s="1819"/>
      <c r="F23" s="1827"/>
      <c r="G23" s="1820"/>
      <c r="H23" s="1821">
        <f>268-268.11</f>
        <v>-0.11000000000001364</v>
      </c>
      <c r="I23" s="1821"/>
      <c r="J23" s="429">
        <f>D23+E23-G23+H23+I23</f>
        <v>147989.09</v>
      </c>
      <c r="K23" s="816" t="s">
        <v>4039</v>
      </c>
      <c r="L23" s="420">
        <v>4</v>
      </c>
    </row>
    <row r="24" spans="1:12">
      <c r="A24" s="415">
        <v>5</v>
      </c>
      <c r="B24" s="421" t="s">
        <v>4040</v>
      </c>
      <c r="C24" s="417"/>
      <c r="D24" s="427">
        <f t="shared" ref="D24:J24" si="0">SUM(D21:D23)</f>
        <v>148580.09</v>
      </c>
      <c r="E24" s="1819">
        <f t="shared" si="0"/>
        <v>0</v>
      </c>
      <c r="F24" s="1827"/>
      <c r="G24" s="1820">
        <f t="shared" si="0"/>
        <v>0</v>
      </c>
      <c r="H24" s="1821">
        <f t="shared" si="0"/>
        <v>-0.11000000000001364</v>
      </c>
      <c r="I24" s="1821">
        <f t="shared" si="0"/>
        <v>0</v>
      </c>
      <c r="J24" s="429">
        <f t="shared" si="0"/>
        <v>148579.98000000001</v>
      </c>
      <c r="K24" s="110"/>
      <c r="L24" s="420">
        <v>5</v>
      </c>
    </row>
    <row r="25" spans="1:12" ht="15.75">
      <c r="A25" s="415">
        <v>6</v>
      </c>
      <c r="B25" s="416" t="s">
        <v>2555</v>
      </c>
      <c r="C25" s="417"/>
      <c r="D25" s="430" t="s">
        <v>4373</v>
      </c>
      <c r="E25" s="1822"/>
      <c r="F25" s="1824"/>
      <c r="G25" s="1823"/>
      <c r="H25" s="1824"/>
      <c r="I25" s="1824"/>
      <c r="J25" s="431" t="s">
        <v>4373</v>
      </c>
      <c r="K25" s="110"/>
      <c r="L25" s="420">
        <v>6</v>
      </c>
    </row>
    <row r="26" spans="1:12">
      <c r="A26" s="415">
        <v>7</v>
      </c>
      <c r="B26" s="421" t="s">
        <v>2556</v>
      </c>
      <c r="C26" s="417"/>
      <c r="D26" s="426">
        <v>435601.58</v>
      </c>
      <c r="E26" s="1816"/>
      <c r="F26" s="2647"/>
      <c r="G26" s="1820"/>
      <c r="H26" s="1821"/>
      <c r="I26" s="1821"/>
      <c r="J26" s="429">
        <f t="shared" ref="J26:J33" si="1">D26+E26-G26+H26+I26</f>
        <v>435601.58</v>
      </c>
      <c r="K26" s="816" t="s">
        <v>2557</v>
      </c>
      <c r="L26" s="420">
        <v>7</v>
      </c>
    </row>
    <row r="27" spans="1:12">
      <c r="A27" s="415">
        <v>8</v>
      </c>
      <c r="B27" s="421" t="s">
        <v>1370</v>
      </c>
      <c r="C27" s="417"/>
      <c r="D27" s="426">
        <v>0</v>
      </c>
      <c r="E27" s="1825"/>
      <c r="F27" s="2647"/>
      <c r="G27" s="1817"/>
      <c r="H27" s="1821"/>
      <c r="I27" s="1821"/>
      <c r="J27" s="429">
        <f t="shared" si="1"/>
        <v>0</v>
      </c>
      <c r="K27" s="816" t="s">
        <v>1371</v>
      </c>
      <c r="L27" s="420">
        <v>8</v>
      </c>
    </row>
    <row r="28" spans="1:12">
      <c r="A28" s="415">
        <v>9</v>
      </c>
      <c r="B28" s="421" t="s">
        <v>1372</v>
      </c>
      <c r="C28" s="417"/>
      <c r="D28" s="426">
        <v>0</v>
      </c>
      <c r="E28" s="1816"/>
      <c r="F28" s="2647"/>
      <c r="G28" s="1820"/>
      <c r="H28" s="1821"/>
      <c r="I28" s="1821"/>
      <c r="J28" s="429">
        <f t="shared" si="1"/>
        <v>0</v>
      </c>
      <c r="K28" s="816" t="s">
        <v>1373</v>
      </c>
      <c r="L28" s="420">
        <v>9</v>
      </c>
    </row>
    <row r="29" spans="1:12">
      <c r="A29" s="415">
        <v>10</v>
      </c>
      <c r="B29" s="421" t="s">
        <v>2747</v>
      </c>
      <c r="C29" s="417"/>
      <c r="D29" s="426">
        <v>0</v>
      </c>
      <c r="E29" s="1816"/>
      <c r="F29" s="2647"/>
      <c r="G29" s="1820"/>
      <c r="H29" s="1821"/>
      <c r="I29" s="1821"/>
      <c r="J29" s="429">
        <f t="shared" si="1"/>
        <v>0</v>
      </c>
      <c r="K29" s="816" t="s">
        <v>2748</v>
      </c>
      <c r="L29" s="420">
        <v>10</v>
      </c>
    </row>
    <row r="30" spans="1:12">
      <c r="A30" s="415">
        <v>11</v>
      </c>
      <c r="B30" s="421" t="s">
        <v>2749</v>
      </c>
      <c r="C30" s="417"/>
      <c r="D30" s="426">
        <v>7507885.4900000002</v>
      </c>
      <c r="E30" s="1825">
        <v>297007.96000000002</v>
      </c>
      <c r="F30" s="2647">
        <v>0</v>
      </c>
      <c r="G30" s="2812">
        <v>85388.74</v>
      </c>
      <c r="H30" s="1656"/>
      <c r="I30" s="1821"/>
      <c r="J30" s="429">
        <f t="shared" si="1"/>
        <v>7719504.71</v>
      </c>
      <c r="K30" s="816" t="s">
        <v>2750</v>
      </c>
      <c r="L30" s="420">
        <v>11</v>
      </c>
    </row>
    <row r="31" spans="1:12">
      <c r="A31" s="415">
        <v>12</v>
      </c>
      <c r="B31" s="421" t="s">
        <v>4070</v>
      </c>
      <c r="C31" s="417"/>
      <c r="D31" s="426">
        <v>0</v>
      </c>
      <c r="E31" s="1819"/>
      <c r="F31" s="1827"/>
      <c r="G31" s="1820"/>
      <c r="H31" s="1821"/>
      <c r="I31" s="1821"/>
      <c r="J31" s="429">
        <f t="shared" si="1"/>
        <v>0</v>
      </c>
      <c r="K31" s="816" t="s">
        <v>4071</v>
      </c>
      <c r="L31" s="420">
        <v>12</v>
      </c>
    </row>
    <row r="32" spans="1:12">
      <c r="A32" s="415">
        <v>13</v>
      </c>
      <c r="B32" s="421" t="s">
        <v>4072</v>
      </c>
      <c r="C32" s="417"/>
      <c r="D32" s="426">
        <v>0</v>
      </c>
      <c r="E32" s="1819"/>
      <c r="F32" s="1827"/>
      <c r="G32" s="1820"/>
      <c r="H32" s="1821"/>
      <c r="I32" s="1821"/>
      <c r="J32" s="429">
        <f t="shared" si="1"/>
        <v>0</v>
      </c>
      <c r="K32" s="816" t="s">
        <v>4073</v>
      </c>
      <c r="L32" s="420">
        <v>13</v>
      </c>
    </row>
    <row r="33" spans="1:12">
      <c r="A33" s="415">
        <v>14</v>
      </c>
      <c r="B33" s="421" t="s">
        <v>4074</v>
      </c>
      <c r="C33" s="417"/>
      <c r="D33" s="426">
        <v>0</v>
      </c>
      <c r="E33" s="1819"/>
      <c r="F33" s="1827"/>
      <c r="G33" s="1820"/>
      <c r="H33" s="1821"/>
      <c r="I33" s="1821"/>
      <c r="J33" s="429">
        <f t="shared" si="1"/>
        <v>0</v>
      </c>
      <c r="K33" s="816" t="s">
        <v>4075</v>
      </c>
      <c r="L33" s="420">
        <v>14</v>
      </c>
    </row>
    <row r="34" spans="1:12">
      <c r="A34" s="415">
        <v>15</v>
      </c>
      <c r="B34" s="421" t="s">
        <v>4076</v>
      </c>
      <c r="C34" s="417"/>
      <c r="D34" s="432">
        <f t="shared" ref="D34:J34" si="2">SUM(D26:D33)</f>
        <v>7943487.0700000003</v>
      </c>
      <c r="E34" s="1825">
        <f t="shared" si="2"/>
        <v>297007.96000000002</v>
      </c>
      <c r="F34" s="1827"/>
      <c r="G34" s="1820">
        <f t="shared" si="2"/>
        <v>85388.74</v>
      </c>
      <c r="H34" s="1656">
        <f t="shared" si="2"/>
        <v>0</v>
      </c>
      <c r="I34" s="1656">
        <f t="shared" si="2"/>
        <v>0</v>
      </c>
      <c r="J34" s="426">
        <f t="shared" si="2"/>
        <v>8155106.29</v>
      </c>
      <c r="K34" s="110"/>
      <c r="L34" s="420">
        <v>15</v>
      </c>
    </row>
    <row r="35" spans="1:12" ht="15.75">
      <c r="A35" s="415">
        <v>16</v>
      </c>
      <c r="B35" s="416" t="s">
        <v>4077</v>
      </c>
      <c r="C35" s="417"/>
      <c r="D35" s="433" t="s">
        <v>4373</v>
      </c>
      <c r="E35" s="1819"/>
      <c r="F35" s="1827"/>
      <c r="G35" s="1826"/>
      <c r="H35" s="1827"/>
      <c r="I35" s="1827"/>
      <c r="J35" s="434" t="s">
        <v>4373</v>
      </c>
      <c r="K35" s="110"/>
      <c r="L35" s="420">
        <v>16</v>
      </c>
    </row>
    <row r="36" spans="1:12">
      <c r="A36" s="415">
        <v>17</v>
      </c>
      <c r="B36" s="421" t="s">
        <v>4004</v>
      </c>
      <c r="C36" s="417"/>
      <c r="D36" s="426">
        <v>162627.45000000001</v>
      </c>
      <c r="E36" s="1825"/>
      <c r="F36" s="1827"/>
      <c r="G36" s="2812"/>
      <c r="H36" s="1656"/>
      <c r="I36" s="1821"/>
      <c r="J36" s="429">
        <f t="shared" ref="J36:J44" si="3">D36+E36-G36+H36+I36</f>
        <v>162627.45000000001</v>
      </c>
      <c r="K36" s="816" t="s">
        <v>4005</v>
      </c>
      <c r="L36" s="420">
        <v>17</v>
      </c>
    </row>
    <row r="37" spans="1:12">
      <c r="A37" s="415">
        <v>18</v>
      </c>
      <c r="B37" s="421" t="s">
        <v>4006</v>
      </c>
      <c r="C37" s="417"/>
      <c r="D37" s="426">
        <v>3334638.99</v>
      </c>
      <c r="E37" s="1825">
        <v>146773.68</v>
      </c>
      <c r="F37" s="1827"/>
      <c r="G37" s="2812">
        <v>24519.83</v>
      </c>
      <c r="H37" s="1656"/>
      <c r="I37" s="1821"/>
      <c r="J37" s="429">
        <f t="shared" si="3"/>
        <v>3456892.8400000003</v>
      </c>
      <c r="K37" s="816" t="s">
        <v>4007</v>
      </c>
      <c r="L37" s="420">
        <v>18</v>
      </c>
    </row>
    <row r="38" spans="1:12">
      <c r="A38" s="415">
        <v>19</v>
      </c>
      <c r="B38" s="421" t="s">
        <v>912</v>
      </c>
      <c r="C38" s="417"/>
      <c r="D38" s="426">
        <v>0</v>
      </c>
      <c r="E38" s="1825"/>
      <c r="F38" s="1827"/>
      <c r="G38" s="2812"/>
      <c r="H38" s="1656"/>
      <c r="I38" s="1821"/>
      <c r="J38" s="429">
        <f t="shared" si="3"/>
        <v>0</v>
      </c>
      <c r="K38" s="816" t="s">
        <v>913</v>
      </c>
      <c r="L38" s="420">
        <v>19</v>
      </c>
    </row>
    <row r="39" spans="1:12">
      <c r="A39" s="415">
        <v>20</v>
      </c>
      <c r="B39" s="421" t="s">
        <v>914</v>
      </c>
      <c r="C39" s="417"/>
      <c r="D39" s="426">
        <v>832482.51</v>
      </c>
      <c r="E39" s="1825">
        <v>67567.69</v>
      </c>
      <c r="F39" s="1827"/>
      <c r="G39" s="2812"/>
      <c r="H39" s="1656"/>
      <c r="I39" s="1821"/>
      <c r="J39" s="429">
        <f t="shared" si="3"/>
        <v>900050.2</v>
      </c>
      <c r="K39" s="816" t="s">
        <v>915</v>
      </c>
      <c r="L39" s="420">
        <v>20</v>
      </c>
    </row>
    <row r="40" spans="1:12">
      <c r="A40" s="415">
        <v>21</v>
      </c>
      <c r="B40" s="421" t="s">
        <v>916</v>
      </c>
      <c r="C40" s="417"/>
      <c r="D40" s="426">
        <v>0</v>
      </c>
      <c r="E40" s="1825"/>
      <c r="F40" s="1827"/>
      <c r="G40" s="2812"/>
      <c r="H40" s="1656"/>
      <c r="I40" s="1821"/>
      <c r="J40" s="429">
        <f t="shared" si="3"/>
        <v>0</v>
      </c>
      <c r="K40" s="816" t="s">
        <v>917</v>
      </c>
      <c r="L40" s="420">
        <v>21</v>
      </c>
    </row>
    <row r="41" spans="1:12">
      <c r="A41" s="415">
        <v>22</v>
      </c>
      <c r="B41" s="421" t="s">
        <v>918</v>
      </c>
      <c r="C41" s="417"/>
      <c r="D41" s="426">
        <v>5283190.0200000005</v>
      </c>
      <c r="E41" s="1825">
        <v>196974.91</v>
      </c>
      <c r="F41" s="1827"/>
      <c r="G41" s="2812">
        <v>47362.27</v>
      </c>
      <c r="H41" s="1656"/>
      <c r="I41" s="1821"/>
      <c r="J41" s="429">
        <f t="shared" si="3"/>
        <v>5432802.6600000011</v>
      </c>
      <c r="K41" s="816" t="s">
        <v>919</v>
      </c>
      <c r="L41" s="420">
        <v>22</v>
      </c>
    </row>
    <row r="42" spans="1:12">
      <c r="A42" s="415">
        <v>23</v>
      </c>
      <c r="B42" s="421" t="s">
        <v>920</v>
      </c>
      <c r="C42" s="417"/>
      <c r="D42" s="426">
        <v>2107833.4900000002</v>
      </c>
      <c r="E42" s="1825">
        <v>56828</v>
      </c>
      <c r="F42" s="1827"/>
      <c r="G42" s="2812">
        <v>13959.25</v>
      </c>
      <c r="H42" s="1656"/>
      <c r="I42" s="1821"/>
      <c r="J42" s="429">
        <f t="shared" si="3"/>
        <v>2150702.2400000002</v>
      </c>
      <c r="K42" s="816" t="s">
        <v>921</v>
      </c>
      <c r="L42" s="420">
        <v>23</v>
      </c>
    </row>
    <row r="43" spans="1:12">
      <c r="A43" s="415">
        <v>24</v>
      </c>
      <c r="B43" s="421" t="s">
        <v>922</v>
      </c>
      <c r="C43" s="417"/>
      <c r="D43" s="426">
        <v>262497</v>
      </c>
      <c r="E43" s="1825">
        <v>35256.01</v>
      </c>
      <c r="F43" s="1827"/>
      <c r="G43" s="2812">
        <v>2314.1</v>
      </c>
      <c r="H43" s="1656"/>
      <c r="I43" s="1821"/>
      <c r="J43" s="429">
        <f t="shared" si="3"/>
        <v>295438.91000000003</v>
      </c>
      <c r="K43" s="816" t="s">
        <v>923</v>
      </c>
      <c r="L43" s="420">
        <v>24</v>
      </c>
    </row>
    <row r="44" spans="1:12">
      <c r="A44" s="415">
        <v>25</v>
      </c>
      <c r="B44" s="421" t="s">
        <v>924</v>
      </c>
      <c r="C44" s="417"/>
      <c r="D44" s="426">
        <v>0</v>
      </c>
      <c r="E44" s="1819"/>
      <c r="F44" s="1827"/>
      <c r="G44" s="1826"/>
      <c r="H44" s="1656"/>
      <c r="I44" s="1821"/>
      <c r="J44" s="429">
        <f t="shared" si="3"/>
        <v>0</v>
      </c>
      <c r="K44" s="816" t="s">
        <v>925</v>
      </c>
      <c r="L44" s="420">
        <v>25</v>
      </c>
    </row>
    <row r="45" spans="1:12">
      <c r="A45" s="415">
        <v>26</v>
      </c>
      <c r="B45" s="421" t="s">
        <v>155</v>
      </c>
      <c r="C45" s="417"/>
      <c r="D45" s="432">
        <f t="shared" ref="D45:J45" si="4">SUM(D36:D44)</f>
        <v>11983269.460000001</v>
      </c>
      <c r="E45" s="1825">
        <f t="shared" si="4"/>
        <v>503400.29000000004</v>
      </c>
      <c r="F45" s="1827"/>
      <c r="G45" s="1820">
        <f t="shared" si="4"/>
        <v>88155.450000000012</v>
      </c>
      <c r="H45" s="1656">
        <f t="shared" si="4"/>
        <v>0</v>
      </c>
      <c r="I45" s="1656">
        <f t="shared" si="4"/>
        <v>0</v>
      </c>
      <c r="J45" s="426">
        <f t="shared" si="4"/>
        <v>12398514.300000003</v>
      </c>
      <c r="K45" s="110"/>
      <c r="L45" s="420">
        <v>26</v>
      </c>
    </row>
    <row r="46" spans="1:12" ht="15.75">
      <c r="A46" s="415">
        <v>27</v>
      </c>
      <c r="B46" s="416" t="s">
        <v>156</v>
      </c>
      <c r="C46" s="417"/>
      <c r="D46" s="433" t="s">
        <v>4373</v>
      </c>
      <c r="E46" s="1819"/>
      <c r="F46" s="1827"/>
      <c r="G46" s="1826"/>
      <c r="H46" s="1827"/>
      <c r="I46" s="1827"/>
      <c r="J46" s="434" t="s">
        <v>4373</v>
      </c>
      <c r="K46" s="110"/>
      <c r="L46" s="420">
        <v>27</v>
      </c>
    </row>
    <row r="47" spans="1:12">
      <c r="A47" s="415">
        <v>28</v>
      </c>
      <c r="B47" s="421" t="s">
        <v>3884</v>
      </c>
      <c r="C47" s="417"/>
      <c r="D47" s="426">
        <v>0</v>
      </c>
      <c r="E47" s="1819"/>
      <c r="F47" s="1827"/>
      <c r="G47" s="1820"/>
      <c r="H47" s="1821"/>
      <c r="I47" s="1821"/>
      <c r="J47" s="429">
        <f>D47+E47-G47+H47+I47</f>
        <v>0</v>
      </c>
      <c r="K47" s="816" t="s">
        <v>3885</v>
      </c>
      <c r="L47" s="420">
        <v>28</v>
      </c>
    </row>
    <row r="48" spans="1:12">
      <c r="A48" s="415">
        <v>29</v>
      </c>
      <c r="B48" s="421" t="s">
        <v>3503</v>
      </c>
      <c r="C48" s="417"/>
      <c r="D48" s="426">
        <v>13624148.380000001</v>
      </c>
      <c r="E48" s="1825">
        <v>7879447.1600000001</v>
      </c>
      <c r="F48" s="1827"/>
      <c r="G48" s="2812">
        <v>12.34</v>
      </c>
      <c r="H48" s="1656"/>
      <c r="I48" s="1821"/>
      <c r="J48" s="429">
        <f>D48+E48-G48+H48+I48</f>
        <v>21503583.199999999</v>
      </c>
      <c r="K48" s="816" t="s">
        <v>3504</v>
      </c>
      <c r="L48" s="420">
        <v>29</v>
      </c>
    </row>
    <row r="49" spans="1:12">
      <c r="A49" s="415">
        <v>30</v>
      </c>
      <c r="B49" s="421" t="s">
        <v>3505</v>
      </c>
      <c r="C49" s="417"/>
      <c r="D49" s="426">
        <v>14873976.360000001</v>
      </c>
      <c r="E49" s="1825">
        <v>1303156.77</v>
      </c>
      <c r="F49" s="1827"/>
      <c r="G49" s="2812">
        <v>8431.51</v>
      </c>
      <c r="H49" s="1656"/>
      <c r="I49" s="1821"/>
      <c r="J49" s="429">
        <f>D49+E49-G49+H49+I49</f>
        <v>16168701.620000001</v>
      </c>
      <c r="K49" s="816" t="s">
        <v>3506</v>
      </c>
      <c r="L49" s="420">
        <v>30</v>
      </c>
    </row>
    <row r="50" spans="1:12">
      <c r="A50" s="415">
        <v>31</v>
      </c>
      <c r="B50" s="421" t="s">
        <v>3673</v>
      </c>
      <c r="C50" s="417"/>
      <c r="D50" s="427">
        <f t="shared" ref="D50:J50" si="5">SUM(D47:D49)</f>
        <v>28498124.740000002</v>
      </c>
      <c r="E50" s="1819">
        <f t="shared" si="5"/>
        <v>9182603.9299999997</v>
      </c>
      <c r="F50" s="1827"/>
      <c r="G50" s="1820">
        <f t="shared" si="5"/>
        <v>8443.85</v>
      </c>
      <c r="H50" s="1821">
        <f t="shared" si="5"/>
        <v>0</v>
      </c>
      <c r="I50" s="1821">
        <f t="shared" si="5"/>
        <v>0</v>
      </c>
      <c r="J50" s="429">
        <f t="shared" si="5"/>
        <v>37672284.82</v>
      </c>
      <c r="K50" s="110"/>
      <c r="L50" s="420">
        <v>31</v>
      </c>
    </row>
    <row r="51" spans="1:12" ht="15.75">
      <c r="A51" s="415">
        <v>32</v>
      </c>
      <c r="B51" s="416" t="s">
        <v>3674</v>
      </c>
      <c r="C51" s="417"/>
      <c r="D51" s="433" t="s">
        <v>4373</v>
      </c>
      <c r="E51" s="1819"/>
      <c r="F51" s="1827"/>
      <c r="G51" s="1826"/>
      <c r="H51" s="1827"/>
      <c r="I51" s="1827"/>
      <c r="J51" s="434" t="s">
        <v>4373</v>
      </c>
      <c r="K51" s="110"/>
      <c r="L51" s="420">
        <v>32</v>
      </c>
    </row>
    <row r="52" spans="1:12">
      <c r="A52" s="415">
        <v>33</v>
      </c>
      <c r="B52" s="421" t="s">
        <v>3675</v>
      </c>
      <c r="C52" s="417"/>
      <c r="D52" s="426">
        <v>29528.82</v>
      </c>
      <c r="E52" s="1825"/>
      <c r="F52" s="1827"/>
      <c r="G52" s="2812"/>
      <c r="H52" s="1656"/>
      <c r="I52" s="1821"/>
      <c r="J52" s="429">
        <f t="shared" ref="J52:J61" si="6">D52+E52-G52+H52+I52</f>
        <v>29528.82</v>
      </c>
      <c r="K52" s="816" t="s">
        <v>3676</v>
      </c>
      <c r="L52" s="420">
        <v>33</v>
      </c>
    </row>
    <row r="53" spans="1:12">
      <c r="A53" s="415">
        <v>34</v>
      </c>
      <c r="B53" s="421" t="s">
        <v>3677</v>
      </c>
      <c r="C53" s="417"/>
      <c r="D53" s="426">
        <v>0</v>
      </c>
      <c r="E53" s="1825"/>
      <c r="F53" s="1827"/>
      <c r="G53" s="2812"/>
      <c r="H53" s="1656"/>
      <c r="I53" s="1821"/>
      <c r="J53" s="429">
        <f t="shared" si="6"/>
        <v>0</v>
      </c>
      <c r="K53" s="816" t="s">
        <v>3678</v>
      </c>
      <c r="L53" s="420">
        <v>34</v>
      </c>
    </row>
    <row r="54" spans="1:12">
      <c r="A54" s="415">
        <v>35</v>
      </c>
      <c r="B54" s="421" t="s">
        <v>3679</v>
      </c>
      <c r="C54" s="417"/>
      <c r="D54" s="426">
        <v>4097689.98</v>
      </c>
      <c r="E54" s="1825"/>
      <c r="F54" s="1827"/>
      <c r="G54" s="2812">
        <v>476.92</v>
      </c>
      <c r="H54" s="1656"/>
      <c r="I54" s="1821"/>
      <c r="J54" s="429">
        <f t="shared" si="6"/>
        <v>4097213.06</v>
      </c>
      <c r="K54" s="816" t="s">
        <v>3680</v>
      </c>
      <c r="L54" s="420">
        <v>35</v>
      </c>
    </row>
    <row r="55" spans="1:12">
      <c r="A55" s="415">
        <v>36</v>
      </c>
      <c r="B55" s="421" t="s">
        <v>3681</v>
      </c>
      <c r="C55" s="417"/>
      <c r="D55" s="426">
        <v>66068127.649999999</v>
      </c>
      <c r="E55" s="1825">
        <v>5207893.2300000004</v>
      </c>
      <c r="F55" s="1827"/>
      <c r="G55" s="2812">
        <v>50039.98</v>
      </c>
      <c r="H55" s="1656"/>
      <c r="I55" s="1821"/>
      <c r="J55" s="429">
        <f t="shared" si="6"/>
        <v>71225980.899999991</v>
      </c>
      <c r="K55" s="816" t="s">
        <v>3682</v>
      </c>
      <c r="L55" s="420">
        <v>36</v>
      </c>
    </row>
    <row r="56" spans="1:12">
      <c r="A56" s="415">
        <v>37</v>
      </c>
      <c r="B56" s="421" t="s">
        <v>3683</v>
      </c>
      <c r="C56" s="417"/>
      <c r="D56" s="426">
        <v>2036652.6199999999</v>
      </c>
      <c r="E56" s="1825"/>
      <c r="F56" s="1827"/>
      <c r="G56" s="2812"/>
      <c r="H56" s="1656"/>
      <c r="I56" s="1821"/>
      <c r="J56" s="429">
        <f t="shared" si="6"/>
        <v>2036652.6199999999</v>
      </c>
      <c r="K56" s="816" t="s">
        <v>3684</v>
      </c>
      <c r="L56" s="420">
        <v>37</v>
      </c>
    </row>
    <row r="57" spans="1:12">
      <c r="A57" s="415">
        <v>39</v>
      </c>
      <c r="B57" s="421" t="s">
        <v>3685</v>
      </c>
      <c r="C57" s="417"/>
      <c r="D57" s="426">
        <v>36022091.170000002</v>
      </c>
      <c r="E57" s="1825">
        <v>2258268.33</v>
      </c>
      <c r="F57" s="1827"/>
      <c r="G57" s="2812">
        <v>14592.96</v>
      </c>
      <c r="H57" s="1656"/>
      <c r="I57" s="1821"/>
      <c r="J57" s="429">
        <f t="shared" si="6"/>
        <v>38265766.539999999</v>
      </c>
      <c r="K57" s="816" t="s">
        <v>3686</v>
      </c>
      <c r="L57" s="420">
        <v>39</v>
      </c>
    </row>
    <row r="58" spans="1:12">
      <c r="A58" s="415">
        <v>40</v>
      </c>
      <c r="B58" s="421" t="s">
        <v>3687</v>
      </c>
      <c r="C58" s="417"/>
      <c r="D58" s="426">
        <v>11854010.039999999</v>
      </c>
      <c r="E58" s="1825">
        <v>24768.43</v>
      </c>
      <c r="F58" s="1827"/>
      <c r="G58" s="2812"/>
      <c r="H58" s="1656"/>
      <c r="I58" s="1821"/>
      <c r="J58" s="429">
        <f t="shared" si="6"/>
        <v>11878778.469999999</v>
      </c>
      <c r="K58" s="816" t="s">
        <v>3688</v>
      </c>
      <c r="L58" s="420">
        <v>40</v>
      </c>
    </row>
    <row r="59" spans="1:12">
      <c r="A59" s="415"/>
      <c r="B59" s="421" t="s">
        <v>4290</v>
      </c>
      <c r="C59" s="417"/>
      <c r="D59" s="426">
        <v>5607317.54</v>
      </c>
      <c r="E59" s="1825">
        <v>130296.49</v>
      </c>
      <c r="F59" s="1827"/>
      <c r="G59" s="2812"/>
      <c r="H59" s="1656">
        <v>4658</v>
      </c>
      <c r="I59" s="1821"/>
      <c r="J59" s="429">
        <f t="shared" si="6"/>
        <v>5742272.0300000003</v>
      </c>
      <c r="K59" s="1941" t="s">
        <v>4291</v>
      </c>
      <c r="L59" s="420"/>
    </row>
    <row r="60" spans="1:12">
      <c r="A60" s="415">
        <v>41</v>
      </c>
      <c r="B60" s="421" t="s">
        <v>3689</v>
      </c>
      <c r="C60" s="417"/>
      <c r="D60" s="426">
        <v>7885380.4700000007</v>
      </c>
      <c r="E60" s="1825">
        <v>199247.7</v>
      </c>
      <c r="F60" s="1827"/>
      <c r="G60" s="2812">
        <v>6210.01</v>
      </c>
      <c r="H60" s="1656"/>
      <c r="I60" s="1821"/>
      <c r="J60" s="429">
        <f t="shared" si="6"/>
        <v>8078418.1600000011</v>
      </c>
      <c r="K60" s="816" t="s">
        <v>3690</v>
      </c>
      <c r="L60" s="420">
        <v>41</v>
      </c>
    </row>
    <row r="61" spans="1:12">
      <c r="A61" s="415">
        <v>42</v>
      </c>
      <c r="B61" s="421" t="s">
        <v>3691</v>
      </c>
      <c r="C61" s="417"/>
      <c r="D61" s="426">
        <v>0</v>
      </c>
      <c r="E61" s="1819"/>
      <c r="F61" s="1827"/>
      <c r="G61" s="1826"/>
      <c r="H61" s="1656"/>
      <c r="I61" s="1821"/>
      <c r="J61" s="429">
        <f t="shared" si="6"/>
        <v>0</v>
      </c>
      <c r="K61" s="816" t="s">
        <v>484</v>
      </c>
      <c r="L61" s="420">
        <v>42</v>
      </c>
    </row>
    <row r="62" spans="1:12" ht="15.75" thickBot="1">
      <c r="A62" s="435">
        <v>43</v>
      </c>
      <c r="B62" s="436" t="s">
        <v>631</v>
      </c>
      <c r="C62" s="437"/>
      <c r="D62" s="439">
        <f t="shared" ref="D62:J62" si="7">SUM(D52:D61)</f>
        <v>133600798.29000001</v>
      </c>
      <c r="E62" s="1828">
        <f t="shared" si="7"/>
        <v>7820474.1800000006</v>
      </c>
      <c r="F62" s="1964"/>
      <c r="G62" s="1829">
        <f t="shared" si="7"/>
        <v>71319.87</v>
      </c>
      <c r="H62" s="1830">
        <f t="shared" si="7"/>
        <v>4658</v>
      </c>
      <c r="I62" s="1830">
        <f t="shared" si="7"/>
        <v>0</v>
      </c>
      <c r="J62" s="438">
        <f t="shared" si="7"/>
        <v>141354610.59999999</v>
      </c>
      <c r="K62" s="125"/>
      <c r="L62" s="440">
        <v>43</v>
      </c>
    </row>
    <row r="63" spans="1:12">
      <c r="A63" s="119" t="s">
        <v>4066</v>
      </c>
      <c r="B63" s="97"/>
      <c r="C63" s="97"/>
      <c r="D63" s="441"/>
      <c r="E63" s="1716"/>
      <c r="F63" s="1716"/>
      <c r="G63" s="1716"/>
      <c r="H63" s="1716"/>
      <c r="I63" s="1716"/>
      <c r="J63" s="442"/>
      <c r="L63" s="442" t="s">
        <v>4066</v>
      </c>
    </row>
    <row r="64" spans="1:12">
      <c r="A64" s="128" t="s">
        <v>632</v>
      </c>
      <c r="B64" s="128"/>
      <c r="C64" s="128"/>
      <c r="D64" s="443"/>
      <c r="E64" s="1831"/>
      <c r="F64" s="1831"/>
      <c r="G64" s="1831" t="s">
        <v>169</v>
      </c>
      <c r="H64" s="1831"/>
      <c r="I64" s="1831"/>
      <c r="J64" s="443"/>
      <c r="K64" s="128"/>
      <c r="L64" s="128"/>
    </row>
    <row r="65" spans="1:14">
      <c r="A65" s="128"/>
      <c r="B65" s="128"/>
      <c r="C65" s="128"/>
      <c r="D65" s="443"/>
      <c r="E65" s="1831"/>
      <c r="F65" s="1831"/>
      <c r="G65" s="1831"/>
      <c r="H65" s="1831"/>
      <c r="I65" s="1831"/>
      <c r="J65" s="443"/>
      <c r="K65" s="128"/>
      <c r="L65" s="128"/>
    </row>
    <row r="66" spans="1:14" ht="15.75" thickBot="1">
      <c r="A66" s="2649" t="str">
        <f>+'Data sheet'!A53</f>
        <v>Annual Report of New York American Water Company, Inc. (f/k/a Long Island Water Corp)                                   Year Ended  December 31, 2013</v>
      </c>
      <c r="B66" s="853"/>
      <c r="C66" s="97"/>
      <c r="D66" s="97"/>
      <c r="E66" s="1653"/>
      <c r="F66" s="1653"/>
      <c r="G66" s="2649" t="str">
        <f>+A66</f>
        <v>Annual Report of New York American Water Company, Inc. (f/k/a Long Island Water Corp)                                   Year Ended  December 31, 2013</v>
      </c>
      <c r="H66" s="1653"/>
      <c r="I66" s="1653"/>
      <c r="J66" s="97"/>
      <c r="K66" s="97"/>
      <c r="L66" s="97"/>
    </row>
    <row r="67" spans="1:14">
      <c r="A67" s="142"/>
      <c r="B67" s="143"/>
      <c r="C67" s="143"/>
      <c r="D67" s="143"/>
      <c r="E67" s="1795"/>
      <c r="F67" s="1708"/>
      <c r="G67" s="1796"/>
      <c r="H67" s="1708"/>
      <c r="I67" s="1708"/>
      <c r="J67" s="143"/>
      <c r="K67" s="143"/>
      <c r="L67" s="144"/>
    </row>
    <row r="68" spans="1:14" ht="15.75">
      <c r="A68" s="3040" t="s">
        <v>170</v>
      </c>
      <c r="B68" s="3041"/>
      <c r="C68" s="3041"/>
      <c r="D68" s="3041"/>
      <c r="E68" s="3042"/>
      <c r="F68" s="2810"/>
      <c r="G68" s="1797" t="s">
        <v>170</v>
      </c>
      <c r="H68" s="1961"/>
      <c r="I68" s="1961"/>
      <c r="J68" s="1358"/>
      <c r="K68" s="1358"/>
      <c r="L68" s="145"/>
    </row>
    <row r="69" spans="1:14">
      <c r="A69" s="108"/>
      <c r="B69" s="109"/>
      <c r="C69" s="109"/>
      <c r="D69" s="141"/>
      <c r="E69" s="1798"/>
      <c r="F69" s="1696"/>
      <c r="G69" s="1799"/>
      <c r="H69" s="1703"/>
      <c r="I69" s="1800"/>
      <c r="J69" s="293"/>
      <c r="K69" s="109"/>
      <c r="L69" s="112"/>
    </row>
    <row r="70" spans="1:14">
      <c r="A70" s="444"/>
      <c r="B70" s="445"/>
      <c r="C70" s="102"/>
      <c r="D70" s="797" t="s">
        <v>1062</v>
      </c>
      <c r="E70" s="1832"/>
      <c r="F70" s="1116"/>
      <c r="G70" s="1802"/>
      <c r="H70" s="1625"/>
      <c r="I70" s="1625"/>
      <c r="J70" s="120" t="s">
        <v>1062</v>
      </c>
      <c r="K70" s="847"/>
      <c r="L70" s="410"/>
    </row>
    <row r="71" spans="1:14">
      <c r="A71" s="444"/>
      <c r="B71" s="192" t="s">
        <v>1139</v>
      </c>
      <c r="C71" s="129"/>
      <c r="D71" s="1852" t="s">
        <v>2314</v>
      </c>
      <c r="E71" s="1652" t="s">
        <v>171</v>
      </c>
      <c r="F71" s="1962"/>
      <c r="G71" s="1651" t="s">
        <v>2907</v>
      </c>
      <c r="H71" s="1622" t="s">
        <v>560</v>
      </c>
      <c r="I71" s="1622" t="s">
        <v>2908</v>
      </c>
      <c r="J71" s="120" t="s">
        <v>2423</v>
      </c>
      <c r="K71" s="847"/>
      <c r="L71" s="410" t="s">
        <v>1129</v>
      </c>
    </row>
    <row r="72" spans="1:14">
      <c r="A72" s="444"/>
      <c r="B72" s="297" t="s">
        <v>4032</v>
      </c>
      <c r="C72" s="413"/>
      <c r="D72" s="799" t="s">
        <v>4033</v>
      </c>
      <c r="E72" s="1833" t="s">
        <v>4034</v>
      </c>
      <c r="F72" s="1812"/>
      <c r="G72" s="1810" t="s">
        <v>4035</v>
      </c>
      <c r="H72" s="1712" t="s">
        <v>2277</v>
      </c>
      <c r="I72" s="1712" t="s">
        <v>2278</v>
      </c>
      <c r="J72" s="800" t="s">
        <v>2279</v>
      </c>
      <c r="K72" s="109"/>
      <c r="L72" s="414" t="s">
        <v>3324</v>
      </c>
    </row>
    <row r="73" spans="1:14" ht="15.75">
      <c r="A73" s="415">
        <v>44</v>
      </c>
      <c r="B73" s="416" t="s">
        <v>172</v>
      </c>
      <c r="C73" s="110"/>
      <c r="D73" s="433"/>
      <c r="E73" s="1819"/>
      <c r="F73" s="1827"/>
      <c r="G73" s="1826"/>
      <c r="H73" s="1827"/>
      <c r="I73" s="1827"/>
      <c r="J73" s="434"/>
      <c r="K73" s="446"/>
      <c r="L73" s="420">
        <v>44</v>
      </c>
    </row>
    <row r="74" spans="1:14">
      <c r="A74" s="415">
        <v>45</v>
      </c>
      <c r="B74" s="421" t="s">
        <v>3848</v>
      </c>
      <c r="C74" s="110"/>
      <c r="D74" s="426">
        <v>631.37</v>
      </c>
      <c r="E74" s="1825"/>
      <c r="F74" s="1827"/>
      <c r="G74" s="2812"/>
      <c r="H74" s="1656"/>
      <c r="I74" s="1713"/>
      <c r="J74" s="426">
        <f t="shared" ref="J74:J84" si="8">D74+E74-G74+H74+I74</f>
        <v>631.37</v>
      </c>
      <c r="K74" s="817" t="s">
        <v>3849</v>
      </c>
      <c r="L74" s="420">
        <v>45</v>
      </c>
    </row>
    <row r="75" spans="1:14">
      <c r="A75" s="415">
        <v>46</v>
      </c>
      <c r="B75" s="421" t="s">
        <v>3850</v>
      </c>
      <c r="C75" s="110"/>
      <c r="D75" s="426">
        <v>4976670.8099999996</v>
      </c>
      <c r="E75" s="1825">
        <v>369805.84</v>
      </c>
      <c r="F75" s="1827"/>
      <c r="G75" s="2812">
        <v>69819.05</v>
      </c>
      <c r="H75" s="1656"/>
      <c r="I75" s="1713"/>
      <c r="J75" s="426">
        <f>D75+E75-G75+H75+I75</f>
        <v>5276657.5999999996</v>
      </c>
      <c r="K75" s="817" t="s">
        <v>3851</v>
      </c>
      <c r="L75" s="420">
        <v>46</v>
      </c>
    </row>
    <row r="76" spans="1:14">
      <c r="A76" s="415">
        <v>47</v>
      </c>
      <c r="B76" s="449" t="s">
        <v>3353</v>
      </c>
      <c r="C76" s="110"/>
      <c r="D76" s="426">
        <v>5673894.2700000005</v>
      </c>
      <c r="E76" s="1825">
        <f>4632105.07+183096.91</f>
        <v>4815201.9800000004</v>
      </c>
      <c r="F76" s="1827"/>
      <c r="G76" s="2648">
        <v>1719253</v>
      </c>
      <c r="H76" s="1656"/>
      <c r="I76" s="1743"/>
      <c r="J76" s="426">
        <f>D76+E76-G76+H76+I76</f>
        <v>8769843.25</v>
      </c>
      <c r="K76" s="817" t="s">
        <v>3354</v>
      </c>
      <c r="L76" s="420">
        <v>47</v>
      </c>
      <c r="N76" s="1029"/>
    </row>
    <row r="77" spans="1:14">
      <c r="A77" s="415">
        <v>48</v>
      </c>
      <c r="B77" s="449" t="s">
        <v>3355</v>
      </c>
      <c r="C77" s="110"/>
      <c r="D77" s="426">
        <v>460830.77</v>
      </c>
      <c r="E77" s="1825">
        <v>514987.44</v>
      </c>
      <c r="F77" s="1827"/>
      <c r="G77" s="2812">
        <v>19581.009999999998</v>
      </c>
      <c r="H77" s="1656"/>
      <c r="I77" s="1713"/>
      <c r="J77" s="426">
        <f t="shared" si="8"/>
        <v>956237.2</v>
      </c>
      <c r="K77" s="817" t="s">
        <v>3356</v>
      </c>
      <c r="L77" s="420">
        <v>48</v>
      </c>
    </row>
    <row r="78" spans="1:14">
      <c r="A78" s="415">
        <v>49</v>
      </c>
      <c r="B78" s="449" t="s">
        <v>3357</v>
      </c>
      <c r="C78" s="110"/>
      <c r="D78" s="426">
        <v>24345.19</v>
      </c>
      <c r="E78" s="1825">
        <v>43833.27</v>
      </c>
      <c r="F78" s="1827"/>
      <c r="G78" s="2812"/>
      <c r="H78" s="1656"/>
      <c r="I78" s="1713"/>
      <c r="J78" s="426">
        <f t="shared" si="8"/>
        <v>68178.459999999992</v>
      </c>
      <c r="K78" s="817" t="s">
        <v>2492</v>
      </c>
      <c r="L78" s="420">
        <v>49</v>
      </c>
    </row>
    <row r="79" spans="1:14">
      <c r="A79" s="415">
        <v>50</v>
      </c>
      <c r="B79" s="449" t="s">
        <v>1619</v>
      </c>
      <c r="C79" s="110"/>
      <c r="D79" s="426">
        <v>642951.78</v>
      </c>
      <c r="E79" s="1825">
        <v>14988.97</v>
      </c>
      <c r="F79" s="1827"/>
      <c r="G79" s="2812">
        <v>106.51</v>
      </c>
      <c r="H79" s="1656"/>
      <c r="I79" s="1713"/>
      <c r="J79" s="426">
        <f t="shared" si="8"/>
        <v>657834.23999999999</v>
      </c>
      <c r="K79" s="817" t="s">
        <v>1620</v>
      </c>
      <c r="L79" s="420">
        <v>50</v>
      </c>
    </row>
    <row r="80" spans="1:14">
      <c r="A80" s="415">
        <v>51</v>
      </c>
      <c r="B80" s="449" t="s">
        <v>1621</v>
      </c>
      <c r="C80" s="110"/>
      <c r="D80" s="426">
        <v>174219.45</v>
      </c>
      <c r="E80" s="1825"/>
      <c r="F80" s="1827"/>
      <c r="G80" s="2812">
        <v>1580.6</v>
      </c>
      <c r="H80" s="1656"/>
      <c r="I80" s="1713"/>
      <c r="J80" s="426">
        <f t="shared" si="8"/>
        <v>172638.85</v>
      </c>
      <c r="K80" s="817" t="s">
        <v>1622</v>
      </c>
      <c r="L80" s="420">
        <v>51</v>
      </c>
    </row>
    <row r="81" spans="1:12">
      <c r="A81" s="415">
        <v>52</v>
      </c>
      <c r="B81" s="449" t="s">
        <v>1623</v>
      </c>
      <c r="C81" s="110"/>
      <c r="D81" s="426">
        <v>67848.849999999991</v>
      </c>
      <c r="E81" s="1825">
        <v>9006.27</v>
      </c>
      <c r="F81" s="1827"/>
      <c r="G81" s="2812">
        <v>35.71</v>
      </c>
      <c r="H81" s="1656"/>
      <c r="I81" s="1713"/>
      <c r="J81" s="426">
        <f t="shared" si="8"/>
        <v>76819.409999999989</v>
      </c>
      <c r="K81" s="817" t="s">
        <v>1624</v>
      </c>
      <c r="L81" s="420">
        <v>52</v>
      </c>
    </row>
    <row r="82" spans="1:12">
      <c r="A82" s="415">
        <v>53</v>
      </c>
      <c r="B82" s="449" t="s">
        <v>1625</v>
      </c>
      <c r="C82" s="110"/>
      <c r="D82" s="426">
        <v>335524.96000000002</v>
      </c>
      <c r="E82" s="1825">
        <v>27722.06</v>
      </c>
      <c r="F82" s="1827"/>
      <c r="G82" s="2812"/>
      <c r="H82" s="1656"/>
      <c r="I82" s="1713"/>
      <c r="J82" s="426">
        <f t="shared" si="8"/>
        <v>363247.02</v>
      </c>
      <c r="K82" s="817" t="s">
        <v>1626</v>
      </c>
      <c r="L82" s="420">
        <v>53</v>
      </c>
    </row>
    <row r="83" spans="1:12">
      <c r="A83" s="415">
        <v>54</v>
      </c>
      <c r="B83" s="449" t="s">
        <v>1627</v>
      </c>
      <c r="C83" s="110"/>
      <c r="D83" s="426">
        <v>297972.21999999997</v>
      </c>
      <c r="E83" s="1825">
        <v>65491.99</v>
      </c>
      <c r="F83" s="1827"/>
      <c r="G83" s="2812"/>
      <c r="H83" s="1656"/>
      <c r="I83" s="1713"/>
      <c r="J83" s="426">
        <f t="shared" si="8"/>
        <v>363464.20999999996</v>
      </c>
      <c r="K83" s="817" t="s">
        <v>1628</v>
      </c>
      <c r="L83" s="420">
        <v>54</v>
      </c>
    </row>
    <row r="84" spans="1:12">
      <c r="A84" s="415">
        <v>55</v>
      </c>
      <c r="B84" s="1085" t="s">
        <v>3196</v>
      </c>
      <c r="C84" s="110"/>
      <c r="D84" s="426">
        <v>0</v>
      </c>
      <c r="E84" s="1825"/>
      <c r="F84" s="1827"/>
      <c r="G84" s="1826"/>
      <c r="H84" s="1656"/>
      <c r="I84" s="1713"/>
      <c r="J84" s="426">
        <f t="shared" si="8"/>
        <v>0</v>
      </c>
      <c r="K84" s="817" t="s">
        <v>3197</v>
      </c>
      <c r="L84" s="420">
        <v>55</v>
      </c>
    </row>
    <row r="85" spans="1:12">
      <c r="A85" s="415">
        <v>56</v>
      </c>
      <c r="B85" s="421" t="s">
        <v>3198</v>
      </c>
      <c r="C85" s="110"/>
      <c r="D85" s="426">
        <f t="shared" ref="D85:I85" si="9">SUM(D74:D84)</f>
        <v>12654889.669999998</v>
      </c>
      <c r="E85" s="1825">
        <f t="shared" si="9"/>
        <v>5861037.8199999994</v>
      </c>
      <c r="F85" s="1827"/>
      <c r="G85" s="1820">
        <f t="shared" si="9"/>
        <v>1810375.8800000001</v>
      </c>
      <c r="H85" s="1656">
        <f t="shared" si="9"/>
        <v>0</v>
      </c>
      <c r="I85" s="1656">
        <f t="shared" si="9"/>
        <v>0</v>
      </c>
      <c r="J85" s="426">
        <f>SUM(J74:J84)</f>
        <v>16705551.609999999</v>
      </c>
      <c r="K85" s="446"/>
      <c r="L85" s="420">
        <v>56</v>
      </c>
    </row>
    <row r="86" spans="1:12">
      <c r="A86" s="415">
        <v>57</v>
      </c>
      <c r="B86" s="421" t="s">
        <v>2165</v>
      </c>
      <c r="C86" s="110"/>
      <c r="D86" s="426">
        <f>D24+D34+D45+D50+D62+D85</f>
        <v>194829149.31999999</v>
      </c>
      <c r="E86" s="1825">
        <f>E24+E34+E45+E50+E62+E85</f>
        <v>23664524.18</v>
      </c>
      <c r="F86" s="1827"/>
      <c r="G86" s="1820">
        <f>G24+G34+G45+G50+G62+G85</f>
        <v>2063683.79</v>
      </c>
      <c r="H86" s="1656">
        <f>H24+H34+H45+H50+H62+H85</f>
        <v>4657.8900000000003</v>
      </c>
      <c r="I86" s="1656">
        <f>I24+I34+I45+I50+I62+I85</f>
        <v>0</v>
      </c>
      <c r="J86" s="426">
        <f>J24+J34+J45+J50+J62+J85</f>
        <v>216434647.60000002</v>
      </c>
      <c r="K86" s="817" t="s">
        <v>2166</v>
      </c>
      <c r="L86" s="420">
        <v>57</v>
      </c>
    </row>
    <row r="87" spans="1:12">
      <c r="A87" s="415">
        <v>58</v>
      </c>
      <c r="B87" s="421" t="s">
        <v>2167</v>
      </c>
      <c r="C87" s="110"/>
      <c r="D87" s="426"/>
      <c r="E87" s="1825"/>
      <c r="F87" s="1827"/>
      <c r="G87" s="1820"/>
      <c r="H87" s="1656"/>
      <c r="I87" s="1656"/>
      <c r="J87" s="426"/>
      <c r="K87" s="817" t="s">
        <v>2168</v>
      </c>
      <c r="L87" s="420">
        <v>58</v>
      </c>
    </row>
    <row r="88" spans="1:12" ht="15.75" thickBot="1">
      <c r="A88" s="415">
        <v>59</v>
      </c>
      <c r="B88" s="421" t="s">
        <v>4209</v>
      </c>
      <c r="C88" s="110"/>
      <c r="D88" s="426">
        <f t="shared" ref="D88:J88" si="10">D86+D87</f>
        <v>194829149.31999999</v>
      </c>
      <c r="E88" s="1825">
        <f t="shared" si="10"/>
        <v>23664524.18</v>
      </c>
      <c r="F88" s="1827"/>
      <c r="G88" s="1820">
        <f t="shared" si="10"/>
        <v>2063683.79</v>
      </c>
      <c r="H88" s="1656">
        <f t="shared" si="10"/>
        <v>4657.8900000000003</v>
      </c>
      <c r="I88" s="1656">
        <f t="shared" si="10"/>
        <v>0</v>
      </c>
      <c r="J88" s="426">
        <f t="shared" si="10"/>
        <v>216434647.60000002</v>
      </c>
      <c r="K88" s="446"/>
      <c r="L88" s="420">
        <v>59</v>
      </c>
    </row>
    <row r="89" spans="1:12">
      <c r="A89" s="451"/>
      <c r="B89" s="174"/>
      <c r="C89" s="143"/>
      <c r="D89" s="452"/>
      <c r="E89" s="1834"/>
      <c r="F89" s="1836"/>
      <c r="G89" s="1835"/>
      <c r="H89" s="1836"/>
      <c r="I89" s="1836"/>
      <c r="J89" s="452"/>
      <c r="K89" s="143"/>
      <c r="L89" s="453"/>
    </row>
    <row r="90" spans="1:12" ht="15.75">
      <c r="A90" s="3043" t="s">
        <v>4210</v>
      </c>
      <c r="B90" s="3044"/>
      <c r="C90" s="3044"/>
      <c r="D90" s="3044"/>
      <c r="E90" s="3045"/>
      <c r="F90" s="2813"/>
      <c r="G90" s="1837" t="s">
        <v>4211</v>
      </c>
      <c r="H90" s="1965"/>
      <c r="I90" s="1965"/>
      <c r="J90" s="2815"/>
      <c r="K90" s="1358"/>
      <c r="L90" s="145"/>
    </row>
    <row r="91" spans="1:12">
      <c r="A91" s="455"/>
      <c r="B91" s="109"/>
      <c r="C91" s="109"/>
      <c r="D91" s="456"/>
      <c r="E91" s="1838"/>
      <c r="F91" s="1840"/>
      <c r="G91" s="1839"/>
      <c r="H91" s="1840"/>
      <c r="I91" s="1840"/>
      <c r="J91" s="456"/>
      <c r="K91" s="109"/>
      <c r="L91" s="458"/>
    </row>
    <row r="92" spans="1:12">
      <c r="A92" s="459"/>
      <c r="B92" s="847"/>
      <c r="C92" s="847"/>
      <c r="D92" s="1898"/>
      <c r="E92" s="1624"/>
      <c r="F92" s="1854"/>
      <c r="G92" s="1744"/>
      <c r="H92" s="1854"/>
      <c r="I92" s="1854"/>
      <c r="J92" s="1898"/>
      <c r="K92" s="847"/>
      <c r="L92" s="462"/>
    </row>
    <row r="93" spans="1:12">
      <c r="A93" s="463"/>
      <c r="B93" s="2044" t="s">
        <v>310</v>
      </c>
      <c r="C93" s="847"/>
      <c r="D93" s="1898"/>
      <c r="E93" s="1624"/>
      <c r="F93" s="1854"/>
      <c r="G93" s="1744"/>
      <c r="H93" s="1854"/>
      <c r="I93" s="1854"/>
      <c r="J93" s="1898"/>
      <c r="K93" s="847"/>
      <c r="L93" s="462"/>
    </row>
    <row r="94" spans="1:12">
      <c r="A94" s="463"/>
      <c r="B94" s="2044" t="s">
        <v>3176</v>
      </c>
      <c r="C94" s="847"/>
      <c r="D94" s="1898"/>
      <c r="E94" s="1624"/>
      <c r="F94" s="1854"/>
      <c r="G94" s="1744">
        <v>105</v>
      </c>
      <c r="H94" s="1854" t="s">
        <v>1445</v>
      </c>
      <c r="I94" s="1854"/>
      <c r="J94" s="1898"/>
      <c r="K94" s="847"/>
      <c r="L94" s="462"/>
    </row>
    <row r="95" spans="1:12">
      <c r="A95" s="463"/>
      <c r="B95" s="2044" t="s">
        <v>1552</v>
      </c>
      <c r="C95" s="847"/>
      <c r="D95" s="1898"/>
      <c r="E95" s="1624"/>
      <c r="F95" s="1854"/>
      <c r="G95" s="1744"/>
      <c r="H95" s="1854" t="s">
        <v>1446</v>
      </c>
      <c r="I95" s="1854"/>
      <c r="J95" s="1898"/>
      <c r="K95" s="847"/>
      <c r="L95" s="462"/>
    </row>
    <row r="96" spans="1:12">
      <c r="A96" s="463"/>
      <c r="B96" s="2044" t="s">
        <v>3161</v>
      </c>
      <c r="C96" s="847"/>
      <c r="D96" s="1898"/>
      <c r="E96" s="1624"/>
      <c r="F96" s="1854"/>
      <c r="G96" s="1744"/>
      <c r="H96" s="1854"/>
      <c r="I96" s="1854"/>
      <c r="J96" s="1898"/>
      <c r="K96" s="847"/>
      <c r="L96" s="462"/>
    </row>
    <row r="97" spans="1:12">
      <c r="A97" s="463"/>
      <c r="B97" s="2044" t="s">
        <v>2020</v>
      </c>
      <c r="C97" s="847"/>
      <c r="D97" s="1898"/>
      <c r="E97" s="1624"/>
      <c r="F97" s="1854"/>
      <c r="G97" s="1744">
        <v>114</v>
      </c>
      <c r="H97" s="1854" t="s">
        <v>1642</v>
      </c>
      <c r="I97" s="1854"/>
      <c r="J97" s="1898"/>
      <c r="K97" s="847"/>
      <c r="L97" s="462"/>
    </row>
    <row r="98" spans="1:12">
      <c r="A98" s="464"/>
      <c r="B98" s="2044"/>
      <c r="C98" s="847"/>
      <c r="D98" s="1898"/>
      <c r="E98" s="1624"/>
      <c r="F98" s="1854"/>
      <c r="G98" s="1744"/>
      <c r="H98" s="1854" t="s">
        <v>1643</v>
      </c>
      <c r="I98" s="1854"/>
      <c r="J98" s="1898"/>
      <c r="K98" s="847"/>
      <c r="L98" s="462"/>
    </row>
    <row r="99" spans="1:12">
      <c r="A99" s="465"/>
      <c r="B99" s="1084" t="s">
        <v>2021</v>
      </c>
      <c r="C99" s="2814" t="s">
        <v>2022</v>
      </c>
      <c r="D99" s="1898"/>
      <c r="E99" s="1624"/>
      <c r="F99" s="1854"/>
      <c r="G99" s="1744"/>
      <c r="H99" s="1854"/>
      <c r="I99" s="1854"/>
      <c r="J99" s="1898"/>
      <c r="K99" s="847"/>
      <c r="L99" s="462"/>
    </row>
    <row r="100" spans="1:12">
      <c r="A100" s="465"/>
      <c r="B100" s="1085"/>
      <c r="C100" s="2814" t="s">
        <v>2023</v>
      </c>
      <c r="D100" s="1898"/>
      <c r="E100" s="1624"/>
      <c r="F100" s="1854"/>
      <c r="G100" s="1744"/>
      <c r="H100" s="1854"/>
      <c r="I100" s="1854"/>
      <c r="J100" s="1898"/>
      <c r="K100" s="847"/>
      <c r="L100" s="462"/>
    </row>
    <row r="101" spans="1:12">
      <c r="A101" s="465"/>
      <c r="B101" s="1085" t="s">
        <v>2108</v>
      </c>
      <c r="C101" s="2814"/>
      <c r="D101" s="1898"/>
      <c r="E101" s="1624"/>
      <c r="F101" s="1854"/>
      <c r="G101" s="1744"/>
      <c r="H101" s="1854"/>
      <c r="I101" s="1854"/>
      <c r="J101" s="1898"/>
      <c r="K101" s="847"/>
      <c r="L101" s="462"/>
    </row>
    <row r="102" spans="1:12">
      <c r="A102" s="465"/>
      <c r="B102" s="1085"/>
      <c r="C102" s="2814" t="s">
        <v>1064</v>
      </c>
      <c r="D102" s="1898"/>
      <c r="E102" s="1624"/>
      <c r="F102" s="1854"/>
      <c r="G102" s="1744"/>
      <c r="H102" s="1854"/>
      <c r="I102" s="1854"/>
      <c r="J102" s="1898"/>
      <c r="K102" s="847"/>
      <c r="L102" s="462"/>
    </row>
    <row r="103" spans="1:12">
      <c r="A103" s="465"/>
      <c r="B103" s="1085" t="s">
        <v>1065</v>
      </c>
      <c r="C103" s="2814" t="s">
        <v>1066</v>
      </c>
      <c r="D103" s="1898"/>
      <c r="E103" s="1624"/>
      <c r="F103" s="1854"/>
      <c r="G103" s="1744"/>
      <c r="H103" s="1854"/>
      <c r="I103" s="1854"/>
      <c r="J103" s="1898"/>
      <c r="K103" s="847"/>
      <c r="L103" s="462"/>
    </row>
    <row r="104" spans="1:12">
      <c r="A104" s="465"/>
      <c r="B104" s="1085"/>
      <c r="C104" s="2814"/>
      <c r="D104" s="1898"/>
      <c r="E104" s="1624"/>
      <c r="F104" s="1854"/>
      <c r="G104" s="1744"/>
      <c r="H104" s="1854"/>
      <c r="I104" s="1854"/>
      <c r="J104" s="1898"/>
      <c r="K104" s="847"/>
      <c r="L104" s="462"/>
    </row>
    <row r="105" spans="1:12">
      <c r="A105" s="465"/>
      <c r="B105" s="1085" t="s">
        <v>1067</v>
      </c>
      <c r="C105" s="2814" t="s">
        <v>884</v>
      </c>
      <c r="D105" s="1898"/>
      <c r="E105" s="1624"/>
      <c r="F105" s="1854"/>
      <c r="G105" s="1744"/>
      <c r="H105" s="1854"/>
      <c r="I105" s="1854"/>
      <c r="J105" s="1898"/>
      <c r="K105" s="847"/>
      <c r="L105" s="462"/>
    </row>
    <row r="106" spans="1:12">
      <c r="A106" s="465"/>
      <c r="B106" s="1085"/>
      <c r="C106" s="2814" t="s">
        <v>2023</v>
      </c>
      <c r="D106" s="1898"/>
      <c r="E106" s="1624"/>
      <c r="F106" s="1854"/>
      <c r="G106" s="1744"/>
      <c r="H106" s="1854"/>
      <c r="I106" s="1854"/>
      <c r="J106" s="1898"/>
      <c r="K106" s="847"/>
      <c r="L106" s="462"/>
    </row>
    <row r="107" spans="1:12">
      <c r="A107" s="465"/>
      <c r="B107" s="1085" t="s">
        <v>885</v>
      </c>
      <c r="C107" s="2814"/>
      <c r="D107" s="1898"/>
      <c r="E107" s="1624"/>
      <c r="F107" s="1854"/>
      <c r="G107" s="1744"/>
      <c r="H107" s="1854"/>
      <c r="I107" s="1854"/>
      <c r="J107" s="1898"/>
      <c r="K107" s="847"/>
      <c r="L107" s="462"/>
    </row>
    <row r="108" spans="1:12">
      <c r="A108" s="465"/>
      <c r="B108" s="1085"/>
      <c r="C108" s="2814" t="s">
        <v>886</v>
      </c>
      <c r="D108" s="1898"/>
      <c r="E108" s="1624"/>
      <c r="F108" s="1854"/>
      <c r="G108" s="1744"/>
      <c r="H108" s="1854"/>
      <c r="I108" s="1854"/>
      <c r="J108" s="1898"/>
      <c r="K108" s="847"/>
      <c r="L108" s="462"/>
    </row>
    <row r="109" spans="1:12">
      <c r="A109" s="465"/>
      <c r="B109" s="1085" t="s">
        <v>887</v>
      </c>
      <c r="C109" s="2814" t="s">
        <v>1066</v>
      </c>
      <c r="D109" s="1898"/>
      <c r="E109" s="1624"/>
      <c r="F109" s="1854"/>
      <c r="G109" s="1744"/>
      <c r="H109" s="1854"/>
      <c r="I109" s="1854"/>
      <c r="J109" s="1898"/>
      <c r="K109" s="847"/>
      <c r="L109" s="462"/>
    </row>
    <row r="110" spans="1:12">
      <c r="A110" s="465"/>
      <c r="B110" s="1085" t="s">
        <v>888</v>
      </c>
      <c r="C110" s="2814"/>
      <c r="D110" s="1898"/>
      <c r="E110" s="1624"/>
      <c r="F110" s="1854"/>
      <c r="G110" s="1744"/>
      <c r="H110" s="1854"/>
      <c r="I110" s="1854"/>
      <c r="J110" s="1898"/>
      <c r="K110" s="847"/>
      <c r="L110" s="462"/>
    </row>
    <row r="111" spans="1:12">
      <c r="A111" s="465"/>
      <c r="B111" s="1085" t="s">
        <v>889</v>
      </c>
      <c r="C111" s="2814" t="s">
        <v>890</v>
      </c>
      <c r="D111" s="1898"/>
      <c r="E111" s="1624"/>
      <c r="F111" s="1854"/>
      <c r="G111" s="1744"/>
      <c r="H111" s="1854"/>
      <c r="I111" s="1854"/>
      <c r="J111" s="1898"/>
      <c r="K111" s="847"/>
      <c r="L111" s="462"/>
    </row>
    <row r="112" spans="1:12">
      <c r="A112" s="465"/>
      <c r="B112" s="1085"/>
      <c r="C112" s="2814" t="s">
        <v>891</v>
      </c>
      <c r="D112" s="1898"/>
      <c r="E112" s="1624"/>
      <c r="F112" s="1854"/>
      <c r="G112" s="1744"/>
      <c r="H112" s="1854"/>
      <c r="I112" s="1854"/>
      <c r="J112" s="1898"/>
      <c r="K112" s="847"/>
      <c r="L112" s="462"/>
    </row>
    <row r="113" spans="1:12">
      <c r="A113" s="465"/>
      <c r="B113" s="1085"/>
      <c r="C113" s="2814"/>
      <c r="D113" s="1898"/>
      <c r="E113" s="1624"/>
      <c r="F113" s="1854"/>
      <c r="G113" s="1744"/>
      <c r="H113" s="1854"/>
      <c r="I113" s="1854"/>
      <c r="J113" s="1898"/>
      <c r="K113" s="847"/>
      <c r="L113" s="462"/>
    </row>
    <row r="114" spans="1:12">
      <c r="A114" s="465"/>
      <c r="B114" s="1085" t="s">
        <v>892</v>
      </c>
      <c r="C114" s="2814" t="s">
        <v>893</v>
      </c>
      <c r="D114" s="1898"/>
      <c r="E114" s="1624"/>
      <c r="F114" s="1854"/>
      <c r="G114" s="1744"/>
      <c r="H114" s="1854"/>
      <c r="I114" s="1854"/>
      <c r="J114" s="1898"/>
      <c r="K114" s="847"/>
      <c r="L114" s="462"/>
    </row>
    <row r="115" spans="1:12">
      <c r="A115" s="467"/>
      <c r="B115" s="193"/>
      <c r="C115" s="468" t="s">
        <v>894</v>
      </c>
      <c r="D115" s="456"/>
      <c r="E115" s="1838"/>
      <c r="F115" s="1854"/>
      <c r="G115" s="1744"/>
      <c r="H115" s="1854"/>
      <c r="I115" s="1854"/>
      <c r="J115" s="1898"/>
      <c r="K115" s="847"/>
      <c r="L115" s="462"/>
    </row>
    <row r="116" spans="1:12">
      <c r="A116" s="465"/>
      <c r="B116" s="1085"/>
      <c r="C116" s="2814"/>
      <c r="D116" s="1898"/>
      <c r="E116" s="1624"/>
      <c r="F116" s="1854"/>
      <c r="G116" s="1744"/>
      <c r="H116" s="1854"/>
      <c r="I116" s="1854"/>
      <c r="J116" s="1898"/>
      <c r="K116" s="847"/>
      <c r="L116" s="462"/>
    </row>
    <row r="117" spans="1:12">
      <c r="A117" s="465"/>
      <c r="B117" s="1085"/>
      <c r="C117" s="2814"/>
      <c r="D117" s="1898"/>
      <c r="E117" s="1624"/>
      <c r="F117" s="1854"/>
      <c r="G117" s="1744"/>
      <c r="H117" s="1854"/>
      <c r="I117" s="1854"/>
      <c r="J117" s="1898"/>
      <c r="K117" s="847"/>
      <c r="L117" s="462"/>
    </row>
    <row r="118" spans="1:12">
      <c r="A118" s="465"/>
      <c r="B118" s="1085"/>
      <c r="C118" s="2814"/>
      <c r="D118" s="1898"/>
      <c r="E118" s="1624"/>
      <c r="F118" s="1854"/>
      <c r="G118" s="1744"/>
      <c r="H118" s="1854"/>
      <c r="I118" s="1854"/>
      <c r="J118" s="1898"/>
      <c r="K118" s="847"/>
      <c r="L118" s="462"/>
    </row>
    <row r="119" spans="1:12">
      <c r="A119" s="465"/>
      <c r="B119" s="1085"/>
      <c r="C119" s="2814"/>
      <c r="D119" s="1898"/>
      <c r="E119" s="1624"/>
      <c r="F119" s="1854"/>
      <c r="G119" s="1744"/>
      <c r="H119" s="1854"/>
      <c r="I119" s="1854"/>
      <c r="J119" s="1898"/>
      <c r="K119" s="847"/>
      <c r="L119" s="462"/>
    </row>
    <row r="120" spans="1:12">
      <c r="A120" s="465"/>
      <c r="B120" s="1085"/>
      <c r="C120" s="2814"/>
      <c r="D120" s="1898"/>
      <c r="E120" s="1624"/>
      <c r="F120" s="1854"/>
      <c r="G120" s="1744"/>
      <c r="H120" s="1854"/>
      <c r="I120" s="1854"/>
      <c r="J120" s="1898"/>
      <c r="K120" s="847"/>
      <c r="L120" s="462"/>
    </row>
    <row r="121" spans="1:12">
      <c r="A121" s="465"/>
      <c r="B121" s="1085"/>
      <c r="C121" s="2814"/>
      <c r="D121" s="1898"/>
      <c r="E121" s="1644"/>
      <c r="F121" s="1851"/>
      <c r="G121" s="1841"/>
      <c r="H121" s="1851"/>
      <c r="I121" s="1851"/>
      <c r="J121" s="1968"/>
      <c r="K121" s="847"/>
      <c r="L121" s="462"/>
    </row>
    <row r="122" spans="1:12">
      <c r="A122" s="465"/>
      <c r="B122" s="1085"/>
      <c r="C122" s="2814"/>
      <c r="D122" s="1898"/>
      <c r="E122" s="1624"/>
      <c r="F122" s="1854"/>
      <c r="G122" s="1744"/>
      <c r="H122" s="1854"/>
      <c r="I122" s="1854"/>
      <c r="J122" s="1898"/>
      <c r="K122" s="847"/>
      <c r="L122" s="462"/>
    </row>
    <row r="123" spans="1:12">
      <c r="A123" s="465"/>
      <c r="B123" s="1085"/>
      <c r="C123" s="2814"/>
      <c r="D123" s="1898"/>
      <c r="E123" s="1624"/>
      <c r="F123" s="1854"/>
      <c r="G123" s="1744"/>
      <c r="H123" s="1854"/>
      <c r="I123" s="1854"/>
      <c r="J123" s="1898"/>
      <c r="K123" s="847"/>
      <c r="L123" s="462"/>
    </row>
    <row r="124" spans="1:12">
      <c r="A124" s="465"/>
      <c r="B124" s="1085"/>
      <c r="C124" s="2814"/>
      <c r="D124" s="1898"/>
      <c r="E124" s="1624"/>
      <c r="F124" s="1854"/>
      <c r="G124" s="1744"/>
      <c r="H124" s="1854"/>
      <c r="I124" s="1854"/>
      <c r="J124" s="1898"/>
      <c r="K124" s="847"/>
      <c r="L124" s="462"/>
    </row>
    <row r="125" spans="1:12">
      <c r="A125" s="121"/>
      <c r="B125" s="847"/>
      <c r="C125" s="847"/>
      <c r="D125" s="1898"/>
      <c r="E125" s="1624"/>
      <c r="F125" s="1854"/>
      <c r="G125" s="1744"/>
      <c r="H125" s="1854"/>
      <c r="I125" s="1854"/>
      <c r="J125" s="1898"/>
      <c r="K125" s="847"/>
      <c r="L125" s="462"/>
    </row>
    <row r="126" spans="1:12">
      <c r="A126" s="121"/>
      <c r="B126" s="847"/>
      <c r="C126" s="847"/>
      <c r="D126" s="1898"/>
      <c r="E126" s="1624"/>
      <c r="F126" s="1854"/>
      <c r="G126" s="1744"/>
      <c r="H126" s="1854"/>
      <c r="I126" s="1854"/>
      <c r="J126" s="1898"/>
      <c r="K126" s="847"/>
      <c r="L126" s="462"/>
    </row>
    <row r="127" spans="1:12" ht="15.75" thickBot="1">
      <c r="A127" s="471"/>
      <c r="B127" s="124"/>
      <c r="C127" s="124"/>
      <c r="D127" s="472"/>
      <c r="E127" s="1842"/>
      <c r="F127" s="1844"/>
      <c r="G127" s="1843"/>
      <c r="H127" s="1844"/>
      <c r="I127" s="1844"/>
      <c r="J127" s="472"/>
      <c r="K127" s="124"/>
      <c r="L127" s="474"/>
    </row>
    <row r="128" spans="1:12">
      <c r="A128" s="119" t="s">
        <v>4066</v>
      </c>
      <c r="B128" s="97"/>
      <c r="C128" s="97"/>
      <c r="D128" s="441"/>
      <c r="E128" s="1716"/>
      <c r="F128" s="1716"/>
      <c r="G128" s="1716"/>
      <c r="H128" s="1716"/>
      <c r="I128" s="1716"/>
      <c r="J128" s="442"/>
      <c r="L128" s="442" t="s">
        <v>4066</v>
      </c>
    </row>
    <row r="129" spans="1:12">
      <c r="A129" s="128" t="s">
        <v>895</v>
      </c>
      <c r="B129" s="128"/>
      <c r="C129" s="128"/>
      <c r="D129" s="443"/>
      <c r="E129" s="1831"/>
      <c r="F129" s="1831"/>
      <c r="G129" s="1831" t="s">
        <v>1462</v>
      </c>
      <c r="H129" s="1831"/>
      <c r="I129" s="1831"/>
      <c r="J129" s="443"/>
      <c r="K129" s="128"/>
      <c r="L129" s="128"/>
    </row>
    <row r="130" spans="1:12">
      <c r="A130" s="128"/>
      <c r="B130" s="128"/>
      <c r="C130" s="128"/>
      <c r="D130" s="128"/>
      <c r="E130" s="1709"/>
      <c r="F130" s="1709"/>
      <c r="G130" s="1709"/>
      <c r="H130" s="1709"/>
      <c r="I130" s="1709"/>
      <c r="J130" s="128"/>
      <c r="K130" s="128"/>
      <c r="L130" s="128"/>
    </row>
    <row r="131" spans="1:12">
      <c r="A131" s="97"/>
      <c r="B131" s="11"/>
      <c r="C131" s="11"/>
      <c r="D131" s="11"/>
      <c r="E131" s="1653"/>
      <c r="F131" s="1653"/>
      <c r="G131" s="1653"/>
      <c r="H131" s="1653"/>
      <c r="I131" s="1653"/>
      <c r="J131" s="97"/>
      <c r="K131" s="97"/>
      <c r="L131" s="97"/>
    </row>
    <row r="132" spans="1:12">
      <c r="A132" s="97"/>
      <c r="B132" s="11"/>
      <c r="C132" s="11"/>
      <c r="D132" s="11"/>
      <c r="E132" s="1653"/>
      <c r="F132" s="1653"/>
      <c r="G132" s="1653"/>
      <c r="H132" s="1653"/>
      <c r="I132" s="1666"/>
      <c r="J132" s="97"/>
      <c r="K132" s="97"/>
      <c r="L132" s="97"/>
    </row>
    <row r="133" spans="1:12">
      <c r="A133" s="97"/>
      <c r="B133" s="11"/>
      <c r="C133" s="11"/>
      <c r="D133" s="11"/>
      <c r="E133" s="1653"/>
      <c r="F133" s="1653"/>
      <c r="G133" s="1653"/>
      <c r="H133" s="1653"/>
      <c r="I133" s="1653"/>
      <c r="J133" s="97"/>
      <c r="K133" s="97"/>
      <c r="L133" s="97"/>
    </row>
    <row r="134" spans="1:12">
      <c r="C134" s="11"/>
      <c r="D134" s="11"/>
      <c r="E134" s="1653"/>
      <c r="F134" s="1653"/>
      <c r="G134" s="1653"/>
      <c r="H134" s="1653"/>
      <c r="I134" s="1653"/>
      <c r="J134" s="97"/>
      <c r="K134" s="97"/>
      <c r="L134" s="97"/>
    </row>
    <row r="135" spans="1:12">
      <c r="A135" s="97"/>
      <c r="B135" s="11"/>
      <c r="C135" s="11"/>
      <c r="D135" s="11"/>
      <c r="E135" s="1653"/>
      <c r="F135" s="1653"/>
      <c r="G135" s="1653"/>
      <c r="H135" s="1653"/>
      <c r="I135" s="1653"/>
      <c r="J135" s="97"/>
      <c r="K135" s="97"/>
      <c r="L135" s="97"/>
    </row>
    <row r="136" spans="1:12">
      <c r="A136" s="97"/>
      <c r="B136" s="11"/>
      <c r="C136" s="11"/>
      <c r="D136" s="11"/>
      <c r="E136" s="1653"/>
      <c r="F136" s="1653"/>
      <c r="G136" s="1653"/>
      <c r="H136" s="1653"/>
      <c r="I136" s="1653"/>
      <c r="J136" s="97"/>
      <c r="K136" s="97"/>
      <c r="L136" s="97"/>
    </row>
    <row r="137" spans="1:12">
      <c r="A137" s="97"/>
      <c r="B137" s="97"/>
      <c r="C137" s="11"/>
      <c r="D137" s="11"/>
      <c r="E137" s="1653"/>
      <c r="F137" s="1653"/>
      <c r="G137" s="1653"/>
      <c r="H137" s="1653"/>
      <c r="I137" s="1653"/>
      <c r="J137" s="97"/>
      <c r="K137" s="97"/>
      <c r="L137" s="97"/>
    </row>
    <row r="138" spans="1:12">
      <c r="A138" s="97"/>
      <c r="B138" s="97"/>
      <c r="C138" s="11"/>
      <c r="D138" s="11"/>
      <c r="E138" s="1653"/>
      <c r="F138" s="1653"/>
      <c r="G138" s="1653"/>
      <c r="H138" s="1653"/>
      <c r="I138" s="1653"/>
      <c r="J138" s="97"/>
      <c r="K138" s="97"/>
      <c r="L138" s="97"/>
    </row>
    <row r="139" spans="1:12">
      <c r="A139" s="97"/>
      <c r="B139" s="97"/>
      <c r="C139" s="11"/>
      <c r="D139" s="11"/>
      <c r="E139" s="1653"/>
      <c r="F139" s="1653"/>
      <c r="G139" s="1653"/>
      <c r="H139" s="1653"/>
      <c r="I139" s="1653"/>
      <c r="J139" s="97"/>
      <c r="K139" s="97"/>
      <c r="L139" s="97"/>
    </row>
    <row r="140" spans="1:12">
      <c r="A140" s="97"/>
      <c r="B140" s="97"/>
      <c r="C140" s="11"/>
      <c r="D140" s="11"/>
      <c r="E140" s="1653"/>
      <c r="F140" s="1653"/>
      <c r="G140" s="1653"/>
      <c r="H140" s="1653"/>
      <c r="I140" s="1653"/>
      <c r="J140" s="97"/>
      <c r="K140" s="97"/>
      <c r="L140" s="97"/>
    </row>
    <row r="141" spans="1:12">
      <c r="A141" s="97"/>
      <c r="B141" s="97"/>
      <c r="C141" s="11"/>
      <c r="D141" s="11"/>
      <c r="E141" s="1653"/>
      <c r="F141" s="1653"/>
      <c r="G141" s="1653"/>
      <c r="H141" s="1653"/>
      <c r="I141" s="1653"/>
      <c r="J141" s="97"/>
      <c r="K141" s="97"/>
      <c r="L141" s="97"/>
    </row>
    <row r="142" spans="1:12">
      <c r="A142" s="97"/>
      <c r="B142" s="97"/>
      <c r="C142" s="11"/>
      <c r="D142" s="11"/>
      <c r="E142" s="1653"/>
      <c r="F142" s="1653"/>
      <c r="G142" s="1653"/>
      <c r="H142" s="1653"/>
      <c r="I142" s="1653"/>
      <c r="J142" s="97"/>
      <c r="K142" s="97"/>
      <c r="L142" s="97"/>
    </row>
    <row r="143" spans="1:12">
      <c r="A143" s="97"/>
      <c r="B143" s="97"/>
      <c r="C143" s="11"/>
      <c r="D143" s="11"/>
      <c r="E143" s="1653"/>
      <c r="F143" s="1653"/>
      <c r="G143" s="1653"/>
      <c r="H143" s="1653"/>
      <c r="I143" s="1653"/>
      <c r="J143" s="97"/>
      <c r="K143" s="97"/>
      <c r="L143" s="97"/>
    </row>
    <row r="144" spans="1:12">
      <c r="A144" s="97"/>
      <c r="B144" s="97"/>
      <c r="C144" s="11"/>
      <c r="D144" s="11"/>
      <c r="E144" s="1653"/>
      <c r="F144" s="1653"/>
      <c r="G144" s="1653"/>
      <c r="H144" s="1653"/>
      <c r="I144" s="1653"/>
      <c r="J144" s="97"/>
      <c r="K144" s="97"/>
      <c r="L144" s="97"/>
    </row>
    <row r="145" spans="1:2">
      <c r="A145" s="11"/>
      <c r="B145" s="97"/>
    </row>
    <row r="146" spans="1:2">
      <c r="A146" s="11"/>
      <c r="B146" s="97"/>
    </row>
    <row r="147" spans="1:2">
      <c r="A147" s="11"/>
      <c r="B147" s="97"/>
    </row>
    <row r="148" spans="1:2">
      <c r="A148" s="11"/>
      <c r="B148" s="97"/>
    </row>
    <row r="149" spans="1:2">
      <c r="A149" s="11"/>
      <c r="B149" s="97"/>
    </row>
    <row r="150" spans="1:2">
      <c r="A150" s="11"/>
      <c r="B150" s="97"/>
    </row>
    <row r="151" spans="1:2">
      <c r="A151" s="11"/>
      <c r="B151" s="97"/>
    </row>
    <row r="152" spans="1:2">
      <c r="A152" s="11"/>
      <c r="B152" s="97"/>
    </row>
    <row r="153" spans="1:2">
      <c r="A153" s="11"/>
      <c r="B153" s="97"/>
    </row>
  </sheetData>
  <customSheetViews>
    <customSheetView guid="{1BA452AD-1A45-4D9C-9666-ADFFA6F2F567}" colorId="22" topLeftCell="A58">
      <selection activeCell="L67" sqref="L67"/>
      <pageMargins left="0" right="0" top="0" bottom="0" header="0" footer="0"/>
      <printOptions horizontalCentered="1" verticalCentered="1"/>
      <pageSetup scale="80" fitToWidth="4" fitToHeight="4" pageOrder="overThenDown" orientation="portrait" r:id="rId1"/>
      <headerFooter alignWithMargins="0"/>
    </customSheetView>
    <customSheetView guid="{EEF7ABD6-0F96-4791-B749-C06F707E7673}" scale="55" colorId="22" showPageBreaks="1" printArea="1" view="pageBreakPreview" showRuler="0" topLeftCell="A73">
      <selection activeCell="C104" sqref="C104"/>
      <pageMargins left="0" right="0" top="0" bottom="0" header="0" footer="0"/>
      <printOptions horizontalCentered="1" verticalCentered="1"/>
      <pageSetup scale="80" fitToWidth="4" fitToHeight="4" pageOrder="overThenDown" orientation="portrait" r:id="rId2"/>
      <headerFooter alignWithMargins="0"/>
    </customSheetView>
    <customSheetView guid="{A7D7DB3C-AFE6-468E-8C6B-9531F6711497}" scale="60" colorId="22" showPageBreaks="1" printArea="1" view="pageBreakPreview" showRuler="0" topLeftCell="A43">
      <selection sqref="A1:IV65536"/>
      <rowBreaks count="1" manualBreakCount="1">
        <brk id="63" max="16383" man="1"/>
      </rowBreaks>
      <colBreaks count="1" manualBreakCount="1">
        <brk id="5" max="126" man="1"/>
      </colBreaks>
      <pageMargins left="0.9" right="0.4" top="0.3" bottom="0.3" header="0" footer="0"/>
      <printOptions horizontalCentered="1" verticalCentered="1"/>
      <pageSetup scale="68" fitToWidth="4" pageOrder="overThenDown" orientation="portrait" r:id="rId3"/>
      <headerFooter alignWithMargins="0"/>
    </customSheetView>
    <customSheetView guid="{4436FEB5-BFEC-4348-9286-CB706802873E}" scale="60" colorId="22" showPageBreaks="1" printArea="1" view="pageBreakPreview" showRuler="0" topLeftCell="A43">
      <selection sqref="A1:IV65536"/>
      <rowBreaks count="1" manualBreakCount="1">
        <brk id="63" max="16383" man="1"/>
      </rowBreaks>
      <colBreaks count="1" manualBreakCount="1">
        <brk id="5" max="126" man="1"/>
      </colBreaks>
      <pageMargins left="0.9" right="0.4" top="0.3" bottom="0.3" header="0" footer="0"/>
      <printOptions horizontalCentered="1" verticalCentered="1"/>
      <pageSetup scale="68" fitToWidth="4" pageOrder="overThenDown" orientation="portrait" r:id="rId4"/>
      <headerFooter alignWithMargins="0"/>
    </customSheetView>
    <customSheetView guid="{044CF00C-469F-44B3-B2C4-9B4049CE70CB}" scale="60" colorId="22" showPageBreaks="1" printArea="1" view="pageBreakPreview" showRuler="0">
      <selection activeCell="A2" sqref="A2"/>
      <rowBreaks count="1" manualBreakCount="1">
        <brk id="63" max="16383" man="1"/>
      </rowBreaks>
      <colBreaks count="1" manualBreakCount="1">
        <brk id="5" max="126" man="1"/>
      </colBreaks>
      <pageMargins left="0.9" right="0.4" top="0.3" bottom="0.3" header="0" footer="0"/>
      <printOptions horizontalCentered="1" verticalCentered="1"/>
      <pageSetup scale="68" fitToWidth="4" pageOrder="overThenDown" orientation="portrait" r:id="rId5"/>
      <headerFooter alignWithMargins="0"/>
    </customSheetView>
    <customSheetView guid="{4826FCC0-BDD6-4B2C-ACC6-ACE271DDF0E3}" scale="55" colorId="22" showPageBreaks="1" printArea="1" view="pageBreakPreview" showRuler="0" topLeftCell="A73">
      <selection activeCell="C104" sqref="C104"/>
      <pageMargins left="0" right="0" top="0" bottom="0" header="0" footer="0"/>
      <printOptions horizontalCentered="1" verticalCentered="1"/>
      <pageSetup scale="80" fitToWidth="4" fitToHeight="4" pageOrder="overThenDown" orientation="portrait" r:id="rId6"/>
      <headerFooter alignWithMargins="0"/>
    </customSheetView>
    <customSheetView guid="{EF376D10-23D6-4FE2-AB5B-4460D52CC93F}" scale="55" colorId="22" showPageBreaks="1" printArea="1" view="pageBreakPreview" showRuler="0" topLeftCell="A73">
      <selection activeCell="C104" sqref="C104"/>
      <pageMargins left="0" right="0" top="0" bottom="0" header="0" footer="0"/>
      <printOptions horizontalCentered="1" verticalCentered="1"/>
      <pageSetup scale="80" fitToWidth="4" fitToHeight="4" pageOrder="overThenDown" orientation="portrait" r:id="rId7"/>
      <headerFooter alignWithMargins="0"/>
    </customSheetView>
    <customSheetView guid="{1C046605-15CE-44F1-BFCD-2CA8588E7ACF}" scale="55" colorId="22" showPageBreaks="1" printArea="1" view="pageBreakPreview" showRuler="0" topLeftCell="A40">
      <selection activeCell="I9" sqref="I9"/>
      <pageMargins left="0" right="0" top="0" bottom="0" header="0" footer="0"/>
      <printOptions horizontalCentered="1" verticalCentered="1"/>
      <pageSetup scale="80" fitToWidth="4" fitToHeight="4" pageOrder="overThenDown" orientation="portrait" r:id="rId8"/>
      <headerFooter alignWithMargins="0"/>
    </customSheetView>
    <customSheetView guid="{3911D713-188C-46A1-A299-F21DD3B7A146}" scale="55" colorId="22" showPageBreaks="1" printArea="1" view="pageBreakPreview" showRuler="0" topLeftCell="A40">
      <selection activeCell="I9" sqref="I9"/>
      <pageMargins left="0" right="0" top="0" bottom="0" header="0" footer="0"/>
      <printOptions horizontalCentered="1" verticalCentered="1"/>
      <pageSetup scale="80" fitToWidth="4" fitToHeight="4" pageOrder="overThenDown" orientation="portrait" r:id="rId9"/>
      <headerFooter alignWithMargins="0"/>
    </customSheetView>
    <customSheetView guid="{78BB1E60-60BE-4F56-9763-075185EFEFAB}" colorId="22" topLeftCell="A58">
      <selection activeCell="L67" sqref="L67"/>
      <pageMargins left="0" right="0" top="0" bottom="0" header="0" footer="0"/>
      <printOptions horizontalCentered="1" verticalCentered="1"/>
      <pageSetup scale="80" fitToWidth="4" fitToHeight="4" pageOrder="overThenDown" orientation="portrait" r:id="rId10"/>
      <headerFooter alignWithMargins="0"/>
    </customSheetView>
    <customSheetView guid="{9C30803E-1E2D-4850-B0A5-591CA6F246A1}" colorId="22">
      <selection activeCell="L67" sqref="L67"/>
      <pageMargins left="0" right="0" top="0" bottom="0" header="0" footer="0"/>
      <printOptions horizontalCentered="1" verticalCentered="1"/>
      <pageSetup scale="80" fitToWidth="4" fitToHeight="4" pageOrder="overThenDown" orientation="portrait" r:id="rId11"/>
      <headerFooter alignWithMargins="0"/>
    </customSheetView>
    <customSheetView guid="{3B1006FF-A2CA-49E7-9B25-DAC8815279AF}" colorId="22">
      <selection activeCell="L67" sqref="L67"/>
      <pageMargins left="0" right="0" top="0" bottom="0" header="0" footer="0"/>
      <printOptions horizontalCentered="1" verticalCentered="1"/>
      <pageSetup scale="80" fitToWidth="4" fitToHeight="4" pageOrder="overThenDown" orientation="portrait" r:id="rId12"/>
      <headerFooter alignWithMargins="0"/>
    </customSheetView>
    <customSheetView guid="{FB1A60C8-E1F9-4DF0-8E0E-1C965F86027F}" colorId="22">
      <selection activeCell="L67" sqref="L67"/>
      <pageMargins left="0" right="0" top="0" bottom="0" header="0" footer="0"/>
      <printOptions horizontalCentered="1" verticalCentered="1"/>
      <pageSetup scale="80" fitToWidth="4" fitToHeight="4" pageOrder="overThenDown" orientation="portrait" r:id="rId13"/>
      <headerFooter alignWithMargins="0"/>
    </customSheetView>
    <customSheetView guid="{C5B6D812-CBE6-46AA-99F7-02494E9802B4}" scale="70" colorId="22" topLeftCell="A7">
      <selection activeCell="J7" sqref="J7"/>
      <pageMargins left="0" right="0" top="0" bottom="0" header="0" footer="0"/>
      <printOptions horizontalCentered="1" verticalCentered="1"/>
      <pageSetup scale="80" fitToWidth="4" fitToHeight="4" pageOrder="overThenDown" orientation="portrait" r:id="rId14"/>
      <headerFooter alignWithMargins="0"/>
    </customSheetView>
  </customSheetViews>
  <mergeCells count="3">
    <mergeCell ref="A3:E3"/>
    <mergeCell ref="A68:E68"/>
    <mergeCell ref="A90:E90"/>
  </mergeCells>
  <phoneticPr fontId="0" type="noConversion"/>
  <printOptions horizontalCentered="1" verticalCentered="1"/>
  <pageMargins left="0" right="0" top="0" bottom="0" header="0" footer="0"/>
  <pageSetup scale="80" fitToWidth="4" fitToHeight="4" pageOrder="overThenDown" orientation="portrait" r:id="rId15"/>
  <headerFooter alignWithMargins="0"/>
  <customProperties>
    <customPr name="_pios_id" r:id="rId16"/>
  </customProperties>
</worksheet>
</file>

<file path=xl/worksheets/sheet21.xml><?xml version="1.0" encoding="utf-8"?>
<worksheet xmlns="http://schemas.openxmlformats.org/spreadsheetml/2006/main" xmlns:r="http://schemas.openxmlformats.org/officeDocument/2006/relationships">
  <sheetPr transitionEvaluation="1" codeName="Sheet21" enableFormatConditionsCalculation="0"/>
  <dimension ref="A1:E277"/>
  <sheetViews>
    <sheetView defaultGridColor="0" colorId="22" zoomScale="70" zoomScaleNormal="70" workbookViewId="0"/>
  </sheetViews>
  <sheetFormatPr defaultColWidth="9.77734375" defaultRowHeight="15"/>
  <cols>
    <col min="1" max="1" width="4.77734375" customWidth="1"/>
    <col min="2" max="2" width="19" customWidth="1"/>
    <col min="3" max="3" width="34" customWidth="1"/>
    <col min="4" max="4" width="14.44140625" customWidth="1"/>
    <col min="5" max="5" width="20.77734375" style="1845" customWidth="1"/>
  </cols>
  <sheetData>
    <row r="1" spans="1:5" ht="15.75" thickBot="1">
      <c r="A1" s="2649" t="str">
        <f>+'Data sheet'!A53</f>
        <v>Annual Report of New York American Water Company, Inc. (f/k/a Long Island Water Corp)                                   Year Ended  December 31, 2013</v>
      </c>
      <c r="B1" s="186"/>
      <c r="E1" s="2196"/>
    </row>
    <row r="2" spans="1:5">
      <c r="A2" s="142"/>
      <c r="B2" s="143"/>
      <c r="C2" s="143"/>
      <c r="D2" s="143"/>
      <c r="E2" s="1846"/>
    </row>
    <row r="3" spans="1:5" ht="15.75">
      <c r="A3" s="3040" t="s">
        <v>1463</v>
      </c>
      <c r="B3" s="3041"/>
      <c r="C3" s="3041"/>
      <c r="D3" s="3041"/>
      <c r="E3" s="3042"/>
    </row>
    <row r="4" spans="1:5">
      <c r="A4" s="108"/>
      <c r="B4" s="109"/>
      <c r="C4" s="109"/>
      <c r="D4" s="141"/>
      <c r="E4" s="1848"/>
    </row>
    <row r="5" spans="1:5">
      <c r="A5" s="96"/>
      <c r="B5" s="847"/>
      <c r="C5" s="847"/>
      <c r="D5" s="847"/>
      <c r="E5" s="1847"/>
    </row>
    <row r="6" spans="1:5">
      <c r="A6" s="96" t="s">
        <v>1464</v>
      </c>
      <c r="B6" s="847"/>
      <c r="C6" s="847"/>
      <c r="D6" s="847"/>
      <c r="E6" s="1847"/>
    </row>
    <row r="7" spans="1:5">
      <c r="A7" s="96" t="s">
        <v>2766</v>
      </c>
      <c r="B7" s="847"/>
      <c r="C7" s="847"/>
      <c r="D7" s="847"/>
      <c r="E7" s="1847"/>
    </row>
    <row r="8" spans="1:5">
      <c r="A8" s="96" t="s">
        <v>2767</v>
      </c>
      <c r="B8" s="847"/>
      <c r="C8" s="847"/>
      <c r="D8" s="847"/>
      <c r="E8" s="1847"/>
    </row>
    <row r="9" spans="1:5">
      <c r="A9" s="108"/>
      <c r="B9" s="109"/>
      <c r="C9" s="109"/>
      <c r="D9" s="109"/>
      <c r="E9" s="1849"/>
    </row>
    <row r="10" spans="1:5">
      <c r="A10" s="475"/>
      <c r="B10" s="101"/>
      <c r="C10" s="101"/>
      <c r="D10" s="102"/>
      <c r="E10" s="1847" t="s">
        <v>2768</v>
      </c>
    </row>
    <row r="11" spans="1:5">
      <c r="A11" s="444" t="s">
        <v>1129</v>
      </c>
      <c r="B11" s="1084"/>
      <c r="C11" s="1852" t="s">
        <v>2754</v>
      </c>
      <c r="D11" s="476"/>
      <c r="E11" s="1847" t="s">
        <v>4204</v>
      </c>
    </row>
    <row r="12" spans="1:5">
      <c r="A12" s="444" t="s">
        <v>3324</v>
      </c>
      <c r="B12" s="1358" t="s">
        <v>4032</v>
      </c>
      <c r="C12" s="1940"/>
      <c r="D12" s="129"/>
      <c r="E12" s="1847" t="s">
        <v>4033</v>
      </c>
    </row>
    <row r="13" spans="1:5">
      <c r="A13" s="2916">
        <v>1</v>
      </c>
      <c r="B13" s="2917" t="s">
        <v>4651</v>
      </c>
      <c r="C13" s="2918" t="s">
        <v>4652</v>
      </c>
      <c r="D13" s="2919"/>
      <c r="E13" s="2920">
        <v>787564.34</v>
      </c>
    </row>
    <row r="14" spans="1:5">
      <c r="A14" s="2921">
        <v>2</v>
      </c>
      <c r="B14" s="2922" t="s">
        <v>4653</v>
      </c>
      <c r="C14" s="952" t="s">
        <v>3056</v>
      </c>
      <c r="D14" s="2923"/>
      <c r="E14" s="2652">
        <f>860662.24-1722.22</f>
        <v>858940.02</v>
      </c>
    </row>
    <row r="15" spans="1:5">
      <c r="A15" s="2921">
        <v>3</v>
      </c>
      <c r="B15" s="2922" t="s">
        <v>4654</v>
      </c>
      <c r="C15" s="952" t="s">
        <v>4655</v>
      </c>
      <c r="D15" s="2923"/>
      <c r="E15" s="2652">
        <v>2122.58</v>
      </c>
    </row>
    <row r="16" spans="1:5">
      <c r="A16" s="2921">
        <v>4</v>
      </c>
      <c r="B16" s="2922" t="s">
        <v>4656</v>
      </c>
      <c r="C16" s="952" t="s">
        <v>4904</v>
      </c>
      <c r="D16" s="2923"/>
      <c r="E16" s="2652">
        <v>77431.929999999993</v>
      </c>
    </row>
    <row r="17" spans="1:5">
      <c r="A17" s="2921">
        <v>5</v>
      </c>
      <c r="B17" s="2922" t="s">
        <v>4905</v>
      </c>
      <c r="C17" s="952" t="s">
        <v>4906</v>
      </c>
      <c r="D17" s="2923"/>
      <c r="E17" s="2652">
        <v>4037.12</v>
      </c>
    </row>
    <row r="18" spans="1:5">
      <c r="A18" s="2921">
        <v>6</v>
      </c>
      <c r="B18" s="2922" t="s">
        <v>4907</v>
      </c>
      <c r="C18" s="952" t="s">
        <v>4908</v>
      </c>
      <c r="D18" s="2923"/>
      <c r="E18" s="2652">
        <v>28264.22</v>
      </c>
    </row>
    <row r="19" spans="1:5">
      <c r="A19" s="2921">
        <v>7</v>
      </c>
      <c r="B19" s="2922" t="s">
        <v>4657</v>
      </c>
      <c r="C19" s="952" t="s">
        <v>4658</v>
      </c>
      <c r="D19" s="2923"/>
      <c r="E19" s="2652">
        <v>288.02999999999997</v>
      </c>
    </row>
    <row r="20" spans="1:5">
      <c r="A20" s="2921">
        <v>8</v>
      </c>
      <c r="B20" s="2922" t="s">
        <v>4659</v>
      </c>
      <c r="C20" s="952" t="s">
        <v>4660</v>
      </c>
      <c r="D20" s="2923"/>
      <c r="E20" s="2652">
        <v>285.14</v>
      </c>
    </row>
    <row r="21" spans="1:5">
      <c r="A21" s="2921">
        <v>9</v>
      </c>
      <c r="B21" s="2922" t="s">
        <v>4661</v>
      </c>
      <c r="C21" s="952" t="s">
        <v>4662</v>
      </c>
      <c r="D21" s="2923"/>
      <c r="E21" s="2652">
        <v>331.68</v>
      </c>
    </row>
    <row r="22" spans="1:5">
      <c r="A22" s="2921">
        <v>10</v>
      </c>
      <c r="B22" s="2922" t="s">
        <v>4663</v>
      </c>
      <c r="C22" s="952" t="s">
        <v>4664</v>
      </c>
      <c r="D22" s="2923"/>
      <c r="E22" s="2652">
        <v>295.55</v>
      </c>
    </row>
    <row r="23" spans="1:5">
      <c r="A23" s="2921">
        <v>11</v>
      </c>
      <c r="B23" s="2922" t="s">
        <v>4665</v>
      </c>
      <c r="C23" s="952" t="s">
        <v>4666</v>
      </c>
      <c r="D23" s="2923"/>
      <c r="E23" s="2652">
        <v>295.55</v>
      </c>
    </row>
    <row r="24" spans="1:5">
      <c r="A24" s="2921">
        <v>12</v>
      </c>
      <c r="B24" s="2922" t="s">
        <v>4667</v>
      </c>
      <c r="C24" s="952" t="s">
        <v>4668</v>
      </c>
      <c r="D24" s="2923"/>
      <c r="E24" s="2652">
        <v>295.55</v>
      </c>
    </row>
    <row r="25" spans="1:5">
      <c r="A25" s="2921">
        <v>13</v>
      </c>
      <c r="B25" s="2922" t="s">
        <v>4669</v>
      </c>
      <c r="C25" s="952" t="s">
        <v>4670</v>
      </c>
      <c r="D25" s="2923"/>
      <c r="E25" s="2652">
        <v>757.29</v>
      </c>
    </row>
    <row r="26" spans="1:5">
      <c r="A26" s="2921">
        <v>14</v>
      </c>
      <c r="B26" s="2922" t="s">
        <v>4671</v>
      </c>
      <c r="C26" s="952" t="s">
        <v>4672</v>
      </c>
      <c r="D26" s="2923"/>
      <c r="E26" s="2652">
        <v>722.98</v>
      </c>
    </row>
    <row r="27" spans="1:5">
      <c r="A27" s="2921">
        <v>15</v>
      </c>
      <c r="B27" s="2922" t="s">
        <v>4673</v>
      </c>
      <c r="C27" s="952" t="s">
        <v>4674</v>
      </c>
      <c r="D27" s="2923"/>
      <c r="E27" s="2652">
        <v>1031.51</v>
      </c>
    </row>
    <row r="28" spans="1:5">
      <c r="A28" s="2921">
        <v>16</v>
      </c>
      <c r="B28" s="2922" t="s">
        <v>4675</v>
      </c>
      <c r="C28" s="952" t="s">
        <v>4676</v>
      </c>
      <c r="D28" s="2923"/>
      <c r="E28" s="2652">
        <v>1075.68</v>
      </c>
    </row>
    <row r="29" spans="1:5">
      <c r="A29" s="2921">
        <v>17</v>
      </c>
      <c r="B29" s="2922" t="s">
        <v>4677</v>
      </c>
      <c r="C29" s="952" t="s">
        <v>4678</v>
      </c>
      <c r="D29" s="2923"/>
      <c r="E29" s="2652">
        <v>333.23</v>
      </c>
    </row>
    <row r="30" spans="1:5">
      <c r="A30" s="2921">
        <v>18</v>
      </c>
      <c r="B30" s="2922" t="s">
        <v>4679</v>
      </c>
      <c r="C30" s="952" t="s">
        <v>4680</v>
      </c>
      <c r="D30" s="2923"/>
      <c r="E30" s="2652">
        <v>335.26</v>
      </c>
    </row>
    <row r="31" spans="1:5">
      <c r="A31" s="2921">
        <v>19</v>
      </c>
      <c r="B31" s="2922" t="s">
        <v>4681</v>
      </c>
      <c r="C31" s="952" t="s">
        <v>4682</v>
      </c>
      <c r="D31" s="2923"/>
      <c r="E31" s="2652">
        <v>1329.08</v>
      </c>
    </row>
    <row r="32" spans="1:5">
      <c r="A32" s="2921">
        <v>20</v>
      </c>
      <c r="B32" s="2922" t="s">
        <v>4683</v>
      </c>
      <c r="C32" s="952" t="s">
        <v>4684</v>
      </c>
      <c r="D32" s="2923"/>
      <c r="E32" s="2652">
        <v>333.14</v>
      </c>
    </row>
    <row r="33" spans="1:5">
      <c r="A33" s="2921">
        <v>21</v>
      </c>
      <c r="B33" s="2922" t="s">
        <v>4685</v>
      </c>
      <c r="C33" s="952" t="s">
        <v>4686</v>
      </c>
      <c r="D33" s="2923"/>
      <c r="E33" s="2652">
        <v>332.64</v>
      </c>
    </row>
    <row r="34" spans="1:5">
      <c r="A34" s="2921">
        <v>22</v>
      </c>
      <c r="B34" s="2922" t="s">
        <v>4687</v>
      </c>
      <c r="C34" s="952" t="s">
        <v>4909</v>
      </c>
      <c r="D34" s="2923"/>
      <c r="E34" s="2652">
        <v>332.64</v>
      </c>
    </row>
    <row r="35" spans="1:5">
      <c r="A35" s="2921">
        <v>23</v>
      </c>
      <c r="B35" s="2922" t="s">
        <v>4688</v>
      </c>
      <c r="C35" s="952" t="s">
        <v>4689</v>
      </c>
      <c r="D35" s="2923"/>
      <c r="E35" s="2652">
        <v>275757.5</v>
      </c>
    </row>
    <row r="36" spans="1:5">
      <c r="A36" s="2921">
        <v>24</v>
      </c>
      <c r="B36" s="2922" t="s">
        <v>4690</v>
      </c>
      <c r="C36" s="952" t="s">
        <v>4910</v>
      </c>
      <c r="D36" s="2923"/>
      <c r="E36" s="2652">
        <v>2910.15</v>
      </c>
    </row>
    <row r="37" spans="1:5">
      <c r="A37" s="2921">
        <v>25</v>
      </c>
      <c r="B37" s="2922" t="s">
        <v>4691</v>
      </c>
      <c r="C37" s="952" t="s">
        <v>4692</v>
      </c>
      <c r="D37" s="2923"/>
      <c r="E37" s="2652">
        <v>428.65</v>
      </c>
    </row>
    <row r="38" spans="1:5">
      <c r="A38" s="2921">
        <v>26</v>
      </c>
      <c r="B38" s="2922" t="s">
        <v>4693</v>
      </c>
      <c r="C38" s="952" t="s">
        <v>4694</v>
      </c>
      <c r="D38" s="2923"/>
      <c r="E38" s="2652">
        <v>1020.29</v>
      </c>
    </row>
    <row r="39" spans="1:5">
      <c r="A39" s="2921">
        <v>27</v>
      </c>
      <c r="B39" s="2922" t="s">
        <v>4695</v>
      </c>
      <c r="C39" s="952" t="s">
        <v>4696</v>
      </c>
      <c r="D39" s="2923"/>
      <c r="E39" s="2652">
        <v>308.70999999999998</v>
      </c>
    </row>
    <row r="40" spans="1:5">
      <c r="A40" s="2921">
        <v>28</v>
      </c>
      <c r="B40" s="2922" t="s">
        <v>4697</v>
      </c>
      <c r="C40" s="952" t="s">
        <v>4698</v>
      </c>
      <c r="D40" s="2923"/>
      <c r="E40" s="2652">
        <v>493.85</v>
      </c>
    </row>
    <row r="41" spans="1:5">
      <c r="A41" s="2921">
        <v>29</v>
      </c>
      <c r="B41" s="2922" t="s">
        <v>4699</v>
      </c>
      <c r="C41" s="952" t="s">
        <v>4700</v>
      </c>
      <c r="D41" s="2923"/>
      <c r="E41" s="2652">
        <v>761.74</v>
      </c>
    </row>
    <row r="42" spans="1:5">
      <c r="A42" s="2921">
        <v>30</v>
      </c>
      <c r="B42" s="2922" t="s">
        <v>4701</v>
      </c>
      <c r="C42" s="952" t="s">
        <v>4702</v>
      </c>
      <c r="D42" s="2923"/>
      <c r="E42" s="2652">
        <v>1955.93</v>
      </c>
    </row>
    <row r="43" spans="1:5">
      <c r="A43" s="2921">
        <v>31</v>
      </c>
      <c r="B43" s="2922" t="s">
        <v>4703</v>
      </c>
      <c r="C43" s="952" t="s">
        <v>4704</v>
      </c>
      <c r="D43" s="2923"/>
      <c r="E43" s="2652">
        <v>276.89</v>
      </c>
    </row>
    <row r="44" spans="1:5">
      <c r="A44" s="2921">
        <v>32</v>
      </c>
      <c r="B44" s="2922" t="s">
        <v>4705</v>
      </c>
      <c r="C44" s="952" t="s">
        <v>4911</v>
      </c>
      <c r="D44" s="2923"/>
      <c r="E44" s="2652">
        <v>8101.98</v>
      </c>
    </row>
    <row r="45" spans="1:5">
      <c r="A45" s="2921">
        <v>33</v>
      </c>
      <c r="B45" s="2922" t="s">
        <v>4706</v>
      </c>
      <c r="C45" s="952" t="s">
        <v>4707</v>
      </c>
      <c r="D45" s="2923"/>
      <c r="E45" s="2652">
        <v>531.76</v>
      </c>
    </row>
    <row r="46" spans="1:5">
      <c r="A46" s="2921">
        <v>34</v>
      </c>
      <c r="B46" s="2922" t="s">
        <v>4708</v>
      </c>
      <c r="C46" s="952" t="s">
        <v>4912</v>
      </c>
      <c r="D46" s="2923"/>
      <c r="E46" s="2652">
        <v>400935.81</v>
      </c>
    </row>
    <row r="47" spans="1:5">
      <c r="A47" s="2921">
        <v>35</v>
      </c>
      <c r="B47" s="2922" t="s">
        <v>4709</v>
      </c>
      <c r="C47" s="952" t="s">
        <v>4710</v>
      </c>
      <c r="D47" s="2923"/>
      <c r="E47" s="2652">
        <v>810.2</v>
      </c>
    </row>
    <row r="48" spans="1:5">
      <c r="A48" s="2921">
        <v>36</v>
      </c>
      <c r="B48" s="2922" t="s">
        <v>4711</v>
      </c>
      <c r="C48" s="952" t="s">
        <v>4913</v>
      </c>
      <c r="D48" s="2923"/>
      <c r="E48" s="2652">
        <v>19577.78</v>
      </c>
    </row>
    <row r="49" spans="1:5">
      <c r="A49" s="2921">
        <v>37</v>
      </c>
      <c r="B49" s="2922" t="s">
        <v>4712</v>
      </c>
      <c r="C49" s="952" t="s">
        <v>4914</v>
      </c>
      <c r="D49" s="2923"/>
      <c r="E49" s="2652">
        <v>4518.4799999999996</v>
      </c>
    </row>
    <row r="50" spans="1:5">
      <c r="A50" s="2921">
        <v>38</v>
      </c>
      <c r="B50" s="2922" t="s">
        <v>4713</v>
      </c>
      <c r="C50" s="952" t="s">
        <v>3479</v>
      </c>
      <c r="D50" s="2923"/>
      <c r="E50" s="2652">
        <v>283.45</v>
      </c>
    </row>
    <row r="51" spans="1:5">
      <c r="A51" s="2921">
        <v>39</v>
      </c>
      <c r="B51" s="2922" t="s">
        <v>4714</v>
      </c>
      <c r="C51" s="952" t="s">
        <v>4915</v>
      </c>
      <c r="D51" s="2923"/>
      <c r="E51" s="2652">
        <v>448.5</v>
      </c>
    </row>
    <row r="52" spans="1:5">
      <c r="A52" s="2921">
        <v>40</v>
      </c>
      <c r="B52" s="2922" t="s">
        <v>4715</v>
      </c>
      <c r="C52" s="952" t="s">
        <v>4716</v>
      </c>
      <c r="D52" s="2923"/>
      <c r="E52" s="2652">
        <v>269.07</v>
      </c>
    </row>
    <row r="53" spans="1:5">
      <c r="A53" s="2921">
        <v>41</v>
      </c>
      <c r="B53" s="2922" t="s">
        <v>4717</v>
      </c>
      <c r="C53" s="952" t="s">
        <v>4718</v>
      </c>
      <c r="D53" s="2923"/>
      <c r="E53" s="2652">
        <v>785.3</v>
      </c>
    </row>
    <row r="54" spans="1:5">
      <c r="A54" s="2921">
        <v>42</v>
      </c>
      <c r="B54" s="2922" t="s">
        <v>4719</v>
      </c>
      <c r="C54" s="952" t="s">
        <v>4720</v>
      </c>
      <c r="D54" s="2923"/>
      <c r="E54" s="2652">
        <v>783.67</v>
      </c>
    </row>
    <row r="55" spans="1:5">
      <c r="A55" s="2921">
        <v>43</v>
      </c>
      <c r="B55" s="2922" t="s">
        <v>4721</v>
      </c>
      <c r="C55" s="952" t="s">
        <v>4722</v>
      </c>
      <c r="D55" s="2923"/>
      <c r="E55" s="2652">
        <v>855.95</v>
      </c>
    </row>
    <row r="56" spans="1:5">
      <c r="A56" s="2921">
        <v>44</v>
      </c>
      <c r="B56" s="2922" t="s">
        <v>4723</v>
      </c>
      <c r="C56" s="952" t="s">
        <v>4724</v>
      </c>
      <c r="D56" s="2923"/>
      <c r="E56" s="2652">
        <v>855.95</v>
      </c>
    </row>
    <row r="57" spans="1:5">
      <c r="A57" s="2921">
        <v>45</v>
      </c>
      <c r="B57" s="2922" t="s">
        <v>4725</v>
      </c>
      <c r="C57" s="952" t="s">
        <v>4726</v>
      </c>
      <c r="D57" s="2923"/>
      <c r="E57" s="2652">
        <v>855.95</v>
      </c>
    </row>
    <row r="58" spans="1:5">
      <c r="A58" s="2921">
        <v>46</v>
      </c>
      <c r="B58" s="2922" t="s">
        <v>4727</v>
      </c>
      <c r="C58" s="952" t="s">
        <v>4728</v>
      </c>
      <c r="D58" s="2923"/>
      <c r="E58" s="2652">
        <v>309.25</v>
      </c>
    </row>
    <row r="59" spans="1:5">
      <c r="A59" s="2921">
        <v>47</v>
      </c>
      <c r="B59" s="2922" t="s">
        <v>4729</v>
      </c>
      <c r="C59" s="952" t="s">
        <v>4916</v>
      </c>
      <c r="D59" s="2923"/>
      <c r="E59" s="2652">
        <v>309.25</v>
      </c>
    </row>
    <row r="60" spans="1:5">
      <c r="A60" s="2921">
        <v>48</v>
      </c>
      <c r="B60" s="2922" t="s">
        <v>4730</v>
      </c>
      <c r="C60" s="952" t="s">
        <v>4731</v>
      </c>
      <c r="D60" s="2923"/>
      <c r="E60" s="2652">
        <v>309.25</v>
      </c>
    </row>
    <row r="61" spans="1:5">
      <c r="A61" s="2921">
        <v>49</v>
      </c>
      <c r="B61" s="2922" t="s">
        <v>4732</v>
      </c>
      <c r="C61" s="952" t="s">
        <v>4733</v>
      </c>
      <c r="D61" s="2923"/>
      <c r="E61" s="2652">
        <v>309.25</v>
      </c>
    </row>
    <row r="62" spans="1:5" s="952" customFormat="1">
      <c r="A62" s="2921">
        <v>50</v>
      </c>
      <c r="B62" s="2922" t="s">
        <v>4734</v>
      </c>
      <c r="C62" s="952" t="s">
        <v>4735</v>
      </c>
      <c r="D62" s="2923"/>
      <c r="E62" s="2652">
        <v>309.25</v>
      </c>
    </row>
    <row r="63" spans="1:5" s="952" customFormat="1">
      <c r="A63" s="2921">
        <v>51</v>
      </c>
      <c r="B63" s="2922" t="s">
        <v>4736</v>
      </c>
      <c r="C63" s="952" t="s">
        <v>4737</v>
      </c>
      <c r="D63" s="2923"/>
      <c r="E63" s="2652">
        <v>279.95</v>
      </c>
    </row>
    <row r="64" spans="1:5">
      <c r="A64" s="2921">
        <v>52</v>
      </c>
      <c r="B64" s="2922" t="s">
        <v>4738</v>
      </c>
      <c r="C64" s="952" t="s">
        <v>4739</v>
      </c>
      <c r="D64" s="2923"/>
      <c r="E64" s="2652">
        <v>2739.77</v>
      </c>
    </row>
    <row r="65" spans="1:5">
      <c r="A65" s="2921">
        <v>53</v>
      </c>
      <c r="B65" s="2922" t="s">
        <v>4740</v>
      </c>
      <c r="C65" s="952" t="s">
        <v>4741</v>
      </c>
      <c r="D65" s="2923"/>
      <c r="E65" s="2652">
        <v>422.58</v>
      </c>
    </row>
    <row r="66" spans="1:5">
      <c r="A66" s="2921">
        <v>54</v>
      </c>
      <c r="B66" s="2922" t="s">
        <v>4742</v>
      </c>
      <c r="C66" s="952" t="s">
        <v>4743</v>
      </c>
      <c r="D66" s="2923"/>
      <c r="E66" s="2652">
        <v>422.58</v>
      </c>
    </row>
    <row r="67" spans="1:5">
      <c r="A67" s="2921">
        <v>55</v>
      </c>
      <c r="B67" s="2922" t="s">
        <v>4744</v>
      </c>
      <c r="C67" s="952" t="s">
        <v>4745</v>
      </c>
      <c r="D67" s="2923"/>
      <c r="E67" s="2652">
        <v>792.51</v>
      </c>
    </row>
    <row r="68" spans="1:5">
      <c r="A68" s="2921">
        <v>56</v>
      </c>
      <c r="B68" s="2922" t="s">
        <v>4746</v>
      </c>
      <c r="C68" s="952" t="s">
        <v>4747</v>
      </c>
      <c r="D68" s="2923"/>
      <c r="E68" s="2652">
        <v>448.5</v>
      </c>
    </row>
    <row r="69" spans="1:5">
      <c r="A69" s="2921">
        <v>57</v>
      </c>
      <c r="B69" s="2922" t="s">
        <v>4748</v>
      </c>
      <c r="C69" s="952" t="s">
        <v>4749</v>
      </c>
      <c r="D69" s="2923"/>
      <c r="E69" s="2652">
        <v>293.38</v>
      </c>
    </row>
    <row r="70" spans="1:5">
      <c r="A70" s="2921">
        <v>58</v>
      </c>
      <c r="B70" s="2922" t="s">
        <v>4750</v>
      </c>
      <c r="C70" s="952" t="s">
        <v>4917</v>
      </c>
      <c r="D70" s="2923"/>
      <c r="E70" s="2652">
        <v>293.38</v>
      </c>
    </row>
    <row r="71" spans="1:5">
      <c r="A71" s="2921">
        <v>59</v>
      </c>
      <c r="B71" s="2922" t="s">
        <v>4751</v>
      </c>
      <c r="C71" s="952" t="s">
        <v>4752</v>
      </c>
      <c r="D71" s="2923"/>
      <c r="E71" s="2652">
        <v>299.02999999999997</v>
      </c>
    </row>
    <row r="72" spans="1:5">
      <c r="A72" s="2921">
        <v>60</v>
      </c>
      <c r="B72" s="2922" t="s">
        <v>4753</v>
      </c>
      <c r="C72" s="952" t="s">
        <v>4754</v>
      </c>
      <c r="D72" s="2923"/>
      <c r="E72" s="2652">
        <v>297.13</v>
      </c>
    </row>
    <row r="73" spans="1:5">
      <c r="A73" s="2921">
        <v>61</v>
      </c>
      <c r="B73" s="2922" t="s">
        <v>4755</v>
      </c>
      <c r="C73" s="952" t="s">
        <v>4756</v>
      </c>
      <c r="D73" s="2923"/>
      <c r="E73" s="2652">
        <v>448.5</v>
      </c>
    </row>
    <row r="74" spans="1:5">
      <c r="A74" s="2921">
        <v>62</v>
      </c>
      <c r="B74" s="2922" t="s">
        <v>4757</v>
      </c>
      <c r="C74" s="952" t="s">
        <v>4758</v>
      </c>
      <c r="D74" s="2923"/>
      <c r="E74" s="2652">
        <v>293.38</v>
      </c>
    </row>
    <row r="75" spans="1:5">
      <c r="A75" s="2921">
        <v>63</v>
      </c>
      <c r="B75" s="2922" t="s">
        <v>4759</v>
      </c>
      <c r="C75" s="952" t="s">
        <v>4760</v>
      </c>
      <c r="D75" s="2923"/>
      <c r="E75" s="2652">
        <v>293.38</v>
      </c>
    </row>
    <row r="76" spans="1:5">
      <c r="A76" s="2921">
        <v>64</v>
      </c>
      <c r="B76" s="2922" t="s">
        <v>4761</v>
      </c>
      <c r="C76" s="952" t="s">
        <v>4762</v>
      </c>
      <c r="D76" s="2923"/>
      <c r="E76" s="2652">
        <v>2454.34</v>
      </c>
    </row>
    <row r="77" spans="1:5">
      <c r="A77" s="2921">
        <v>65</v>
      </c>
      <c r="B77" s="2922" t="s">
        <v>4763</v>
      </c>
      <c r="C77" s="952" t="s">
        <v>4764</v>
      </c>
      <c r="D77" s="2923"/>
      <c r="E77" s="2652">
        <v>998.33</v>
      </c>
    </row>
    <row r="78" spans="1:5">
      <c r="A78" s="2921">
        <v>66</v>
      </c>
      <c r="B78" s="2922" t="s">
        <v>4765</v>
      </c>
      <c r="C78" s="952" t="s">
        <v>4766</v>
      </c>
      <c r="D78" s="2923"/>
      <c r="E78" s="2652">
        <v>996.5</v>
      </c>
    </row>
    <row r="79" spans="1:5">
      <c r="A79" s="2921">
        <v>67</v>
      </c>
      <c r="B79" s="2922" t="s">
        <v>4767</v>
      </c>
      <c r="C79" s="952" t="s">
        <v>4768</v>
      </c>
      <c r="D79" s="2923"/>
      <c r="E79" s="2652">
        <v>299.02999999999997</v>
      </c>
    </row>
    <row r="80" spans="1:5">
      <c r="A80" s="2921">
        <v>68</v>
      </c>
      <c r="B80" s="2922" t="s">
        <v>4769</v>
      </c>
      <c r="C80" s="952" t="s">
        <v>4770</v>
      </c>
      <c r="D80" s="2923"/>
      <c r="E80" s="2652">
        <v>884.7</v>
      </c>
    </row>
    <row r="81" spans="1:5">
      <c r="A81" s="2921">
        <v>69</v>
      </c>
      <c r="B81" s="2922" t="s">
        <v>4771</v>
      </c>
      <c r="C81" s="952" t="s">
        <v>4918</v>
      </c>
      <c r="D81" s="2923"/>
      <c r="E81" s="2652">
        <v>245017.98</v>
      </c>
    </row>
    <row r="82" spans="1:5">
      <c r="A82" s="2921">
        <v>70</v>
      </c>
      <c r="B82" s="2922" t="s">
        <v>4772</v>
      </c>
      <c r="C82" s="952" t="s">
        <v>4773</v>
      </c>
      <c r="D82" s="2923"/>
      <c r="E82" s="2652">
        <v>1484.36</v>
      </c>
    </row>
    <row r="83" spans="1:5">
      <c r="A83" s="2921">
        <v>71</v>
      </c>
      <c r="B83" s="2922" t="s">
        <v>4774</v>
      </c>
      <c r="C83" s="952" t="s">
        <v>4775</v>
      </c>
      <c r="D83" s="2923"/>
      <c r="E83" s="2652">
        <v>728.25</v>
      </c>
    </row>
    <row r="84" spans="1:5">
      <c r="A84" s="2921">
        <v>72</v>
      </c>
      <c r="B84" s="2922" t="s">
        <v>4776</v>
      </c>
      <c r="C84" s="952" t="s">
        <v>4777</v>
      </c>
      <c r="D84" s="2923"/>
      <c r="E84" s="2652">
        <v>751.92</v>
      </c>
    </row>
    <row r="85" spans="1:5">
      <c r="A85" s="2921">
        <v>73</v>
      </c>
      <c r="B85" s="2922" t="s">
        <v>4778</v>
      </c>
      <c r="C85" s="952" t="s">
        <v>4919</v>
      </c>
      <c r="D85" s="2923"/>
      <c r="E85" s="2652">
        <v>1312.18</v>
      </c>
    </row>
    <row r="86" spans="1:5">
      <c r="A86" s="2921">
        <v>74</v>
      </c>
      <c r="B86" s="2922" t="s">
        <v>4779</v>
      </c>
      <c r="C86" s="952" t="s">
        <v>4780</v>
      </c>
      <c r="D86" s="2923"/>
      <c r="E86" s="2652">
        <v>1398.91</v>
      </c>
    </row>
    <row r="87" spans="1:5">
      <c r="A87" s="2921">
        <v>75</v>
      </c>
      <c r="B87" s="2922" t="s">
        <v>4781</v>
      </c>
      <c r="C87" s="952" t="s">
        <v>4920</v>
      </c>
      <c r="D87" s="2923"/>
      <c r="E87" s="2652">
        <v>458783.09</v>
      </c>
    </row>
    <row r="88" spans="1:5">
      <c r="A88" s="2921">
        <v>76</v>
      </c>
      <c r="B88" s="2922" t="s">
        <v>4782</v>
      </c>
      <c r="C88" s="952" t="s">
        <v>4921</v>
      </c>
      <c r="D88" s="2923"/>
      <c r="E88" s="2652">
        <v>444946.04</v>
      </c>
    </row>
    <row r="89" spans="1:5">
      <c r="A89" s="2921">
        <v>77</v>
      </c>
      <c r="B89" s="2922" t="s">
        <v>4783</v>
      </c>
      <c r="C89" s="952" t="s">
        <v>4784</v>
      </c>
      <c r="D89" s="2923"/>
      <c r="E89" s="2652">
        <v>293.77999999999997</v>
      </c>
    </row>
    <row r="90" spans="1:5">
      <c r="A90" s="2921">
        <v>78</v>
      </c>
      <c r="B90" s="2922" t="s">
        <v>4785</v>
      </c>
      <c r="C90" s="952" t="s">
        <v>4786</v>
      </c>
      <c r="D90" s="2923"/>
      <c r="E90" s="2652">
        <v>293.77999999999997</v>
      </c>
    </row>
    <row r="91" spans="1:5">
      <c r="A91" s="2921">
        <v>79</v>
      </c>
      <c r="B91" s="2922" t="s">
        <v>4787</v>
      </c>
      <c r="C91" s="952" t="s">
        <v>4788</v>
      </c>
      <c r="D91" s="2923"/>
      <c r="E91" s="2652">
        <v>293.77999999999997</v>
      </c>
    </row>
    <row r="92" spans="1:5">
      <c r="A92" s="2921">
        <v>80</v>
      </c>
      <c r="B92" s="2922" t="s">
        <v>4789</v>
      </c>
      <c r="C92" s="952" t="s">
        <v>4790</v>
      </c>
      <c r="D92" s="2923"/>
      <c r="E92" s="2652">
        <v>321.12</v>
      </c>
    </row>
    <row r="93" spans="1:5">
      <c r="A93" s="2921">
        <v>81</v>
      </c>
      <c r="B93" s="2922" t="s">
        <v>4791</v>
      </c>
      <c r="C93" s="952" t="s">
        <v>4792</v>
      </c>
      <c r="D93" s="2923"/>
      <c r="E93" s="2652">
        <v>321.12</v>
      </c>
    </row>
    <row r="94" spans="1:5">
      <c r="A94" s="2921">
        <v>82</v>
      </c>
      <c r="B94" s="2922" t="s">
        <v>4793</v>
      </c>
      <c r="C94" s="952" t="s">
        <v>4794</v>
      </c>
      <c r="D94" s="2923"/>
      <c r="E94" s="2652">
        <v>1111.27</v>
      </c>
    </row>
    <row r="95" spans="1:5">
      <c r="A95" s="2921">
        <v>83</v>
      </c>
      <c r="B95" s="2922" t="s">
        <v>4795</v>
      </c>
      <c r="C95" s="952" t="s">
        <v>4796</v>
      </c>
      <c r="D95" s="2923"/>
      <c r="E95" s="2652">
        <v>321.2</v>
      </c>
    </row>
    <row r="96" spans="1:5">
      <c r="A96" s="2921">
        <v>84</v>
      </c>
      <c r="B96" s="2922" t="s">
        <v>4797</v>
      </c>
      <c r="C96" s="952" t="s">
        <v>4798</v>
      </c>
      <c r="D96" s="2923"/>
      <c r="E96" s="2652">
        <v>321.2</v>
      </c>
    </row>
    <row r="97" spans="1:5">
      <c r="A97" s="2921">
        <v>85</v>
      </c>
      <c r="B97" s="2922" t="s">
        <v>4799</v>
      </c>
      <c r="C97" s="952" t="s">
        <v>4800</v>
      </c>
      <c r="D97" s="2923"/>
      <c r="E97" s="2652">
        <v>321.2</v>
      </c>
    </row>
    <row r="98" spans="1:5">
      <c r="A98" s="2921">
        <v>86</v>
      </c>
      <c r="B98" s="2922" t="s">
        <v>4801</v>
      </c>
      <c r="C98" s="952" t="s">
        <v>4802</v>
      </c>
      <c r="D98" s="2923"/>
      <c r="E98" s="2652">
        <v>321.2</v>
      </c>
    </row>
    <row r="99" spans="1:5">
      <c r="A99" s="2921">
        <v>87</v>
      </c>
      <c r="B99" s="2922" t="s">
        <v>4803</v>
      </c>
      <c r="C99" s="952" t="s">
        <v>4804</v>
      </c>
      <c r="D99" s="2923"/>
      <c r="E99" s="2652">
        <v>1976.22</v>
      </c>
    </row>
    <row r="100" spans="1:5">
      <c r="A100" s="2921">
        <v>88</v>
      </c>
      <c r="B100" s="2922" t="s">
        <v>4805</v>
      </c>
      <c r="C100" s="952" t="s">
        <v>4806</v>
      </c>
      <c r="D100" s="2923"/>
      <c r="E100" s="2652">
        <v>1111.27</v>
      </c>
    </row>
    <row r="101" spans="1:5">
      <c r="A101" s="2921">
        <v>89</v>
      </c>
      <c r="B101" s="2922" t="s">
        <v>4807</v>
      </c>
      <c r="C101" s="952" t="s">
        <v>4808</v>
      </c>
      <c r="D101" s="2923"/>
      <c r="E101" s="2652">
        <v>1065.19</v>
      </c>
    </row>
    <row r="102" spans="1:5">
      <c r="A102" s="2921">
        <v>90</v>
      </c>
      <c r="B102" s="2922" t="s">
        <v>4809</v>
      </c>
      <c r="C102" s="952" t="s">
        <v>4922</v>
      </c>
      <c r="D102" s="2923"/>
      <c r="E102" s="2652">
        <v>1065.19</v>
      </c>
    </row>
    <row r="103" spans="1:5">
      <c r="A103" s="2921">
        <v>91</v>
      </c>
      <c r="B103" s="2922" t="s">
        <v>4810</v>
      </c>
      <c r="C103" s="952" t="s">
        <v>4811</v>
      </c>
      <c r="D103" s="2923"/>
      <c r="E103" s="2652">
        <v>1065.19</v>
      </c>
    </row>
    <row r="104" spans="1:5">
      <c r="A104" s="2921">
        <v>92</v>
      </c>
      <c r="B104" s="2922" t="s">
        <v>4812</v>
      </c>
      <c r="C104" s="952" t="s">
        <v>4813</v>
      </c>
      <c r="D104" s="2923"/>
      <c r="E104" s="2652">
        <v>1065.19</v>
      </c>
    </row>
    <row r="105" spans="1:5">
      <c r="A105" s="2921">
        <v>93</v>
      </c>
      <c r="B105" s="2922" t="s">
        <v>4814</v>
      </c>
      <c r="C105" s="952" t="s">
        <v>4923</v>
      </c>
      <c r="D105" s="2923"/>
      <c r="E105" s="2652">
        <v>170635.93</v>
      </c>
    </row>
    <row r="106" spans="1:5">
      <c r="A106" s="2921">
        <v>94</v>
      </c>
      <c r="B106" s="2922" t="s">
        <v>4815</v>
      </c>
      <c r="C106" s="952" t="s">
        <v>4924</v>
      </c>
      <c r="D106" s="2923"/>
      <c r="E106" s="2652">
        <v>147795.96</v>
      </c>
    </row>
    <row r="107" spans="1:5">
      <c r="A107" s="2921">
        <v>95</v>
      </c>
      <c r="B107" s="2922" t="s">
        <v>4816</v>
      </c>
      <c r="C107" s="952" t="s">
        <v>4925</v>
      </c>
      <c r="D107" s="2923"/>
      <c r="E107" s="2652">
        <v>1737.7</v>
      </c>
    </row>
    <row r="108" spans="1:5">
      <c r="A108" s="2921">
        <v>96</v>
      </c>
      <c r="B108" s="2922" t="s">
        <v>4817</v>
      </c>
      <c r="C108" s="952" t="s">
        <v>4818</v>
      </c>
      <c r="D108" s="2923"/>
      <c r="E108" s="2652">
        <v>700.95</v>
      </c>
    </row>
    <row r="109" spans="1:5">
      <c r="A109" s="2921">
        <v>97</v>
      </c>
      <c r="B109" s="2922" t="s">
        <v>4819</v>
      </c>
      <c r="C109" s="952" t="s">
        <v>4926</v>
      </c>
      <c r="D109" s="2923"/>
      <c r="E109" s="2652">
        <v>1074.54</v>
      </c>
    </row>
    <row r="110" spans="1:5">
      <c r="A110" s="2921">
        <v>98</v>
      </c>
      <c r="B110" s="2922" t="s">
        <v>4820</v>
      </c>
      <c r="C110" s="952" t="s">
        <v>4927</v>
      </c>
      <c r="D110" s="2923"/>
      <c r="E110" s="2652">
        <v>700.95</v>
      </c>
    </row>
    <row r="111" spans="1:5">
      <c r="A111" s="2921">
        <v>99</v>
      </c>
      <c r="B111" s="2922" t="s">
        <v>4928</v>
      </c>
      <c r="C111" s="952" t="s">
        <v>4929</v>
      </c>
      <c r="D111" s="2923"/>
      <c r="E111" s="2652">
        <v>377.58</v>
      </c>
    </row>
    <row r="112" spans="1:5">
      <c r="A112" s="2921">
        <v>100</v>
      </c>
      <c r="B112" s="2922" t="s">
        <v>4821</v>
      </c>
      <c r="C112" s="952" t="s">
        <v>4930</v>
      </c>
      <c r="D112" s="2923"/>
      <c r="E112" s="2652">
        <v>700.95</v>
      </c>
    </row>
    <row r="113" spans="1:5">
      <c r="A113" s="2921">
        <v>101</v>
      </c>
      <c r="B113" s="2922" t="s">
        <v>4822</v>
      </c>
      <c r="C113" s="952" t="s">
        <v>4823</v>
      </c>
      <c r="D113" s="2923"/>
      <c r="E113" s="2652">
        <v>725.95</v>
      </c>
    </row>
    <row r="114" spans="1:5">
      <c r="A114" s="2921">
        <v>102</v>
      </c>
      <c r="B114" s="2922" t="s">
        <v>4824</v>
      </c>
      <c r="C114" s="952" t="s">
        <v>4931</v>
      </c>
      <c r="D114" s="2923"/>
      <c r="E114" s="2652">
        <v>7229.08</v>
      </c>
    </row>
    <row r="115" spans="1:5">
      <c r="A115" s="2921">
        <v>103</v>
      </c>
      <c r="B115" s="2922" t="s">
        <v>4825</v>
      </c>
      <c r="C115" s="952" t="s">
        <v>4932</v>
      </c>
      <c r="D115" s="2923"/>
      <c r="E115" s="2652">
        <v>1124.95</v>
      </c>
    </row>
    <row r="116" spans="1:5">
      <c r="A116" s="2921">
        <v>104</v>
      </c>
      <c r="B116" s="2922" t="s">
        <v>4933</v>
      </c>
      <c r="C116" s="952" t="s">
        <v>4934</v>
      </c>
      <c r="D116" s="2923"/>
      <c r="E116" s="2652">
        <v>15202.89</v>
      </c>
    </row>
    <row r="117" spans="1:5">
      <c r="A117" s="2921">
        <v>105</v>
      </c>
      <c r="B117" s="2922" t="s">
        <v>4935</v>
      </c>
      <c r="C117" s="952" t="s">
        <v>4936</v>
      </c>
      <c r="D117" s="2923"/>
      <c r="E117" s="2652">
        <v>377.58</v>
      </c>
    </row>
    <row r="118" spans="1:5">
      <c r="A118" s="2921">
        <v>106</v>
      </c>
      <c r="B118" s="2922" t="s">
        <v>4826</v>
      </c>
      <c r="C118" s="952" t="s">
        <v>4827</v>
      </c>
      <c r="D118" s="2923"/>
      <c r="E118" s="2652">
        <v>425.91</v>
      </c>
    </row>
    <row r="119" spans="1:5">
      <c r="A119" s="2921">
        <v>107</v>
      </c>
      <c r="B119" s="2922" t="s">
        <v>4937</v>
      </c>
      <c r="C119" s="952" t="s">
        <v>4938</v>
      </c>
      <c r="D119" s="2923"/>
      <c r="E119" s="2652">
        <v>377.58</v>
      </c>
    </row>
    <row r="120" spans="1:5">
      <c r="A120" s="2921">
        <v>108</v>
      </c>
      <c r="B120" s="2922" t="s">
        <v>4939</v>
      </c>
      <c r="C120" s="952" t="s">
        <v>4940</v>
      </c>
      <c r="D120" s="2923"/>
      <c r="E120" s="2652">
        <v>72834.350000000006</v>
      </c>
    </row>
    <row r="121" spans="1:5">
      <c r="A121" s="2921">
        <v>109</v>
      </c>
      <c r="B121" s="2922" t="s">
        <v>4828</v>
      </c>
      <c r="C121" s="952" t="s">
        <v>4829</v>
      </c>
      <c r="D121" s="2923"/>
      <c r="E121" s="2652">
        <v>425.91</v>
      </c>
    </row>
    <row r="122" spans="1:5">
      <c r="A122" s="2921">
        <v>110</v>
      </c>
      <c r="B122" s="2922" t="s">
        <v>4941</v>
      </c>
      <c r="C122" s="952" t="s">
        <v>4942</v>
      </c>
      <c r="D122" s="2923"/>
      <c r="E122" s="2652">
        <v>559.26</v>
      </c>
    </row>
    <row r="123" spans="1:5">
      <c r="A123" s="2921">
        <v>111</v>
      </c>
      <c r="B123" s="2922" t="s">
        <v>4943</v>
      </c>
      <c r="C123" s="952" t="s">
        <v>4944</v>
      </c>
      <c r="D123" s="2923"/>
      <c r="E123" s="2652">
        <v>377.58</v>
      </c>
    </row>
    <row r="124" spans="1:5">
      <c r="A124" s="2921">
        <v>112</v>
      </c>
      <c r="B124" s="2922" t="s">
        <v>4830</v>
      </c>
      <c r="C124" s="952" t="s">
        <v>4945</v>
      </c>
      <c r="D124" s="2923"/>
      <c r="E124" s="2652">
        <v>1401.45</v>
      </c>
    </row>
    <row r="125" spans="1:5">
      <c r="A125" s="2921">
        <v>113</v>
      </c>
      <c r="B125" s="2922" t="s">
        <v>4946</v>
      </c>
      <c r="C125" s="952" t="s">
        <v>4947</v>
      </c>
      <c r="D125" s="2923"/>
      <c r="E125" s="2652">
        <v>401.26</v>
      </c>
    </row>
    <row r="126" spans="1:5">
      <c r="A126" s="2921">
        <v>114</v>
      </c>
      <c r="B126" s="2922" t="s">
        <v>4948</v>
      </c>
      <c r="C126" s="952" t="s">
        <v>4949</v>
      </c>
      <c r="D126" s="2923"/>
      <c r="E126" s="2652">
        <v>374.71</v>
      </c>
    </row>
    <row r="127" spans="1:5">
      <c r="A127" s="2921">
        <v>115</v>
      </c>
      <c r="B127" s="2922" t="s">
        <v>4831</v>
      </c>
      <c r="C127" s="952" t="s">
        <v>4950</v>
      </c>
      <c r="D127" s="2923"/>
      <c r="E127" s="2652">
        <v>276299.21999999997</v>
      </c>
    </row>
    <row r="128" spans="1:5">
      <c r="A128" s="2921">
        <v>116</v>
      </c>
      <c r="B128" s="2922" t="s">
        <v>4832</v>
      </c>
      <c r="C128" s="952" t="s">
        <v>4833</v>
      </c>
      <c r="D128" s="2923"/>
      <c r="E128" s="2652">
        <v>729.35</v>
      </c>
    </row>
    <row r="129" spans="1:5">
      <c r="A129" s="2921">
        <v>117</v>
      </c>
      <c r="B129" s="2922" t="s">
        <v>4834</v>
      </c>
      <c r="C129" s="952" t="s">
        <v>4835</v>
      </c>
      <c r="D129" s="2923"/>
      <c r="E129" s="2652">
        <v>2907.34</v>
      </c>
    </row>
    <row r="130" spans="1:5">
      <c r="A130" s="2921">
        <v>118</v>
      </c>
      <c r="B130" s="2922" t="s">
        <v>4951</v>
      </c>
      <c r="C130" s="952" t="s">
        <v>4952</v>
      </c>
      <c r="D130" s="2923"/>
      <c r="E130" s="2652">
        <v>13649.94</v>
      </c>
    </row>
    <row r="131" spans="1:5">
      <c r="A131" s="2921">
        <v>119</v>
      </c>
      <c r="B131" s="2922" t="s">
        <v>4953</v>
      </c>
      <c r="C131" s="952" t="s">
        <v>4954</v>
      </c>
      <c r="D131" s="2923"/>
      <c r="E131" s="2652">
        <v>24138.89</v>
      </c>
    </row>
    <row r="132" spans="1:5">
      <c r="A132" s="2921">
        <v>120</v>
      </c>
      <c r="B132" s="2922" t="s">
        <v>4836</v>
      </c>
      <c r="C132" s="952" t="s">
        <v>4837</v>
      </c>
      <c r="D132" s="2923"/>
      <c r="E132" s="2652">
        <v>324.64</v>
      </c>
    </row>
    <row r="133" spans="1:5">
      <c r="A133" s="2921">
        <v>121</v>
      </c>
      <c r="B133" s="2922" t="s">
        <v>4955</v>
      </c>
      <c r="C133" s="952" t="s">
        <v>4956</v>
      </c>
      <c r="D133" s="2923"/>
      <c r="E133" s="2652">
        <v>1462.62</v>
      </c>
    </row>
    <row r="134" spans="1:5">
      <c r="A134" s="2921">
        <v>122</v>
      </c>
      <c r="B134" s="2922" t="s">
        <v>4957</v>
      </c>
      <c r="C134" s="952" t="s">
        <v>4958</v>
      </c>
      <c r="D134" s="2923"/>
      <c r="E134" s="2652">
        <v>243.42</v>
      </c>
    </row>
    <row r="135" spans="1:5">
      <c r="A135" s="2921">
        <v>123</v>
      </c>
      <c r="B135" s="2922" t="s">
        <v>4959</v>
      </c>
      <c r="C135" s="952" t="s">
        <v>4960</v>
      </c>
      <c r="D135" s="2923"/>
      <c r="E135" s="2652">
        <v>-1026.3599999999999</v>
      </c>
    </row>
    <row r="136" spans="1:5">
      <c r="A136" s="2921">
        <v>124</v>
      </c>
      <c r="B136" s="2922" t="s">
        <v>4961</v>
      </c>
      <c r="C136" s="952" t="s">
        <v>4962</v>
      </c>
      <c r="D136" s="2923"/>
      <c r="E136" s="2652">
        <v>1734.11</v>
      </c>
    </row>
    <row r="137" spans="1:5">
      <c r="A137" s="2921">
        <v>125</v>
      </c>
      <c r="B137" s="2922" t="s">
        <v>4963</v>
      </c>
      <c r="C137" s="952" t="s">
        <v>4964</v>
      </c>
      <c r="D137" s="2923"/>
      <c r="E137" s="2652">
        <v>9555.51</v>
      </c>
    </row>
    <row r="138" spans="1:5">
      <c r="A138" s="2921">
        <v>126</v>
      </c>
      <c r="B138" s="2922" t="s">
        <v>4965</v>
      </c>
      <c r="C138" s="952" t="s">
        <v>4966</v>
      </c>
      <c r="D138" s="2923"/>
      <c r="E138" s="2652">
        <v>683.36</v>
      </c>
    </row>
    <row r="139" spans="1:5">
      <c r="A139" s="2921">
        <v>127</v>
      </c>
      <c r="B139" s="2922" t="s">
        <v>4967</v>
      </c>
      <c r="C139" s="952" t="s">
        <v>4968</v>
      </c>
      <c r="D139" s="2923"/>
      <c r="E139" s="2652">
        <v>818.76</v>
      </c>
    </row>
    <row r="140" spans="1:5">
      <c r="A140" s="2921">
        <v>128</v>
      </c>
      <c r="B140" s="2922" t="s">
        <v>4969</v>
      </c>
      <c r="C140" s="952" t="s">
        <v>4970</v>
      </c>
      <c r="D140" s="2923"/>
      <c r="E140" s="2652">
        <v>818.76</v>
      </c>
    </row>
    <row r="141" spans="1:5">
      <c r="A141" s="2921">
        <v>129</v>
      </c>
      <c r="B141" s="2922" t="s">
        <v>4971</v>
      </c>
      <c r="C141" s="952" t="s">
        <v>4972</v>
      </c>
      <c r="D141" s="2923"/>
      <c r="E141" s="2652">
        <v>718517.9</v>
      </c>
    </row>
    <row r="142" spans="1:5">
      <c r="A142" s="2921">
        <v>130</v>
      </c>
      <c r="B142" s="2922" t="s">
        <v>4973</v>
      </c>
      <c r="C142" s="952" t="s">
        <v>4974</v>
      </c>
      <c r="D142" s="2923"/>
      <c r="E142" s="2652">
        <v>308684.37</v>
      </c>
    </row>
    <row r="143" spans="1:5">
      <c r="A143" s="2921">
        <v>131</v>
      </c>
      <c r="B143" s="2922" t="s">
        <v>4975</v>
      </c>
      <c r="C143" s="952" t="s">
        <v>4976</v>
      </c>
      <c r="D143" s="2923"/>
      <c r="E143" s="2652">
        <v>9604.6299999999992</v>
      </c>
    </row>
    <row r="144" spans="1:5">
      <c r="A144" s="2921">
        <v>132</v>
      </c>
      <c r="B144" s="2922" t="s">
        <v>4977</v>
      </c>
      <c r="C144" s="952" t="s">
        <v>4978</v>
      </c>
      <c r="D144" s="2923"/>
      <c r="E144" s="2652">
        <v>538.99</v>
      </c>
    </row>
    <row r="145" spans="1:5">
      <c r="A145" s="2921">
        <v>133</v>
      </c>
      <c r="B145" s="2922" t="s">
        <v>4979</v>
      </c>
      <c r="C145" s="952" t="s">
        <v>4980</v>
      </c>
      <c r="D145" s="2923"/>
      <c r="E145" s="2652">
        <v>2942.25</v>
      </c>
    </row>
    <row r="146" spans="1:5">
      <c r="A146" s="2921">
        <v>134</v>
      </c>
      <c r="B146" s="2922" t="s">
        <v>4981</v>
      </c>
      <c r="C146" s="952" t="s">
        <v>4982</v>
      </c>
      <c r="D146" s="2923"/>
      <c r="E146" s="2652">
        <v>5633.29</v>
      </c>
    </row>
    <row r="147" spans="1:5">
      <c r="A147" s="2921">
        <v>135</v>
      </c>
      <c r="B147" s="2922" t="s">
        <v>4983</v>
      </c>
      <c r="C147" s="952" t="s">
        <v>4984</v>
      </c>
      <c r="D147" s="2923"/>
      <c r="E147" s="2652">
        <v>404.5</v>
      </c>
    </row>
    <row r="148" spans="1:5">
      <c r="A148" s="2921">
        <v>136</v>
      </c>
      <c r="B148" s="2922" t="s">
        <v>4985</v>
      </c>
      <c r="C148" s="952" t="s">
        <v>4986</v>
      </c>
      <c r="D148" s="2923"/>
      <c r="E148" s="2652">
        <v>54707.35</v>
      </c>
    </row>
    <row r="149" spans="1:5">
      <c r="A149" s="2921">
        <v>137</v>
      </c>
      <c r="B149" s="2922" t="s">
        <v>4987</v>
      </c>
      <c r="C149" s="952" t="s">
        <v>4988</v>
      </c>
      <c r="D149" s="2923"/>
      <c r="E149" s="2652">
        <v>446858.61</v>
      </c>
    </row>
    <row r="150" spans="1:5">
      <c r="A150" s="2921">
        <v>138</v>
      </c>
      <c r="B150" s="2922" t="s">
        <v>4989</v>
      </c>
      <c r="C150" s="952" t="s">
        <v>4990</v>
      </c>
      <c r="D150" s="2923"/>
      <c r="E150" s="2652">
        <v>58115.03</v>
      </c>
    </row>
    <row r="151" spans="1:5">
      <c r="A151" s="2921">
        <v>139</v>
      </c>
      <c r="B151" s="2922" t="s">
        <v>4991</v>
      </c>
      <c r="C151" s="952" t="s">
        <v>4992</v>
      </c>
      <c r="D151" s="2923"/>
      <c r="E151" s="2652">
        <v>7600.03</v>
      </c>
    </row>
    <row r="152" spans="1:5">
      <c r="A152" s="2921">
        <v>140</v>
      </c>
      <c r="B152" s="2922" t="s">
        <v>4993</v>
      </c>
      <c r="C152" s="952" t="s">
        <v>4994</v>
      </c>
      <c r="D152" s="2923"/>
      <c r="E152" s="2652">
        <v>5863.86</v>
      </c>
    </row>
    <row r="153" spans="1:5">
      <c r="A153" s="2921">
        <v>141</v>
      </c>
      <c r="B153" s="2922" t="s">
        <v>4995</v>
      </c>
      <c r="C153" s="952" t="s">
        <v>4996</v>
      </c>
      <c r="D153" s="2923"/>
      <c r="E153" s="2652">
        <v>10183.4</v>
      </c>
    </row>
    <row r="154" spans="1:5">
      <c r="A154" s="2921">
        <v>142</v>
      </c>
      <c r="B154" s="2922" t="s">
        <v>4997</v>
      </c>
      <c r="C154" s="952" t="s">
        <v>4998</v>
      </c>
      <c r="D154" s="2923"/>
      <c r="E154" s="2652">
        <v>957.11</v>
      </c>
    </row>
    <row r="155" spans="1:5">
      <c r="A155" s="2921">
        <v>143</v>
      </c>
      <c r="B155" s="2922" t="s">
        <v>4999</v>
      </c>
      <c r="C155" s="952" t="s">
        <v>4998</v>
      </c>
      <c r="D155" s="2923"/>
      <c r="E155" s="2652">
        <v>21.05</v>
      </c>
    </row>
    <row r="156" spans="1:5">
      <c r="A156" s="2921">
        <v>144</v>
      </c>
      <c r="B156" s="2922" t="s">
        <v>5000</v>
      </c>
      <c r="C156" s="952" t="s">
        <v>4998</v>
      </c>
      <c r="D156" s="2923"/>
      <c r="E156" s="2652">
        <v>151.11000000000001</v>
      </c>
    </row>
    <row r="157" spans="1:5">
      <c r="A157" s="2921">
        <v>145</v>
      </c>
      <c r="B157" s="2922" t="s">
        <v>5001</v>
      </c>
      <c r="C157" s="952" t="s">
        <v>4998</v>
      </c>
      <c r="D157" s="2923"/>
      <c r="E157" s="2652">
        <v>52.4</v>
      </c>
    </row>
    <row r="158" spans="1:5">
      <c r="A158" s="2921">
        <v>146</v>
      </c>
      <c r="B158" s="2922" t="s">
        <v>5002</v>
      </c>
      <c r="C158" s="952" t="s">
        <v>4998</v>
      </c>
      <c r="D158" s="2923"/>
      <c r="E158" s="2652">
        <v>95.35</v>
      </c>
    </row>
    <row r="159" spans="1:5">
      <c r="A159" s="2921">
        <v>147</v>
      </c>
      <c r="B159" s="2922" t="s">
        <v>5003</v>
      </c>
      <c r="C159" s="952" t="s">
        <v>4998</v>
      </c>
      <c r="D159" s="2923"/>
      <c r="E159" s="2652">
        <v>86.64</v>
      </c>
    </row>
    <row r="160" spans="1:5">
      <c r="A160" s="2921">
        <v>148</v>
      </c>
      <c r="B160" s="2922" t="s">
        <v>5004</v>
      </c>
      <c r="C160" s="952" t="s">
        <v>4998</v>
      </c>
      <c r="D160" s="2923"/>
      <c r="E160" s="2652">
        <v>14.8</v>
      </c>
    </row>
    <row r="161" spans="1:5">
      <c r="A161" s="2921">
        <v>149</v>
      </c>
      <c r="B161" s="2922" t="s">
        <v>5005</v>
      </c>
      <c r="C161" s="952" t="s">
        <v>4998</v>
      </c>
      <c r="D161" s="2923"/>
      <c r="E161" s="2652">
        <v>17.22</v>
      </c>
    </row>
    <row r="162" spans="1:5">
      <c r="A162" s="2921">
        <v>150</v>
      </c>
      <c r="B162" s="2922" t="s">
        <v>5006</v>
      </c>
      <c r="C162" s="952" t="s">
        <v>4998</v>
      </c>
      <c r="D162" s="2923"/>
      <c r="E162" s="2652">
        <v>456.07</v>
      </c>
    </row>
    <row r="163" spans="1:5">
      <c r="A163" s="2921">
        <v>151</v>
      </c>
      <c r="B163" s="2922" t="s">
        <v>5007</v>
      </c>
      <c r="C163" s="952" t="s">
        <v>5008</v>
      </c>
      <c r="D163" s="2923"/>
      <c r="E163" s="2652">
        <v>1473.2</v>
      </c>
    </row>
    <row r="164" spans="1:5">
      <c r="A164" s="2921">
        <v>152</v>
      </c>
      <c r="B164" s="2922" t="s">
        <v>4838</v>
      </c>
      <c r="C164" s="952" t="s">
        <v>5009</v>
      </c>
      <c r="D164" s="2923"/>
      <c r="E164" s="2652">
        <v>5.82</v>
      </c>
    </row>
    <row r="165" spans="1:5">
      <c r="A165" s="2921">
        <v>153</v>
      </c>
      <c r="B165" s="2922" t="s">
        <v>5010</v>
      </c>
      <c r="C165" s="952" t="s">
        <v>5011</v>
      </c>
      <c r="D165" s="2923"/>
      <c r="E165" s="2652">
        <v>16372.43</v>
      </c>
    </row>
    <row r="166" spans="1:5">
      <c r="A166" s="2921">
        <v>154</v>
      </c>
      <c r="B166" s="2922" t="s">
        <v>5012</v>
      </c>
      <c r="C166" s="952" t="s">
        <v>5013</v>
      </c>
      <c r="D166" s="2923"/>
      <c r="E166" s="2652">
        <v>53.04</v>
      </c>
    </row>
    <row r="167" spans="1:5">
      <c r="A167" s="2921">
        <v>155</v>
      </c>
      <c r="B167" s="2922" t="s">
        <v>5014</v>
      </c>
      <c r="C167" s="952" t="s">
        <v>5015</v>
      </c>
      <c r="D167" s="2923"/>
      <c r="E167" s="2652">
        <v>10978.36</v>
      </c>
    </row>
    <row r="168" spans="1:5">
      <c r="A168" s="2921">
        <v>156</v>
      </c>
      <c r="B168" s="2922" t="s">
        <v>5016</v>
      </c>
      <c r="C168" s="952" t="s">
        <v>5017</v>
      </c>
      <c r="D168" s="2923"/>
      <c r="E168" s="2652">
        <v>3140.04</v>
      </c>
    </row>
    <row r="169" spans="1:5">
      <c r="A169" s="2921">
        <v>157</v>
      </c>
      <c r="B169" s="2922" t="s">
        <v>5018</v>
      </c>
      <c r="C169" s="952" t="s">
        <v>5019</v>
      </c>
      <c r="D169" s="2923"/>
      <c r="E169" s="2652">
        <v>3220.51</v>
      </c>
    </row>
    <row r="170" spans="1:5">
      <c r="A170" s="2921">
        <v>158</v>
      </c>
      <c r="B170" s="2922" t="s">
        <v>5020</v>
      </c>
      <c r="C170" s="952" t="s">
        <v>5021</v>
      </c>
      <c r="D170" s="2923"/>
      <c r="E170" s="2652">
        <v>62.17</v>
      </c>
    </row>
    <row r="171" spans="1:5">
      <c r="A171" s="2921">
        <v>159</v>
      </c>
      <c r="B171" s="2922" t="s">
        <v>5022</v>
      </c>
      <c r="C171" s="952" t="s">
        <v>5023</v>
      </c>
      <c r="D171" s="2923"/>
      <c r="E171" s="2652">
        <v>-138.27000000000001</v>
      </c>
    </row>
    <row r="172" spans="1:5">
      <c r="A172" s="2921">
        <v>160</v>
      </c>
      <c r="B172" s="2922" t="s">
        <v>5024</v>
      </c>
      <c r="C172" s="952" t="s">
        <v>5025</v>
      </c>
      <c r="D172" s="2923"/>
      <c r="E172" s="2652">
        <v>7775.14</v>
      </c>
    </row>
    <row r="173" spans="1:5">
      <c r="A173" s="2921">
        <v>161</v>
      </c>
      <c r="B173" s="2922" t="s">
        <v>5026</v>
      </c>
      <c r="C173" s="952" t="s">
        <v>3054</v>
      </c>
      <c r="D173" s="2923"/>
      <c r="E173" s="2652">
        <v>134.35</v>
      </c>
    </row>
    <row r="174" spans="1:5">
      <c r="A174" s="2921">
        <v>162</v>
      </c>
      <c r="B174" s="2922" t="s">
        <v>5027</v>
      </c>
      <c r="C174" s="952" t="s">
        <v>5028</v>
      </c>
      <c r="D174" s="2923"/>
      <c r="E174" s="2652">
        <v>16011.12</v>
      </c>
    </row>
    <row r="175" spans="1:5">
      <c r="A175" s="2921">
        <v>163</v>
      </c>
      <c r="B175" s="2922" t="s">
        <v>5029</v>
      </c>
      <c r="C175" s="952" t="s">
        <v>5030</v>
      </c>
      <c r="D175" s="2923"/>
      <c r="E175" s="2652">
        <v>1939.88</v>
      </c>
    </row>
    <row r="176" spans="1:5">
      <c r="A176" s="2921">
        <v>164</v>
      </c>
      <c r="B176" s="2922" t="s">
        <v>5031</v>
      </c>
      <c r="C176" s="952" t="s">
        <v>5032</v>
      </c>
      <c r="D176" s="2923"/>
      <c r="E176" s="2652">
        <v>1024.46</v>
      </c>
    </row>
    <row r="177" spans="1:5">
      <c r="A177" s="2921">
        <v>165</v>
      </c>
      <c r="B177" s="2922" t="s">
        <v>5033</v>
      </c>
      <c r="C177" s="952" t="s">
        <v>5034</v>
      </c>
      <c r="D177" s="2923"/>
      <c r="E177" s="2652">
        <v>11162.67</v>
      </c>
    </row>
    <row r="178" spans="1:5">
      <c r="A178" s="2921">
        <v>166</v>
      </c>
      <c r="B178" s="2922" t="s">
        <v>5035</v>
      </c>
      <c r="C178" s="952" t="s">
        <v>4367</v>
      </c>
      <c r="D178" s="2923"/>
      <c r="E178" s="2652">
        <v>440.77</v>
      </c>
    </row>
    <row r="179" spans="1:5">
      <c r="A179" s="2921">
        <v>167</v>
      </c>
      <c r="B179" s="2922" t="s">
        <v>5036</v>
      </c>
      <c r="C179" s="952" t="s">
        <v>5037</v>
      </c>
      <c r="D179" s="2923"/>
      <c r="E179" s="2652">
        <v>102.15</v>
      </c>
    </row>
    <row r="180" spans="1:5">
      <c r="A180" s="2921">
        <v>168</v>
      </c>
      <c r="B180" s="2922" t="s">
        <v>5038</v>
      </c>
      <c r="C180" s="952" t="s">
        <v>5039</v>
      </c>
      <c r="D180" s="2923"/>
      <c r="E180" s="2652">
        <v>5451.66</v>
      </c>
    </row>
    <row r="181" spans="1:5">
      <c r="A181" s="2921">
        <v>169</v>
      </c>
      <c r="B181" s="2922" t="s">
        <v>5040</v>
      </c>
      <c r="C181" s="952" t="s">
        <v>3055</v>
      </c>
      <c r="D181" s="2923"/>
      <c r="E181" s="2652">
        <v>5438.74</v>
      </c>
    </row>
    <row r="182" spans="1:5">
      <c r="A182" s="2921">
        <v>170</v>
      </c>
      <c r="B182" s="2922" t="s">
        <v>5041</v>
      </c>
      <c r="C182" s="952" t="s">
        <v>5042</v>
      </c>
      <c r="D182" s="2923"/>
      <c r="E182" s="2652">
        <v>38.43</v>
      </c>
    </row>
    <row r="183" spans="1:5">
      <c r="A183" s="2921">
        <v>171</v>
      </c>
      <c r="B183" s="2922" t="s">
        <v>5043</v>
      </c>
      <c r="C183" s="952" t="s">
        <v>5044</v>
      </c>
      <c r="D183" s="2923"/>
      <c r="E183" s="2652">
        <v>59.05</v>
      </c>
    </row>
    <row r="184" spans="1:5">
      <c r="A184" s="2921">
        <v>172</v>
      </c>
      <c r="B184" s="2922" t="s">
        <v>4839</v>
      </c>
      <c r="C184" s="952" t="s">
        <v>5045</v>
      </c>
      <c r="D184" s="2923"/>
      <c r="E184" s="2652">
        <v>11241.14</v>
      </c>
    </row>
    <row r="185" spans="1:5">
      <c r="A185" s="2921">
        <v>173</v>
      </c>
      <c r="B185" s="2922" t="s">
        <v>4840</v>
      </c>
      <c r="C185" s="952" t="s">
        <v>5046</v>
      </c>
      <c r="D185" s="2923"/>
      <c r="E185" s="2652">
        <v>0.83</v>
      </c>
    </row>
    <row r="186" spans="1:5">
      <c r="A186" s="2921">
        <v>174</v>
      </c>
      <c r="B186" s="2922" t="s">
        <v>5047</v>
      </c>
      <c r="C186" s="952" t="s">
        <v>5048</v>
      </c>
      <c r="D186" s="2923"/>
      <c r="E186" s="2652">
        <v>19481.849999999999</v>
      </c>
    </row>
    <row r="187" spans="1:5">
      <c r="A187" s="2921">
        <v>175</v>
      </c>
      <c r="B187" s="2922" t="s">
        <v>5049</v>
      </c>
      <c r="C187" s="952" t="s">
        <v>3050</v>
      </c>
      <c r="D187" s="2923"/>
      <c r="E187" s="2652">
        <v>11.74</v>
      </c>
    </row>
    <row r="188" spans="1:5">
      <c r="A188" s="2921">
        <v>176</v>
      </c>
      <c r="B188" s="2922" t="s">
        <v>5050</v>
      </c>
      <c r="C188" s="952" t="s">
        <v>3051</v>
      </c>
      <c r="D188" s="2923"/>
      <c r="E188" s="2652">
        <v>320.42</v>
      </c>
    </row>
    <row r="189" spans="1:5">
      <c r="A189" s="2921">
        <v>177</v>
      </c>
      <c r="B189" s="2922" t="s">
        <v>5051</v>
      </c>
      <c r="C189" s="952" t="s">
        <v>3052</v>
      </c>
      <c r="D189" s="2923"/>
      <c r="E189" s="2652">
        <v>960.52</v>
      </c>
    </row>
    <row r="190" spans="1:5">
      <c r="A190" s="2921">
        <v>178</v>
      </c>
      <c r="B190" s="2922" t="s">
        <v>5052</v>
      </c>
      <c r="C190" s="952" t="s">
        <v>3053</v>
      </c>
      <c r="D190" s="2923"/>
      <c r="E190" s="2652">
        <v>1580.69</v>
      </c>
    </row>
    <row r="191" spans="1:5">
      <c r="A191" s="2921">
        <v>179</v>
      </c>
      <c r="B191" s="2922" t="s">
        <v>5053</v>
      </c>
      <c r="C191" s="952" t="s">
        <v>5054</v>
      </c>
      <c r="D191" s="2923"/>
      <c r="E191" s="2652">
        <v>126.26</v>
      </c>
    </row>
    <row r="192" spans="1:5">
      <c r="A192" s="2921">
        <v>180</v>
      </c>
      <c r="B192" s="2922" t="s">
        <v>5055</v>
      </c>
      <c r="C192" s="952" t="s">
        <v>5056</v>
      </c>
      <c r="D192" s="2923"/>
      <c r="E192" s="2652">
        <v>150.56</v>
      </c>
    </row>
    <row r="193" spans="1:5">
      <c r="A193" s="2921">
        <v>181</v>
      </c>
      <c r="B193" s="2922" t="s">
        <v>5057</v>
      </c>
      <c r="C193" s="952" t="s">
        <v>5058</v>
      </c>
      <c r="D193" s="2923"/>
      <c r="E193" s="2652">
        <v>5.71</v>
      </c>
    </row>
    <row r="194" spans="1:5">
      <c r="A194" s="2921">
        <v>182</v>
      </c>
      <c r="B194" s="2922" t="s">
        <v>5059</v>
      </c>
      <c r="C194" s="952" t="s">
        <v>5060</v>
      </c>
      <c r="D194" s="2923"/>
      <c r="E194" s="2652">
        <v>101.01</v>
      </c>
    </row>
    <row r="195" spans="1:5">
      <c r="A195" s="2921">
        <v>183</v>
      </c>
      <c r="B195" s="2922" t="s">
        <v>5061</v>
      </c>
      <c r="C195" s="952" t="s">
        <v>5062</v>
      </c>
      <c r="D195" s="2923"/>
      <c r="E195" s="2652">
        <v>151.13999999999999</v>
      </c>
    </row>
    <row r="196" spans="1:5">
      <c r="A196" s="2921">
        <v>184</v>
      </c>
      <c r="B196" s="2922" t="s">
        <v>5063</v>
      </c>
      <c r="C196" s="952" t="s">
        <v>5064</v>
      </c>
      <c r="D196" s="2923"/>
      <c r="E196" s="2652">
        <v>901.98</v>
      </c>
    </row>
    <row r="197" spans="1:5">
      <c r="A197" s="2921">
        <v>185</v>
      </c>
      <c r="B197" s="2922" t="s">
        <v>5065</v>
      </c>
      <c r="C197" s="952" t="s">
        <v>5066</v>
      </c>
      <c r="D197" s="2923"/>
      <c r="E197" s="2652">
        <v>-660.35</v>
      </c>
    </row>
    <row r="198" spans="1:5">
      <c r="A198" s="2921">
        <v>186</v>
      </c>
      <c r="B198" s="2922" t="s">
        <v>5067</v>
      </c>
      <c r="C198" s="952" t="s">
        <v>5068</v>
      </c>
      <c r="D198" s="2923"/>
      <c r="E198" s="2652">
        <v>355.34</v>
      </c>
    </row>
    <row r="199" spans="1:5">
      <c r="A199" s="2921">
        <v>187</v>
      </c>
      <c r="B199" s="2922" t="s">
        <v>5069</v>
      </c>
      <c r="C199" s="952" t="s">
        <v>5070</v>
      </c>
      <c r="D199" s="2923"/>
      <c r="E199" s="2652">
        <v>8</v>
      </c>
    </row>
    <row r="200" spans="1:5">
      <c r="A200" s="2921">
        <v>188</v>
      </c>
      <c r="B200" s="2922" t="s">
        <v>4841</v>
      </c>
      <c r="C200" s="952" t="s">
        <v>5071</v>
      </c>
      <c r="D200" s="2923"/>
      <c r="E200" s="2652">
        <v>-19073.14</v>
      </c>
    </row>
    <row r="201" spans="1:5">
      <c r="A201" s="635">
        <f>+A200+1</f>
        <v>189</v>
      </c>
      <c r="B201" s="2922" t="s">
        <v>4842</v>
      </c>
      <c r="C201" s="952" t="s">
        <v>5072</v>
      </c>
      <c r="D201" s="2923"/>
      <c r="E201" s="2652">
        <v>-40014.54</v>
      </c>
    </row>
    <row r="202" spans="1:5">
      <c r="A202" s="635">
        <f t="shared" ref="A202:A265" si="0">+A201+1</f>
        <v>190</v>
      </c>
      <c r="B202" s="2922" t="s">
        <v>5073</v>
      </c>
      <c r="C202" s="952" t="s">
        <v>5074</v>
      </c>
      <c r="D202" s="2923"/>
      <c r="E202" s="2652">
        <v>-21.22</v>
      </c>
    </row>
    <row r="203" spans="1:5">
      <c r="A203" s="635">
        <f t="shared" si="0"/>
        <v>191</v>
      </c>
      <c r="B203" s="2922" t="s">
        <v>5075</v>
      </c>
      <c r="C203" s="952" t="s">
        <v>5076</v>
      </c>
      <c r="D203" s="2923"/>
      <c r="E203" s="2652">
        <v>-5590.92</v>
      </c>
    </row>
    <row r="204" spans="1:5">
      <c r="A204" s="635">
        <f t="shared" si="0"/>
        <v>192</v>
      </c>
      <c r="B204" s="2922" t="s">
        <v>4843</v>
      </c>
      <c r="C204" s="952" t="s">
        <v>5077</v>
      </c>
      <c r="D204" s="2923"/>
      <c r="E204" s="2652">
        <v>-11535.88</v>
      </c>
    </row>
    <row r="205" spans="1:5">
      <c r="A205" s="635">
        <f t="shared" si="0"/>
        <v>193</v>
      </c>
      <c r="B205" s="2922" t="s">
        <v>4844</v>
      </c>
      <c r="C205" s="952" t="s">
        <v>5078</v>
      </c>
      <c r="D205" s="2923"/>
      <c r="E205" s="2652">
        <v>-5131.92</v>
      </c>
    </row>
    <row r="206" spans="1:5">
      <c r="A206" s="635">
        <f t="shared" si="0"/>
        <v>194</v>
      </c>
      <c r="B206" s="2922" t="s">
        <v>4845</v>
      </c>
      <c r="C206" s="952" t="s">
        <v>5079</v>
      </c>
      <c r="D206" s="2923"/>
      <c r="E206" s="2652">
        <v>142.01</v>
      </c>
    </row>
    <row r="207" spans="1:5">
      <c r="A207" s="635">
        <f t="shared" si="0"/>
        <v>195</v>
      </c>
      <c r="B207" s="2922" t="s">
        <v>4846</v>
      </c>
      <c r="C207" s="952" t="s">
        <v>5080</v>
      </c>
      <c r="D207" s="2923"/>
      <c r="E207" s="2652">
        <v>-3002.6</v>
      </c>
    </row>
    <row r="208" spans="1:5" ht="16.5" customHeight="1">
      <c r="A208" s="635">
        <f t="shared" si="0"/>
        <v>196</v>
      </c>
      <c r="B208" s="2922" t="s">
        <v>4847</v>
      </c>
      <c r="C208" s="952" t="s">
        <v>5081</v>
      </c>
      <c r="D208" s="2923"/>
      <c r="E208" s="2652">
        <v>-1735.49</v>
      </c>
    </row>
    <row r="209" spans="1:5">
      <c r="A209" s="635">
        <f t="shared" si="0"/>
        <v>197</v>
      </c>
      <c r="B209" s="2922" t="s">
        <v>5082</v>
      </c>
      <c r="C209" s="952" t="s">
        <v>5083</v>
      </c>
      <c r="D209" s="2923"/>
      <c r="E209" s="2652">
        <v>-1981.47</v>
      </c>
    </row>
    <row r="210" spans="1:5">
      <c r="A210" s="635">
        <f t="shared" si="0"/>
        <v>198</v>
      </c>
      <c r="B210" s="2922" t="s">
        <v>5084</v>
      </c>
      <c r="C210" s="952" t="s">
        <v>5085</v>
      </c>
      <c r="D210" s="2923"/>
      <c r="E210" s="2652">
        <v>-97.56</v>
      </c>
    </row>
    <row r="211" spans="1:5">
      <c r="A211" s="635">
        <f t="shared" si="0"/>
        <v>199</v>
      </c>
      <c r="B211" s="2922" t="s">
        <v>4848</v>
      </c>
      <c r="C211" s="952" t="s">
        <v>5086</v>
      </c>
      <c r="D211" s="2923"/>
      <c r="E211" s="2652">
        <v>-1475.62</v>
      </c>
    </row>
    <row r="212" spans="1:5">
      <c r="A212" s="635">
        <f t="shared" si="0"/>
        <v>200</v>
      </c>
      <c r="B212" s="2922" t="s">
        <v>5087</v>
      </c>
      <c r="C212" s="952" t="s">
        <v>5088</v>
      </c>
      <c r="D212" s="2923"/>
      <c r="E212" s="2652">
        <v>-59.9</v>
      </c>
    </row>
    <row r="213" spans="1:5">
      <c r="A213" s="635">
        <f t="shared" si="0"/>
        <v>201</v>
      </c>
      <c r="B213" s="2922" t="s">
        <v>5089</v>
      </c>
      <c r="C213" s="952" t="s">
        <v>5090</v>
      </c>
      <c r="D213" s="2923"/>
      <c r="E213" s="2652">
        <v>-5217.0200000000004</v>
      </c>
    </row>
    <row r="214" spans="1:5">
      <c r="A214" s="635">
        <f t="shared" si="0"/>
        <v>202</v>
      </c>
      <c r="B214" s="2922" t="s">
        <v>4849</v>
      </c>
      <c r="C214" s="952" t="s">
        <v>5091</v>
      </c>
      <c r="D214" s="2923"/>
      <c r="E214" s="2652">
        <v>-147.94999999999999</v>
      </c>
    </row>
    <row r="215" spans="1:5">
      <c r="A215" s="635">
        <f t="shared" si="0"/>
        <v>203</v>
      </c>
      <c r="B215" s="2922" t="s">
        <v>5092</v>
      </c>
      <c r="C215" s="952" t="s">
        <v>5093</v>
      </c>
      <c r="D215" s="2923"/>
      <c r="E215" s="2652">
        <v>-3137.74</v>
      </c>
    </row>
    <row r="216" spans="1:5">
      <c r="A216" s="635">
        <f t="shared" si="0"/>
        <v>204</v>
      </c>
      <c r="B216" s="2922" t="s">
        <v>4850</v>
      </c>
      <c r="C216" s="952" t="s">
        <v>5094</v>
      </c>
      <c r="D216" s="2923"/>
      <c r="E216" s="2652">
        <v>-280.81</v>
      </c>
    </row>
    <row r="217" spans="1:5">
      <c r="A217" s="635">
        <f t="shared" si="0"/>
        <v>205</v>
      </c>
      <c r="B217" s="2922" t="s">
        <v>5095</v>
      </c>
      <c r="C217" s="952" t="s">
        <v>5096</v>
      </c>
      <c r="D217" s="2923"/>
      <c r="E217" s="2652">
        <v>-367.44</v>
      </c>
    </row>
    <row r="218" spans="1:5">
      <c r="A218" s="635">
        <f t="shared" si="0"/>
        <v>206</v>
      </c>
      <c r="B218" s="2922" t="s">
        <v>5097</v>
      </c>
      <c r="C218" s="952" t="s">
        <v>5098</v>
      </c>
      <c r="D218" s="2923"/>
      <c r="E218" s="2652">
        <v>442766.16</v>
      </c>
    </row>
    <row r="219" spans="1:5">
      <c r="A219" s="635">
        <f t="shared" si="0"/>
        <v>207</v>
      </c>
      <c r="B219" s="2922" t="s">
        <v>5099</v>
      </c>
      <c r="C219" s="952" t="s">
        <v>5100</v>
      </c>
      <c r="D219" s="2923"/>
      <c r="E219" s="2652">
        <v>5617.37</v>
      </c>
    </row>
    <row r="220" spans="1:5">
      <c r="A220" s="635">
        <f t="shared" si="0"/>
        <v>208</v>
      </c>
      <c r="B220" s="2922" t="s">
        <v>4851</v>
      </c>
      <c r="C220" s="952" t="s">
        <v>5101</v>
      </c>
      <c r="D220" s="2923"/>
      <c r="E220" s="2652">
        <v>25045.49</v>
      </c>
    </row>
    <row r="221" spans="1:5">
      <c r="A221" s="635">
        <f t="shared" si="0"/>
        <v>209</v>
      </c>
      <c r="B221" s="2922" t="s">
        <v>4852</v>
      </c>
      <c r="C221" s="952" t="s">
        <v>4853</v>
      </c>
      <c r="D221" s="2923"/>
      <c r="E221" s="2652">
        <v>70107.679999999993</v>
      </c>
    </row>
    <row r="222" spans="1:5">
      <c r="A222" s="635">
        <f t="shared" si="0"/>
        <v>210</v>
      </c>
      <c r="B222" s="2922" t="s">
        <v>5102</v>
      </c>
      <c r="C222" s="952" t="s">
        <v>5103</v>
      </c>
      <c r="D222" s="2923"/>
      <c r="E222" s="2652">
        <v>53.49</v>
      </c>
    </row>
    <row r="223" spans="1:5">
      <c r="A223" s="635">
        <f t="shared" si="0"/>
        <v>211</v>
      </c>
      <c r="B223" s="2922" t="s">
        <v>5104</v>
      </c>
      <c r="C223" s="952" t="s">
        <v>5105</v>
      </c>
      <c r="D223" s="2923"/>
      <c r="E223" s="2652">
        <v>20749.89</v>
      </c>
    </row>
    <row r="224" spans="1:5">
      <c r="A224" s="635">
        <f t="shared" si="0"/>
        <v>212</v>
      </c>
      <c r="B224" s="2922" t="s">
        <v>4854</v>
      </c>
      <c r="C224" s="952" t="s">
        <v>5106</v>
      </c>
      <c r="D224" s="2923"/>
      <c r="E224" s="2652">
        <v>163281.87</v>
      </c>
    </row>
    <row r="225" spans="1:5">
      <c r="A225" s="635">
        <f t="shared" si="0"/>
        <v>213</v>
      </c>
      <c r="B225" s="2922" t="s">
        <v>4855</v>
      </c>
      <c r="C225" s="952" t="s">
        <v>4856</v>
      </c>
      <c r="D225" s="2923"/>
      <c r="E225" s="2652">
        <v>47243.82</v>
      </c>
    </row>
    <row r="226" spans="1:5">
      <c r="A226" s="635">
        <f t="shared" si="0"/>
        <v>214</v>
      </c>
      <c r="B226" s="2922" t="s">
        <v>5107</v>
      </c>
      <c r="C226" s="952" t="s">
        <v>5108</v>
      </c>
      <c r="D226" s="2923"/>
      <c r="E226" s="2652">
        <v>100170.07</v>
      </c>
    </row>
    <row r="227" spans="1:5">
      <c r="A227" s="635">
        <f t="shared" si="0"/>
        <v>215</v>
      </c>
      <c r="B227" s="2922" t="s">
        <v>4857</v>
      </c>
      <c r="C227" s="952" t="s">
        <v>5109</v>
      </c>
      <c r="D227" s="2923"/>
      <c r="E227" s="2652">
        <v>0.54</v>
      </c>
    </row>
    <row r="228" spans="1:5">
      <c r="A228" s="635">
        <f t="shared" si="0"/>
        <v>216</v>
      </c>
      <c r="B228" s="2922" t="s">
        <v>4858</v>
      </c>
      <c r="C228" s="952" t="s">
        <v>5110</v>
      </c>
      <c r="D228" s="2923"/>
      <c r="E228" s="2652">
        <v>260094.14</v>
      </c>
    </row>
    <row r="229" spans="1:5">
      <c r="A229" s="635">
        <f t="shared" si="0"/>
        <v>217</v>
      </c>
      <c r="B229" s="2922" t="s">
        <v>4859</v>
      </c>
      <c r="C229" s="952" t="s">
        <v>5111</v>
      </c>
      <c r="D229" s="2923"/>
      <c r="E229" s="2652">
        <v>440150.13</v>
      </c>
    </row>
    <row r="230" spans="1:5">
      <c r="A230" s="635">
        <f t="shared" si="0"/>
        <v>218</v>
      </c>
      <c r="B230" s="2922" t="s">
        <v>4860</v>
      </c>
      <c r="C230" s="952" t="s">
        <v>4861</v>
      </c>
      <c r="D230" s="2923"/>
      <c r="E230" s="2652">
        <v>47739.37</v>
      </c>
    </row>
    <row r="231" spans="1:5">
      <c r="A231" s="635">
        <f t="shared" si="0"/>
        <v>219</v>
      </c>
      <c r="B231" s="2922" t="s">
        <v>5112</v>
      </c>
      <c r="C231" s="952" t="s">
        <v>5113</v>
      </c>
      <c r="D231" s="2923"/>
      <c r="E231" s="2652">
        <v>61615.37</v>
      </c>
    </row>
    <row r="232" spans="1:5">
      <c r="A232" s="635">
        <f t="shared" si="0"/>
        <v>220</v>
      </c>
      <c r="B232" s="2922" t="s">
        <v>5114</v>
      </c>
      <c r="C232" s="952" t="s">
        <v>5115</v>
      </c>
      <c r="D232" s="2923"/>
      <c r="E232" s="2652">
        <v>26.49</v>
      </c>
    </row>
    <row r="233" spans="1:5">
      <c r="A233" s="635">
        <f t="shared" si="0"/>
        <v>221</v>
      </c>
      <c r="B233" s="2922" t="s">
        <v>5116</v>
      </c>
      <c r="C233" s="952" t="s">
        <v>5117</v>
      </c>
      <c r="D233" s="2923"/>
      <c r="E233" s="2652">
        <v>504.44</v>
      </c>
    </row>
    <row r="234" spans="1:5">
      <c r="A234" s="635">
        <f t="shared" si="0"/>
        <v>222</v>
      </c>
      <c r="B234" s="2922" t="s">
        <v>5118</v>
      </c>
      <c r="C234" s="952" t="s">
        <v>5119</v>
      </c>
      <c r="D234" s="2923"/>
      <c r="E234" s="2652">
        <v>7920.29</v>
      </c>
    </row>
    <row r="235" spans="1:5">
      <c r="A235" s="635">
        <f t="shared" si="0"/>
        <v>223</v>
      </c>
      <c r="B235" s="2922" t="s">
        <v>5120</v>
      </c>
      <c r="C235" s="952" t="s">
        <v>5121</v>
      </c>
      <c r="D235" s="2923"/>
      <c r="E235" s="2652">
        <v>11892.07</v>
      </c>
    </row>
    <row r="236" spans="1:5">
      <c r="A236" s="635">
        <f t="shared" si="0"/>
        <v>224</v>
      </c>
      <c r="B236" s="2922" t="s">
        <v>5122</v>
      </c>
      <c r="C236" s="952" t="s">
        <v>5123</v>
      </c>
      <c r="D236" s="2923"/>
      <c r="E236" s="2652">
        <v>6380.67</v>
      </c>
    </row>
    <row r="237" spans="1:5">
      <c r="A237" s="635">
        <f t="shared" si="0"/>
        <v>225</v>
      </c>
      <c r="B237" s="2922" t="s">
        <v>5124</v>
      </c>
      <c r="C237" s="952" t="s">
        <v>5125</v>
      </c>
      <c r="D237" s="2923"/>
      <c r="E237" s="2652">
        <v>3241.46</v>
      </c>
    </row>
    <row r="238" spans="1:5">
      <c r="A238" s="635">
        <f t="shared" si="0"/>
        <v>226</v>
      </c>
      <c r="B238" s="2922" t="s">
        <v>5126</v>
      </c>
      <c r="C238" s="952" t="s">
        <v>5127</v>
      </c>
      <c r="D238" s="2923"/>
      <c r="E238" s="2652">
        <v>14275.39</v>
      </c>
    </row>
    <row r="239" spans="1:5">
      <c r="A239" s="635">
        <f t="shared" si="0"/>
        <v>227</v>
      </c>
      <c r="B239" s="2922" t="s">
        <v>5128</v>
      </c>
      <c r="C239" s="952" t="s">
        <v>5129</v>
      </c>
      <c r="D239" s="2923"/>
      <c r="E239" s="2652">
        <v>1271.27</v>
      </c>
    </row>
    <row r="240" spans="1:5">
      <c r="A240" s="635">
        <f t="shared" si="0"/>
        <v>228</v>
      </c>
      <c r="B240" s="2922" t="s">
        <v>5130</v>
      </c>
      <c r="C240" s="952" t="s">
        <v>5131</v>
      </c>
      <c r="D240" s="2923"/>
      <c r="E240" s="2652">
        <v>10123.89</v>
      </c>
    </row>
    <row r="241" spans="1:5">
      <c r="A241" s="635">
        <f t="shared" si="0"/>
        <v>229</v>
      </c>
      <c r="B241" s="2922" t="s">
        <v>5132</v>
      </c>
      <c r="C241" s="952" t="s">
        <v>5133</v>
      </c>
      <c r="D241" s="2923"/>
      <c r="E241" s="2652">
        <v>1356.26</v>
      </c>
    </row>
    <row r="242" spans="1:5">
      <c r="A242" s="635">
        <f t="shared" si="0"/>
        <v>230</v>
      </c>
      <c r="B242" s="2922" t="s">
        <v>4862</v>
      </c>
      <c r="C242" s="952" t="s">
        <v>4863</v>
      </c>
      <c r="D242" s="2923"/>
      <c r="E242" s="2652">
        <v>20806.52</v>
      </c>
    </row>
    <row r="243" spans="1:5">
      <c r="A243" s="635">
        <f t="shared" si="0"/>
        <v>231</v>
      </c>
      <c r="B243" s="2922" t="s">
        <v>4864</v>
      </c>
      <c r="C243" s="952" t="s">
        <v>4865</v>
      </c>
      <c r="D243" s="2923"/>
      <c r="E243" s="2652">
        <v>16023.97</v>
      </c>
    </row>
    <row r="244" spans="1:5">
      <c r="A244" s="635">
        <f t="shared" si="0"/>
        <v>232</v>
      </c>
      <c r="B244" s="2922" t="s">
        <v>4866</v>
      </c>
      <c r="C244" s="952" t="s">
        <v>1691</v>
      </c>
      <c r="D244" s="2923"/>
      <c r="E244" s="2652">
        <v>7.0000000000000007E-2</v>
      </c>
    </row>
    <row r="245" spans="1:5">
      <c r="A245" s="635">
        <f t="shared" si="0"/>
        <v>233</v>
      </c>
      <c r="B245" s="2922" t="s">
        <v>5134</v>
      </c>
      <c r="C245" s="952" t="s">
        <v>5135</v>
      </c>
      <c r="D245" s="2923"/>
      <c r="E245" s="2652">
        <v>5836.48</v>
      </c>
    </row>
    <row r="246" spans="1:5">
      <c r="A246" s="635">
        <f t="shared" si="0"/>
        <v>234</v>
      </c>
      <c r="B246" s="2922" t="s">
        <v>4867</v>
      </c>
      <c r="C246" s="952" t="s">
        <v>5136</v>
      </c>
      <c r="D246" s="2923"/>
      <c r="E246" s="2652">
        <v>119291.96</v>
      </c>
    </row>
    <row r="247" spans="1:5">
      <c r="A247" s="635">
        <f t="shared" si="0"/>
        <v>235</v>
      </c>
      <c r="B247" s="2922" t="s">
        <v>4868</v>
      </c>
      <c r="C247" s="952" t="s">
        <v>4869</v>
      </c>
      <c r="D247" s="2923"/>
      <c r="E247" s="2652">
        <v>1258.57</v>
      </c>
    </row>
    <row r="248" spans="1:5">
      <c r="A248" s="635">
        <f t="shared" si="0"/>
        <v>236</v>
      </c>
      <c r="B248" s="2922" t="s">
        <v>4870</v>
      </c>
      <c r="C248" s="952" t="s">
        <v>4871</v>
      </c>
      <c r="D248" s="2923"/>
      <c r="E248" s="2652">
        <v>61956.32</v>
      </c>
    </row>
    <row r="249" spans="1:5">
      <c r="A249" s="635">
        <f t="shared" si="0"/>
        <v>237</v>
      </c>
      <c r="B249" s="2922" t="s">
        <v>4872</v>
      </c>
      <c r="C249" s="952" t="s">
        <v>4873</v>
      </c>
      <c r="D249" s="2923"/>
      <c r="E249" s="2652">
        <v>82178.820000000007</v>
      </c>
    </row>
    <row r="250" spans="1:5">
      <c r="A250" s="635">
        <f t="shared" si="0"/>
        <v>238</v>
      </c>
      <c r="B250" s="2922" t="s">
        <v>4874</v>
      </c>
      <c r="C250" s="952" t="s">
        <v>4466</v>
      </c>
      <c r="D250" s="2923"/>
      <c r="E250" s="2652">
        <v>113859.54</v>
      </c>
    </row>
    <row r="251" spans="1:5">
      <c r="A251" s="635">
        <f t="shared" si="0"/>
        <v>239</v>
      </c>
      <c r="B251" s="2922" t="s">
        <v>4875</v>
      </c>
      <c r="C251" s="952" t="s">
        <v>4876</v>
      </c>
      <c r="D251" s="2923"/>
      <c r="E251" s="2652">
        <v>5853.57</v>
      </c>
    </row>
    <row r="252" spans="1:5">
      <c r="A252" s="635">
        <f t="shared" si="0"/>
        <v>240</v>
      </c>
      <c r="B252" s="2922" t="s">
        <v>4877</v>
      </c>
      <c r="C252" s="952" t="s">
        <v>4467</v>
      </c>
      <c r="D252" s="2923"/>
      <c r="E252" s="2652">
        <v>5030.41</v>
      </c>
    </row>
    <row r="253" spans="1:5">
      <c r="A253" s="635">
        <f t="shared" si="0"/>
        <v>241</v>
      </c>
      <c r="B253" s="2922" t="s">
        <v>4878</v>
      </c>
      <c r="C253" s="952" t="s">
        <v>4468</v>
      </c>
      <c r="D253" s="2923"/>
      <c r="E253" s="2652">
        <v>2117.92</v>
      </c>
    </row>
    <row r="254" spans="1:5">
      <c r="A254" s="635">
        <f t="shared" si="0"/>
        <v>242</v>
      </c>
      <c r="B254" s="2922" t="s">
        <v>4879</v>
      </c>
      <c r="C254" s="952" t="s">
        <v>4880</v>
      </c>
      <c r="D254" s="2923"/>
      <c r="E254" s="2652">
        <v>87879.32</v>
      </c>
    </row>
    <row r="255" spans="1:5">
      <c r="A255" s="635">
        <f t="shared" si="0"/>
        <v>243</v>
      </c>
      <c r="B255" s="2922" t="s">
        <v>4881</v>
      </c>
      <c r="C255" s="952" t="s">
        <v>4882</v>
      </c>
      <c r="D255" s="2923"/>
      <c r="E255" s="2652">
        <v>9727.19</v>
      </c>
    </row>
    <row r="256" spans="1:5">
      <c r="A256" s="635">
        <f t="shared" si="0"/>
        <v>244</v>
      </c>
      <c r="B256" s="2922" t="s">
        <v>4883</v>
      </c>
      <c r="C256" s="952" t="s">
        <v>4884</v>
      </c>
      <c r="D256" s="2923"/>
      <c r="E256" s="2652">
        <v>33413.69</v>
      </c>
    </row>
    <row r="257" spans="1:5">
      <c r="A257" s="635">
        <f t="shared" si="0"/>
        <v>245</v>
      </c>
      <c r="B257" s="2922" t="s">
        <v>4885</v>
      </c>
      <c r="C257" s="952" t="s">
        <v>4886</v>
      </c>
      <c r="D257" s="2923"/>
      <c r="E257" s="2652">
        <v>16.72</v>
      </c>
    </row>
    <row r="258" spans="1:5">
      <c r="A258" s="635">
        <f t="shared" si="0"/>
        <v>246</v>
      </c>
      <c r="B258" s="2922" t="s">
        <v>5137</v>
      </c>
      <c r="C258" s="952" t="s">
        <v>5138</v>
      </c>
      <c r="D258" s="2923"/>
      <c r="E258" s="2652">
        <v>30983.953416132994</v>
      </c>
    </row>
    <row r="259" spans="1:5">
      <c r="A259" s="635">
        <f t="shared" si="0"/>
        <v>247</v>
      </c>
      <c r="B259" s="2922" t="s">
        <v>5139</v>
      </c>
      <c r="C259" s="952" t="s">
        <v>5140</v>
      </c>
      <c r="D259" s="2923"/>
      <c r="E259" s="2652">
        <v>6892.7188315867779</v>
      </c>
    </row>
    <row r="260" spans="1:5">
      <c r="A260" s="635">
        <f t="shared" si="0"/>
        <v>248</v>
      </c>
      <c r="B260" s="2922" t="s">
        <v>5141</v>
      </c>
      <c r="C260" s="952" t="s">
        <v>5142</v>
      </c>
      <c r="D260" s="2923"/>
      <c r="E260" s="2652">
        <v>1499.8942949091145</v>
      </c>
    </row>
    <row r="261" spans="1:5">
      <c r="A261" s="635">
        <f t="shared" si="0"/>
        <v>249</v>
      </c>
      <c r="B261" s="2922" t="s">
        <v>5143</v>
      </c>
      <c r="C261" s="952" t="s">
        <v>5144</v>
      </c>
      <c r="D261" s="2923"/>
      <c r="E261" s="2652">
        <v>19591.117272139207</v>
      </c>
    </row>
    <row r="262" spans="1:5">
      <c r="A262" s="635">
        <f t="shared" si="0"/>
        <v>250</v>
      </c>
      <c r="B262" s="2922" t="s">
        <v>5145</v>
      </c>
      <c r="C262" s="952" t="s">
        <v>5146</v>
      </c>
      <c r="D262" s="2923"/>
      <c r="E262" s="2652">
        <v>879.29947684196907</v>
      </c>
    </row>
    <row r="263" spans="1:5">
      <c r="A263" s="635">
        <f t="shared" si="0"/>
        <v>251</v>
      </c>
      <c r="B263" s="2922" t="s">
        <v>5147</v>
      </c>
      <c r="C263" s="952" t="s">
        <v>5148</v>
      </c>
      <c r="D263" s="2923"/>
      <c r="E263" s="2652">
        <v>330.36142166375572</v>
      </c>
    </row>
    <row r="264" spans="1:5">
      <c r="A264" s="635">
        <f t="shared" si="0"/>
        <v>252</v>
      </c>
      <c r="B264" s="2922" t="s">
        <v>5149</v>
      </c>
      <c r="C264" s="952" t="s">
        <v>5150</v>
      </c>
      <c r="D264" s="2923"/>
      <c r="E264" s="2652">
        <v>500.99628274791382</v>
      </c>
    </row>
    <row r="265" spans="1:5">
      <c r="A265" s="635">
        <f t="shared" si="0"/>
        <v>253</v>
      </c>
      <c r="B265" s="2922" t="s">
        <v>5151</v>
      </c>
      <c r="C265" s="952" t="s">
        <v>5152</v>
      </c>
      <c r="D265" s="2923"/>
      <c r="E265" s="2652">
        <v>16267.846690762661</v>
      </c>
    </row>
    <row r="266" spans="1:5">
      <c r="A266" s="635">
        <f t="shared" ref="A266:A269" si="1">+A265+1</f>
        <v>254</v>
      </c>
      <c r="B266" s="2922" t="s">
        <v>5153</v>
      </c>
      <c r="C266" s="952" t="s">
        <v>5154</v>
      </c>
      <c r="D266" s="2923"/>
      <c r="E266" s="2652">
        <v>959.05563797787693</v>
      </c>
    </row>
    <row r="267" spans="1:5">
      <c r="A267" s="635">
        <f t="shared" si="1"/>
        <v>255</v>
      </c>
      <c r="B267" s="2922" t="s">
        <v>5155</v>
      </c>
      <c r="C267" s="952" t="s">
        <v>5156</v>
      </c>
      <c r="D267" s="2923"/>
      <c r="E267" s="2652">
        <v>853.46590756193802</v>
      </c>
    </row>
    <row r="268" spans="1:5">
      <c r="A268" s="635">
        <f t="shared" si="1"/>
        <v>256</v>
      </c>
      <c r="B268" s="2922" t="s">
        <v>5157</v>
      </c>
      <c r="C268" s="952" t="s">
        <v>5158</v>
      </c>
      <c r="D268" s="2923"/>
      <c r="E268" s="2652">
        <v>1976.6875999417814</v>
      </c>
    </row>
    <row r="269" spans="1:5">
      <c r="A269" s="635">
        <f t="shared" si="1"/>
        <v>257</v>
      </c>
      <c r="B269" s="2922"/>
      <c r="C269" s="952"/>
      <c r="D269" s="2923"/>
      <c r="E269" s="2652"/>
    </row>
    <row r="270" spans="1:5">
      <c r="A270" s="240"/>
      <c r="B270" s="2922"/>
      <c r="C270" s="952"/>
      <c r="D270" s="2923"/>
      <c r="E270" s="237"/>
    </row>
    <row r="271" spans="1:5" ht="15.75" thickBot="1">
      <c r="A271" s="2924"/>
      <c r="B271" s="2925" t="s">
        <v>1135</v>
      </c>
      <c r="C271" s="2926"/>
      <c r="D271" s="2927"/>
      <c r="E271" s="2928">
        <f>SUM(E13:E270)</f>
        <v>8468232.5468322691</v>
      </c>
    </row>
    <row r="272" spans="1:5">
      <c r="A272" t="s">
        <v>4066</v>
      </c>
      <c r="E272" s="2650"/>
    </row>
    <row r="273" spans="1:5">
      <c r="A273" s="131" t="s">
        <v>4205</v>
      </c>
      <c r="B273" s="128"/>
      <c r="C273" s="128"/>
      <c r="E273" s="1850"/>
    </row>
    <row r="277" spans="1:5">
      <c r="A277" s="131"/>
      <c r="B277" s="128"/>
      <c r="C277" s="128"/>
    </row>
  </sheetData>
  <customSheetViews>
    <customSheetView guid="{1BA452AD-1A45-4D9C-9666-ADFFA6F2F567}" colorId="22" topLeftCell="A298">
      <selection activeCell="D316" sqref="D315:D316"/>
      <pageMargins left="0.9" right="0.4" top="0.3" bottom="1" header="0.5" footer="0.5"/>
      <pageSetup scale="82" fitToHeight="2" orientation="portrait" r:id="rId1"/>
      <headerFooter alignWithMargins="0">
        <oddFooter>&amp;C206 Page &amp;P of &amp;N</oddFooter>
      </headerFooter>
    </customSheetView>
    <customSheetView guid="{EEF7ABD6-0F96-4791-B749-C06F707E7673}" scale="60" colorId="22" showPageBreaks="1" printArea="1" view="pageBreakPreview" showRuler="0">
      <selection activeCell="C13" sqref="C13:C151"/>
      <rowBreaks count="2" manualBreakCount="2">
        <brk id="102" max="4" man="1"/>
        <brk id="195" max="4" man="1"/>
      </rowBreaks>
      <pageMargins left="0.9" right="0.4" top="0.3" bottom="0.3" header="0.5" footer="0.5"/>
      <pageSetup scale="48" fitToHeight="2" orientation="portrait" r:id="rId2"/>
      <headerFooter alignWithMargins="0"/>
    </customSheetView>
    <customSheetView guid="{A7D7DB3C-AFE6-468E-8C6B-9531F6711497}" scale="60" colorId="22" showPageBreaks="1" fitToPage="1" printArea="1" view="pageBreakPreview" showRuler="0" topLeftCell="A127">
      <selection activeCell="E178" sqref="E178"/>
      <pageMargins left="0.9" right="0.4" top="0.3" bottom="0.3" header="0.5" footer="0.5"/>
      <pageSetup scale="27" orientation="portrait" r:id="rId3"/>
      <headerFooter alignWithMargins="0"/>
    </customSheetView>
    <customSheetView guid="{4436FEB5-BFEC-4348-9286-CB706802873E}" scale="60" colorId="22" showPageBreaks="1" fitToPage="1" printArea="1" view="pageBreakPreview" showRuler="0" topLeftCell="A127">
      <selection activeCell="E178" sqref="E178"/>
      <pageMargins left="0.9" right="0.4" top="0.3" bottom="0.3" header="0.5" footer="0.5"/>
      <pageSetup scale="27" orientation="portrait" r:id="rId4"/>
      <headerFooter alignWithMargins="0"/>
    </customSheetView>
    <customSheetView guid="{044CF00C-469F-44B3-B2C4-9B4049CE70CB}" scale="87" colorId="22" fitToPage="1" showRuler="0">
      <selection activeCell="A2" sqref="A2"/>
      <pageMargins left="0.9" right="0.4" top="0.3" bottom="0.3" header="0.5" footer="0.5"/>
      <pageSetup scale="79" orientation="portrait" r:id="rId5"/>
      <headerFooter alignWithMargins="0"/>
    </customSheetView>
    <customSheetView guid="{4826FCC0-BDD6-4B2C-ACC6-ACE271DDF0E3}" scale="60" colorId="22" showPageBreaks="1" printArea="1" view="pageBreakPreview" showRuler="0">
      <selection activeCell="C13" sqref="C13:C151"/>
      <rowBreaks count="2" manualBreakCount="2">
        <brk id="102" max="4" man="1"/>
        <brk id="195" max="4" man="1"/>
      </rowBreaks>
      <pageMargins left="0.9" right="0.4" top="0.3" bottom="0.3" header="0.5" footer="0.5"/>
      <pageSetup scale="48" fitToHeight="2" orientation="portrait" r:id="rId6"/>
      <headerFooter alignWithMargins="0"/>
    </customSheetView>
    <customSheetView guid="{EF376D10-23D6-4FE2-AB5B-4460D52CC93F}" scale="60" colorId="22" showPageBreaks="1" printArea="1" view="pageBreakPreview" showRuler="0">
      <selection activeCell="C13" sqref="C13:C151"/>
      <rowBreaks count="2" manualBreakCount="2">
        <brk id="102" max="4" man="1"/>
        <brk id="195" max="4" man="1"/>
      </rowBreaks>
      <pageMargins left="0.9" right="0.4" top="0.3" bottom="0.3" header="0.5" footer="0.5"/>
      <pageSetup scale="48" fitToHeight="2" orientation="portrait" r:id="rId7"/>
      <headerFooter alignWithMargins="0"/>
    </customSheetView>
    <customSheetView guid="{1C046605-15CE-44F1-BFCD-2CA8588E7ACF}" scale="60" colorId="22" showPageBreaks="1" printArea="1" view="pageBreakPreview" showRuler="0" topLeftCell="A175">
      <selection activeCell="I9" sqref="I9"/>
      <rowBreaks count="2" manualBreakCount="2">
        <brk id="102" max="4" man="1"/>
        <brk id="195" max="4" man="1"/>
      </rowBreaks>
      <pageMargins left="0.9" right="0.4" top="0.3" bottom="0.3" header="0.5" footer="0.5"/>
      <pageSetup scale="48" fitToHeight="2" orientation="portrait" r:id="rId8"/>
      <headerFooter alignWithMargins="0"/>
    </customSheetView>
    <customSheetView guid="{3911D713-188C-46A1-A299-F21DD3B7A146}" scale="60" colorId="22" showPageBreaks="1" printArea="1" view="pageBreakPreview" showRuler="0" topLeftCell="A175">
      <selection activeCell="I9" sqref="I9"/>
      <rowBreaks count="2" manualBreakCount="2">
        <brk id="102" max="4" man="1"/>
        <brk id="195" max="4" man="1"/>
      </rowBreaks>
      <pageMargins left="0.9" right="0.4" top="0.3" bottom="0.3" header="0.5" footer="0.5"/>
      <pageSetup scale="48" fitToHeight="2" orientation="portrait" r:id="rId9"/>
      <headerFooter alignWithMargins="0"/>
    </customSheetView>
    <customSheetView guid="{78BB1E60-60BE-4F56-9763-075185EFEFAB}" colorId="22" topLeftCell="A298">
      <selection activeCell="D316" sqref="D315:D316"/>
      <pageMargins left="0.9" right="0.4" top="0.3" bottom="1" header="0.5" footer="0.5"/>
      <pageSetup scale="82" fitToHeight="2" orientation="portrait" r:id="rId10"/>
      <headerFooter alignWithMargins="0">
        <oddFooter>&amp;C206 Page &amp;P of &amp;N</oddFooter>
      </headerFooter>
    </customSheetView>
    <customSheetView guid="{9C30803E-1E2D-4850-B0A5-591CA6F246A1}" colorId="22" topLeftCell="A298">
      <selection activeCell="D316" sqref="D315:D316"/>
      <pageMargins left="0.9" right="0.4" top="0.3" bottom="1" header="0.5" footer="0.5"/>
      <pageSetup scale="82" fitToHeight="2" orientation="portrait" r:id="rId11"/>
      <headerFooter alignWithMargins="0">
        <oddFooter>&amp;C206 Page &amp;P of &amp;N</oddFooter>
      </headerFooter>
    </customSheetView>
    <customSheetView guid="{3B1006FF-A2CA-49E7-9B25-DAC8815279AF}" colorId="22" topLeftCell="A298">
      <selection activeCell="D316" sqref="D315:D316"/>
      <pageMargins left="0.9" right="0.4" top="0.3" bottom="1" header="0.5" footer="0.5"/>
      <pageSetup scale="82" fitToHeight="2" orientation="portrait" r:id="rId12"/>
      <headerFooter alignWithMargins="0">
        <oddFooter>&amp;C206 Page &amp;P of &amp;N</oddFooter>
      </headerFooter>
    </customSheetView>
    <customSheetView guid="{FB1A60C8-E1F9-4DF0-8E0E-1C965F86027F}" colorId="22">
      <selection activeCell="D316" sqref="D315:D316"/>
      <pageMargins left="0.9" right="0.4" top="0.3" bottom="1" header="0.5" footer="0.5"/>
      <pageSetup scale="82" fitToHeight="2" orientation="portrait" r:id="rId13"/>
      <headerFooter alignWithMargins="0">
        <oddFooter>&amp;C206 Page &amp;P of &amp;N</oddFooter>
      </headerFooter>
    </customSheetView>
    <customSheetView guid="{C5B6D812-CBE6-46AA-99F7-02494E9802B4}" scale="70" colorId="22" topLeftCell="A4">
      <selection activeCell="C10" sqref="C10"/>
      <pageMargins left="0.9" right="0.4" top="0.3" bottom="1" header="0.5" footer="0.5"/>
      <pageSetup scale="82" fitToHeight="2" orientation="portrait" r:id="rId14"/>
      <headerFooter alignWithMargins="0"/>
    </customSheetView>
  </customSheetViews>
  <mergeCells count="1">
    <mergeCell ref="A3:E3"/>
  </mergeCells>
  <phoneticPr fontId="0" type="noConversion"/>
  <pageMargins left="0.9" right="0.4" top="0.3" bottom="1" header="0.5" footer="0.5"/>
  <pageSetup scale="82" fitToHeight="2" orientation="portrait" r:id="rId15"/>
  <headerFooter alignWithMargins="0"/>
  <customProperties>
    <customPr name="_pios_id" r:id="rId16"/>
  </customProperties>
</worksheet>
</file>

<file path=xl/worksheets/sheet22.xml><?xml version="1.0" encoding="utf-8"?>
<worksheet xmlns="http://schemas.openxmlformats.org/spreadsheetml/2006/main" xmlns:r="http://schemas.openxmlformats.org/officeDocument/2006/relationships">
  <sheetPr transitionEvaluation="1" codeName="Sheet22" enableFormatConditionsCalculation="0">
    <pageSetUpPr fitToPage="1"/>
  </sheetPr>
  <dimension ref="A1:F81"/>
  <sheetViews>
    <sheetView defaultGridColor="0" colorId="22" zoomScale="70" zoomScaleNormal="70" workbookViewId="0"/>
  </sheetViews>
  <sheetFormatPr defaultColWidth="9.77734375" defaultRowHeight="15"/>
  <cols>
    <col min="1" max="1" width="4.77734375" customWidth="1"/>
    <col min="2" max="2" width="30.77734375" customWidth="1"/>
    <col min="3" max="3" width="30.21875" customWidth="1"/>
    <col min="4" max="4" width="14.6640625" customWidth="1"/>
    <col min="5" max="5" width="22.33203125" customWidth="1"/>
  </cols>
  <sheetData>
    <row r="1" spans="1:6" ht="15.75" thickBot="1">
      <c r="A1" s="186" t="str">
        <f>+'Data sheet'!A53</f>
        <v>Annual Report of New York American Water Company, Inc. (f/k/a Long Island Water Corp)                                   Year Ended  December 31, 2013</v>
      </c>
      <c r="F1" s="1633"/>
    </row>
    <row r="2" spans="1:6">
      <c r="A2" s="142"/>
      <c r="B2" s="143"/>
      <c r="C2" s="143"/>
      <c r="D2" s="143"/>
      <c r="E2" s="144"/>
    </row>
    <row r="3" spans="1:6" ht="15.75">
      <c r="A3" s="130" t="s">
        <v>4206</v>
      </c>
      <c r="B3" s="128"/>
      <c r="C3" s="128"/>
      <c r="D3" s="128"/>
      <c r="E3" s="145"/>
    </row>
    <row r="4" spans="1:6">
      <c r="A4" s="108"/>
      <c r="B4" s="109"/>
      <c r="C4" s="109"/>
      <c r="D4" s="141"/>
      <c r="E4" s="294"/>
    </row>
    <row r="5" spans="1:6">
      <c r="A5" s="96"/>
      <c r="B5" s="97"/>
      <c r="C5" s="97"/>
      <c r="D5" s="97"/>
      <c r="E5" s="98"/>
    </row>
    <row r="6" spans="1:6">
      <c r="A6" s="405" t="s">
        <v>291</v>
      </c>
      <c r="B6" s="406"/>
      <c r="C6" s="406"/>
      <c r="D6" s="406"/>
      <c r="E6" s="407"/>
    </row>
    <row r="7" spans="1:6">
      <c r="A7" s="405" t="s">
        <v>292</v>
      </c>
      <c r="B7" s="406"/>
      <c r="C7" s="406"/>
      <c r="D7" s="406"/>
      <c r="E7" s="407"/>
    </row>
    <row r="8" spans="1:6">
      <c r="A8" s="405"/>
      <c r="B8" s="406"/>
      <c r="C8" s="406"/>
      <c r="D8" s="406"/>
      <c r="E8" s="407"/>
    </row>
    <row r="9" spans="1:6">
      <c r="A9" s="405" t="s">
        <v>3199</v>
      </c>
      <c r="B9" s="406"/>
      <c r="C9" s="406"/>
      <c r="D9" s="406"/>
      <c r="E9" s="407"/>
    </row>
    <row r="10" spans="1:6">
      <c r="A10" s="405"/>
      <c r="B10" s="406"/>
      <c r="C10" s="406"/>
      <c r="D10" s="406"/>
      <c r="E10" s="407"/>
    </row>
    <row r="11" spans="1:6">
      <c r="A11" s="405" t="s">
        <v>2142</v>
      </c>
      <c r="B11" s="406"/>
      <c r="C11" s="406"/>
      <c r="D11" s="406"/>
      <c r="E11" s="407"/>
    </row>
    <row r="12" spans="1:6">
      <c r="A12" s="405" t="s">
        <v>2143</v>
      </c>
      <c r="B12" s="406"/>
      <c r="C12" s="406"/>
      <c r="D12" s="406"/>
      <c r="E12" s="407"/>
    </row>
    <row r="13" spans="1:6">
      <c r="A13" s="405" t="s">
        <v>2144</v>
      </c>
      <c r="B13" s="406"/>
      <c r="C13" s="406"/>
      <c r="D13" s="406"/>
      <c r="E13" s="407"/>
    </row>
    <row r="14" spans="1:6">
      <c r="A14" s="405"/>
      <c r="B14" s="406"/>
      <c r="C14" s="406"/>
      <c r="D14" s="406"/>
      <c r="E14" s="407"/>
    </row>
    <row r="15" spans="1:6">
      <c r="A15" s="405" t="s">
        <v>4562</v>
      </c>
      <c r="B15" s="406"/>
      <c r="C15" s="406"/>
      <c r="D15" s="406"/>
      <c r="E15" s="407"/>
    </row>
    <row r="16" spans="1:6">
      <c r="A16" s="405" t="s">
        <v>2431</v>
      </c>
      <c r="B16" s="406"/>
      <c r="C16" s="406"/>
      <c r="D16" s="406"/>
      <c r="E16" s="407"/>
    </row>
    <row r="17" spans="1:6">
      <c r="A17" s="108"/>
      <c r="B17" s="109"/>
      <c r="C17" s="109"/>
      <c r="D17" s="109"/>
      <c r="E17" s="112"/>
    </row>
    <row r="18" spans="1:6" ht="15.75">
      <c r="A18" s="475"/>
      <c r="B18" s="97"/>
      <c r="C18" s="11"/>
      <c r="D18" s="97"/>
      <c r="E18" s="633" t="s">
        <v>3533</v>
      </c>
      <c r="F18" s="2651"/>
    </row>
    <row r="19" spans="1:6" ht="15.75">
      <c r="A19" s="444" t="s">
        <v>1129</v>
      </c>
      <c r="B19" s="97" t="s">
        <v>3985</v>
      </c>
      <c r="C19" s="11"/>
      <c r="D19" s="97"/>
      <c r="E19" s="786" t="s">
        <v>752</v>
      </c>
      <c r="F19" s="2651"/>
    </row>
    <row r="20" spans="1:6" ht="15.75">
      <c r="A20" s="521" t="s">
        <v>3324</v>
      </c>
      <c r="B20" s="109" t="s">
        <v>3586</v>
      </c>
      <c r="C20" s="293"/>
      <c r="D20" s="109"/>
      <c r="E20" s="818" t="s">
        <v>4033</v>
      </c>
      <c r="F20" s="2651"/>
    </row>
    <row r="21" spans="1:6" ht="15.75">
      <c r="A21" s="444">
        <v>1</v>
      </c>
      <c r="B21" s="2929" t="s">
        <v>373</v>
      </c>
      <c r="C21" s="97"/>
      <c r="D21" s="847"/>
      <c r="E21" s="2930">
        <v>1314574.02</v>
      </c>
      <c r="F21" s="2651"/>
    </row>
    <row r="22" spans="1:6" ht="15.75">
      <c r="A22" s="444">
        <v>2</v>
      </c>
      <c r="B22" s="97" t="s">
        <v>1937</v>
      </c>
      <c r="C22" s="97"/>
      <c r="D22" s="847"/>
      <c r="E22" s="479">
        <v>548507.89</v>
      </c>
      <c r="F22" s="2651"/>
    </row>
    <row r="23" spans="1:6" ht="15.75">
      <c r="A23" s="444">
        <v>3</v>
      </c>
      <c r="B23" s="97" t="s">
        <v>5159</v>
      </c>
      <c r="C23" s="97"/>
      <c r="D23" s="847"/>
      <c r="E23" s="479">
        <v>106482.71</v>
      </c>
      <c r="F23" s="2651"/>
    </row>
    <row r="24" spans="1:6" ht="15.75">
      <c r="A24" s="444">
        <v>4</v>
      </c>
      <c r="B24" s="97" t="s">
        <v>36</v>
      </c>
      <c r="C24" s="97"/>
      <c r="D24" s="847"/>
      <c r="E24" s="479">
        <v>75180.92</v>
      </c>
      <c r="F24" s="2651"/>
    </row>
    <row r="25" spans="1:6" ht="15.75">
      <c r="A25" s="444">
        <v>5</v>
      </c>
      <c r="B25" s="97" t="s">
        <v>5160</v>
      </c>
      <c r="C25" s="97"/>
      <c r="D25" s="847"/>
      <c r="E25" s="479">
        <v>5466.08</v>
      </c>
      <c r="F25" s="2651"/>
    </row>
    <row r="26" spans="1:6" ht="15.75">
      <c r="A26" s="444">
        <v>6</v>
      </c>
      <c r="B26" s="97" t="s">
        <v>3322</v>
      </c>
      <c r="C26" s="97"/>
      <c r="D26" s="847"/>
      <c r="E26" s="479">
        <v>9898.61</v>
      </c>
      <c r="F26" s="2651"/>
    </row>
    <row r="27" spans="1:6">
      <c r="A27" s="444">
        <v>7</v>
      </c>
      <c r="B27" s="97"/>
      <c r="C27" s="97"/>
      <c r="D27" s="847"/>
      <c r="E27" s="479"/>
    </row>
    <row r="28" spans="1:6">
      <c r="A28" s="444">
        <v>8</v>
      </c>
      <c r="B28" s="97"/>
      <c r="C28" s="97"/>
      <c r="D28" s="847"/>
      <c r="E28" s="479"/>
    </row>
    <row r="29" spans="1:6">
      <c r="A29" s="444">
        <v>9</v>
      </c>
      <c r="B29" s="97"/>
      <c r="C29" s="97"/>
      <c r="D29" s="847"/>
      <c r="E29" s="479"/>
    </row>
    <row r="30" spans="1:6">
      <c r="A30" s="444">
        <v>10</v>
      </c>
      <c r="B30" s="97"/>
      <c r="C30" s="97"/>
      <c r="D30" s="847"/>
      <c r="E30" s="479"/>
    </row>
    <row r="31" spans="1:6">
      <c r="A31" s="444">
        <v>11</v>
      </c>
      <c r="B31" s="97"/>
      <c r="C31" s="97"/>
      <c r="D31" s="847"/>
      <c r="E31" s="479"/>
    </row>
    <row r="32" spans="1:6">
      <c r="A32" s="444">
        <v>12</v>
      </c>
      <c r="B32" s="97"/>
      <c r="C32" s="97"/>
      <c r="D32" s="847"/>
      <c r="E32" s="479"/>
    </row>
    <row r="33" spans="1:5">
      <c r="A33" s="444">
        <v>13</v>
      </c>
      <c r="B33" s="97"/>
      <c r="C33" s="97"/>
      <c r="D33" s="847"/>
      <c r="E33" s="479"/>
    </row>
    <row r="34" spans="1:5">
      <c r="A34" s="444">
        <v>14</v>
      </c>
      <c r="B34" s="97"/>
      <c r="C34" s="97"/>
      <c r="D34" s="847"/>
      <c r="E34" s="479"/>
    </row>
    <row r="35" spans="1:5">
      <c r="A35" s="444">
        <v>15</v>
      </c>
      <c r="B35" s="97"/>
      <c r="C35" s="97"/>
      <c r="D35" s="847"/>
      <c r="E35" s="479"/>
    </row>
    <row r="36" spans="1:5">
      <c r="A36" s="444">
        <v>16</v>
      </c>
      <c r="B36" s="97"/>
      <c r="C36" s="97"/>
      <c r="D36" s="847"/>
      <c r="E36" s="479"/>
    </row>
    <row r="37" spans="1:5">
      <c r="A37" s="444">
        <v>17</v>
      </c>
      <c r="B37" s="97"/>
      <c r="C37" s="97"/>
      <c r="D37" s="847"/>
      <c r="E37" s="479"/>
    </row>
    <row r="38" spans="1:5">
      <c r="A38" s="444">
        <v>18</v>
      </c>
      <c r="B38" s="97"/>
      <c r="C38" s="97"/>
      <c r="D38" s="847"/>
      <c r="E38" s="479"/>
    </row>
    <row r="39" spans="1:5">
      <c r="A39" s="444">
        <v>19</v>
      </c>
      <c r="B39" s="97"/>
      <c r="C39" s="97"/>
      <c r="D39" s="1084"/>
      <c r="E39" s="479"/>
    </row>
    <row r="40" spans="1:5">
      <c r="A40" s="444">
        <v>20</v>
      </c>
      <c r="B40" s="97"/>
      <c r="C40" s="97"/>
      <c r="D40" s="847"/>
      <c r="E40" s="479"/>
    </row>
    <row r="41" spans="1:5">
      <c r="A41" s="444">
        <v>21</v>
      </c>
      <c r="B41" s="97"/>
      <c r="C41" s="97"/>
      <c r="D41" s="847"/>
      <c r="E41" s="479"/>
    </row>
    <row r="42" spans="1:5">
      <c r="A42" s="444">
        <v>22</v>
      </c>
      <c r="B42" s="97"/>
      <c r="C42" s="97"/>
      <c r="D42" s="847"/>
      <c r="E42" s="479"/>
    </row>
    <row r="43" spans="1:5">
      <c r="A43" s="444">
        <v>23</v>
      </c>
      <c r="B43" s="97"/>
      <c r="C43" s="97"/>
      <c r="D43" s="847"/>
      <c r="E43" s="479"/>
    </row>
    <row r="44" spans="1:5">
      <c r="A44" s="444">
        <v>24</v>
      </c>
      <c r="B44" s="97"/>
      <c r="C44" s="97"/>
      <c r="D44" s="847"/>
      <c r="E44" s="479"/>
    </row>
    <row r="45" spans="1:5">
      <c r="A45" s="444">
        <v>25</v>
      </c>
      <c r="B45" s="97"/>
      <c r="C45" s="97"/>
      <c r="D45" s="847"/>
      <c r="E45" s="479"/>
    </row>
    <row r="46" spans="1:5">
      <c r="A46" s="444">
        <v>26</v>
      </c>
      <c r="B46" s="97"/>
      <c r="C46" s="97"/>
      <c r="D46" s="847"/>
      <c r="E46" s="479"/>
    </row>
    <row r="47" spans="1:5">
      <c r="A47" s="444">
        <v>27</v>
      </c>
      <c r="B47" s="97"/>
      <c r="C47" s="97"/>
      <c r="D47" s="847"/>
      <c r="E47" s="479"/>
    </row>
    <row r="48" spans="1:5">
      <c r="A48" s="444">
        <v>28</v>
      </c>
      <c r="B48" s="97"/>
      <c r="C48" s="97"/>
      <c r="D48" s="847"/>
      <c r="E48" s="479"/>
    </row>
    <row r="49" spans="1:5">
      <c r="A49" s="444">
        <v>29</v>
      </c>
      <c r="B49" s="97"/>
      <c r="C49" s="97"/>
      <c r="D49" s="847"/>
      <c r="E49" s="479"/>
    </row>
    <row r="50" spans="1:5">
      <c r="A50" s="444">
        <v>30</v>
      </c>
      <c r="B50" s="97"/>
      <c r="C50" s="97"/>
      <c r="D50" s="847"/>
      <c r="E50" s="479"/>
    </row>
    <row r="51" spans="1:5">
      <c r="A51" s="444">
        <v>31</v>
      </c>
      <c r="B51" s="97"/>
      <c r="C51" s="97"/>
      <c r="D51" s="1084"/>
      <c r="E51" s="479"/>
    </row>
    <row r="52" spans="1:5">
      <c r="A52" s="444">
        <v>32</v>
      </c>
      <c r="B52" s="97"/>
      <c r="C52" s="97"/>
      <c r="D52" s="1084"/>
      <c r="E52" s="479"/>
    </row>
    <row r="53" spans="1:5">
      <c r="A53" s="444">
        <v>33</v>
      </c>
      <c r="B53" s="97"/>
      <c r="C53" s="97"/>
      <c r="D53" s="847"/>
      <c r="E53" s="479"/>
    </row>
    <row r="54" spans="1:5">
      <c r="A54" s="444">
        <v>34</v>
      </c>
      <c r="B54" s="97"/>
      <c r="C54" s="97"/>
      <c r="D54" s="847"/>
      <c r="E54" s="479"/>
    </row>
    <row r="55" spans="1:5">
      <c r="A55" s="444">
        <v>35</v>
      </c>
      <c r="B55" s="97"/>
      <c r="C55" s="97"/>
      <c r="D55" s="847"/>
      <c r="E55" s="479"/>
    </row>
    <row r="56" spans="1:5">
      <c r="A56" s="444">
        <v>36</v>
      </c>
      <c r="B56" s="97"/>
      <c r="C56" s="97"/>
      <c r="D56" s="847"/>
      <c r="E56" s="479"/>
    </row>
    <row r="57" spans="1:5">
      <c r="A57" s="444">
        <v>37</v>
      </c>
      <c r="B57" s="97"/>
      <c r="C57" s="97"/>
      <c r="D57" s="847"/>
      <c r="E57" s="479"/>
    </row>
    <row r="58" spans="1:5">
      <c r="A58" s="444">
        <v>38</v>
      </c>
      <c r="B58" s="97"/>
      <c r="C58" s="97"/>
      <c r="D58" s="847"/>
      <c r="E58" s="479"/>
    </row>
    <row r="59" spans="1:5">
      <c r="A59" s="444">
        <v>39</v>
      </c>
      <c r="B59" s="97"/>
      <c r="C59" s="97"/>
      <c r="D59" s="847"/>
      <c r="E59" s="479"/>
    </row>
    <row r="60" spans="1:5">
      <c r="A60" s="444">
        <v>40</v>
      </c>
      <c r="B60" s="97"/>
      <c r="C60" s="97"/>
      <c r="D60" s="847"/>
      <c r="E60" s="479"/>
    </row>
    <row r="61" spans="1:5">
      <c r="A61" s="444">
        <v>41</v>
      </c>
      <c r="B61" s="97"/>
      <c r="C61" s="97"/>
      <c r="D61" s="1084"/>
      <c r="E61" s="482"/>
    </row>
    <row r="62" spans="1:5" ht="15.75" thickBot="1">
      <c r="A62" s="480">
        <v>42</v>
      </c>
      <c r="B62" s="124" t="s">
        <v>1135</v>
      </c>
      <c r="C62" s="124" t="s">
        <v>4375</v>
      </c>
      <c r="D62" s="124"/>
      <c r="E62" s="483">
        <f>SUM(E21:E61)</f>
        <v>2060110.2300000002</v>
      </c>
    </row>
    <row r="63" spans="1:5" ht="15.75">
      <c r="A63" s="97"/>
      <c r="B63" s="97"/>
      <c r="C63" s="484"/>
      <c r="D63" s="97"/>
      <c r="E63" s="97" t="s">
        <v>4066</v>
      </c>
    </row>
    <row r="64" spans="1:5">
      <c r="A64" s="128" t="s">
        <v>3587</v>
      </c>
      <c r="B64" s="128"/>
      <c r="C64" s="128"/>
      <c r="D64" s="128"/>
      <c r="E64" s="128"/>
    </row>
    <row r="65" spans="1:5">
      <c r="A65" s="11"/>
      <c r="B65" s="11"/>
      <c r="C65" s="11"/>
      <c r="D65" s="11"/>
      <c r="E65" s="128"/>
    </row>
    <row r="66" spans="1:5">
      <c r="A66" s="11"/>
      <c r="B66" s="97"/>
      <c r="C66" s="97"/>
      <c r="D66" s="97"/>
      <c r="E66" s="97"/>
    </row>
    <row r="67" spans="1:5">
      <c r="A67" s="11"/>
      <c r="B67" s="97"/>
      <c r="C67" s="97"/>
      <c r="D67" s="97"/>
      <c r="E67" s="97"/>
    </row>
    <row r="68" spans="1:5">
      <c r="A68" s="11"/>
      <c r="B68" s="97"/>
      <c r="C68" s="97"/>
      <c r="D68" s="97"/>
      <c r="E68" s="97"/>
    </row>
    <row r="69" spans="1:5">
      <c r="A69" s="11"/>
      <c r="B69" s="97"/>
      <c r="C69" s="97"/>
      <c r="D69" s="97"/>
      <c r="E69" s="97"/>
    </row>
    <row r="70" spans="1:5">
      <c r="A70" s="11"/>
      <c r="B70" s="97"/>
      <c r="C70" s="97"/>
      <c r="D70" s="97"/>
      <c r="E70" s="97"/>
    </row>
    <row r="71" spans="1:5">
      <c r="A71" s="11"/>
      <c r="B71" s="97"/>
      <c r="C71" s="97"/>
      <c r="D71" s="97"/>
      <c r="E71" s="97"/>
    </row>
    <row r="72" spans="1:5">
      <c r="A72" s="97"/>
      <c r="B72" s="97"/>
      <c r="C72" s="97"/>
      <c r="D72" s="97"/>
      <c r="E72" s="97"/>
    </row>
    <row r="73" spans="1:5">
      <c r="A73" s="97"/>
      <c r="B73" s="97"/>
      <c r="C73" s="97"/>
      <c r="D73" s="97"/>
      <c r="E73" s="97"/>
    </row>
    <row r="74" spans="1:5">
      <c r="A74" s="97"/>
      <c r="B74" s="97"/>
      <c r="C74" s="97"/>
      <c r="D74" s="97"/>
      <c r="E74" s="97"/>
    </row>
    <row r="75" spans="1:5">
      <c r="A75" s="97"/>
      <c r="B75" s="97"/>
      <c r="C75" s="97"/>
      <c r="D75" s="97"/>
      <c r="E75" s="97"/>
    </row>
    <row r="76" spans="1:5">
      <c r="A76" s="97"/>
      <c r="B76" s="97"/>
      <c r="C76" s="97"/>
      <c r="D76" s="97"/>
      <c r="E76" s="97"/>
    </row>
    <row r="77" spans="1:5">
      <c r="A77" s="97"/>
      <c r="B77" s="97"/>
      <c r="C77" s="97"/>
      <c r="D77" s="97"/>
      <c r="E77" s="97"/>
    </row>
    <row r="78" spans="1:5">
      <c r="A78" s="97"/>
      <c r="B78" s="97"/>
      <c r="C78" s="97"/>
      <c r="D78" s="97"/>
      <c r="E78" s="97"/>
    </row>
    <row r="79" spans="1:5">
      <c r="A79" s="97"/>
      <c r="B79" s="97"/>
      <c r="C79" s="97"/>
      <c r="D79" s="97"/>
      <c r="E79" s="97"/>
    </row>
    <row r="80" spans="1:5">
      <c r="A80" s="97"/>
      <c r="B80" s="97"/>
      <c r="C80" s="97"/>
      <c r="D80" s="97"/>
      <c r="E80" s="97"/>
    </row>
    <row r="81" spans="1:5">
      <c r="A81" s="97"/>
      <c r="B81" s="97"/>
      <c r="C81" s="97"/>
      <c r="D81" s="97"/>
      <c r="E81" s="97"/>
    </row>
  </sheetData>
  <customSheetViews>
    <customSheetView guid="{1BA452AD-1A45-4D9C-9666-ADFFA6F2F567}" colorId="22" fitToPage="1">
      <pageMargins left="0.9" right="0.4" top="0.3" bottom="0.3" header="0.5" footer="0.5"/>
      <pageSetup scale="74" orientation="portrait" r:id="rId1"/>
      <headerFooter alignWithMargins="0"/>
    </customSheetView>
    <customSheetView guid="{EEF7ABD6-0F96-4791-B749-C06F707E7673}" scale="87" colorId="22" fitToPage="1" showRuler="0">
      <selection activeCell="C47" sqref="C47"/>
      <pageMargins left="0.9" right="0.4" top="0.3" bottom="0.3" header="0.5" footer="0.5"/>
      <pageSetup scale="74" orientation="portrait" r:id="rId2"/>
      <headerFooter alignWithMargins="0"/>
    </customSheetView>
    <customSheetView guid="{A7D7DB3C-AFE6-468E-8C6B-9531F6711497}" scale="87" colorId="22" fitToPage="1" showRuler="0">
      <selection sqref="A1:IV65536"/>
      <pageMargins left="0.9" right="0.4" top="0.3" bottom="0.3" header="0.5" footer="0.5"/>
      <pageSetup scale="74" orientation="portrait" r:id="rId3"/>
      <headerFooter alignWithMargins="0"/>
    </customSheetView>
    <customSheetView guid="{4436FEB5-BFEC-4348-9286-CB706802873E}" scale="87" colorId="22" fitToPage="1" showRuler="0">
      <selection sqref="A1:IV65536"/>
      <pageMargins left="0.9" right="0.4" top="0.3" bottom="0.3" header="0.5" footer="0.5"/>
      <pageSetup scale="74" orientation="portrait" r:id="rId4"/>
      <headerFooter alignWithMargins="0"/>
    </customSheetView>
    <customSheetView guid="{044CF00C-469F-44B3-B2C4-9B4049CE70CB}" scale="87" colorId="22" fitToPage="1" showRuler="0">
      <selection activeCell="A2" sqref="A2"/>
      <pageMargins left="0.9" right="0.4" top="0.3" bottom="0.3" header="0.5" footer="0.5"/>
      <pageSetup scale="74" orientation="portrait" r:id="rId5"/>
      <headerFooter alignWithMargins="0"/>
    </customSheetView>
    <customSheetView guid="{4826FCC0-BDD6-4B2C-ACC6-ACE271DDF0E3}" scale="87" colorId="22" fitToPage="1" showRuler="0" topLeftCell="A73">
      <selection activeCell="E119" sqref="E119"/>
      <pageMargins left="0.9" right="0.4" top="0.3" bottom="0.3" header="0.5" footer="0.5"/>
      <pageSetup scale="74" orientation="portrait" r:id="rId6"/>
      <headerFooter alignWithMargins="0"/>
    </customSheetView>
    <customSheetView guid="{EF376D10-23D6-4FE2-AB5B-4460D52CC93F}" scale="87" colorId="22" fitToPage="1" showRuler="0">
      <selection activeCell="C47" sqref="C47"/>
      <pageMargins left="0.9" right="0.4" top="0.3" bottom="0.3" header="0.5" footer="0.5"/>
      <pageSetup scale="74" orientation="portrait" r:id="rId7"/>
      <headerFooter alignWithMargins="0"/>
    </customSheetView>
    <customSheetView guid="{1C046605-15CE-44F1-BFCD-2CA8588E7ACF}" scale="87" colorId="22" fitToPage="1" showRuler="0" topLeftCell="A26">
      <selection activeCell="E62" sqref="E62"/>
      <pageMargins left="0.9" right="0.4" top="0.3" bottom="0.3" header="0.5" footer="0.5"/>
      <pageSetup scale="74" orientation="portrait" r:id="rId8"/>
      <headerFooter alignWithMargins="0"/>
    </customSheetView>
    <customSheetView guid="{3911D713-188C-46A1-A299-F21DD3B7A146}" scale="87" colorId="22" fitToPage="1" showRuler="0" topLeftCell="A26">
      <selection activeCell="E62" sqref="E62"/>
      <pageMargins left="0.9" right="0.4" top="0.3" bottom="0.3" header="0.5" footer="0.5"/>
      <pageSetup scale="74" orientation="portrait" r:id="rId9"/>
      <headerFooter alignWithMargins="0"/>
    </customSheetView>
    <customSheetView guid="{78BB1E60-60BE-4F56-9763-075185EFEFAB}" colorId="22" fitToPage="1">
      <pageMargins left="0.9" right="0.4" top="0.3" bottom="0.3" header="0.5" footer="0.5"/>
      <pageSetup scale="74" orientation="portrait" r:id="rId10"/>
      <headerFooter alignWithMargins="0"/>
    </customSheetView>
    <customSheetView guid="{9C30803E-1E2D-4850-B0A5-591CA6F246A1}" colorId="22" fitToPage="1">
      <pageMargins left="0.9" right="0.4" top="0.3" bottom="0.3" header="0.5" footer="0.5"/>
      <pageSetup scale="74" orientation="portrait" r:id="rId11"/>
      <headerFooter alignWithMargins="0"/>
    </customSheetView>
    <customSheetView guid="{3B1006FF-A2CA-49E7-9B25-DAC8815279AF}" colorId="22" fitToPage="1">
      <pageMargins left="0.9" right="0.4" top="0.3" bottom="0.3" header="0.5" footer="0.5"/>
      <pageSetup scale="74" orientation="portrait" r:id="rId12"/>
      <headerFooter alignWithMargins="0"/>
    </customSheetView>
    <customSheetView guid="{FB1A60C8-E1F9-4DF0-8E0E-1C965F86027F}" colorId="22" fitToPage="1">
      <pageMargins left="0.9" right="0.4" top="0.3" bottom="0.3" header="0.5" footer="0.5"/>
      <pageSetup scale="74" orientation="portrait" r:id="rId13"/>
      <headerFooter alignWithMargins="0"/>
    </customSheetView>
    <customSheetView guid="{C5B6D812-CBE6-46AA-99F7-02494E9802B4}" scale="70" colorId="22" fitToPage="1" topLeftCell="A36">
      <selection activeCell="C42" sqref="C42"/>
      <pageMargins left="0.9" right="0.4" top="0.3" bottom="0.3" header="0.5" footer="0.5"/>
      <pageSetup scale="74" orientation="portrait" r:id="rId14"/>
      <headerFooter alignWithMargins="0"/>
    </customSheetView>
  </customSheetViews>
  <phoneticPr fontId="0" type="noConversion"/>
  <pageMargins left="0.9" right="0.4" top="0.3" bottom="0.3" header="0.5" footer="0.5"/>
  <pageSetup scale="74" orientation="portrait" r:id="rId15"/>
  <headerFooter alignWithMargins="0"/>
  <customProperties>
    <customPr name="_pios_id" r:id="rId16"/>
  </customProperties>
</worksheet>
</file>

<file path=xl/worksheets/sheet23.xml><?xml version="1.0" encoding="utf-8"?>
<worksheet xmlns="http://schemas.openxmlformats.org/spreadsheetml/2006/main" xmlns:r="http://schemas.openxmlformats.org/officeDocument/2006/relationships">
  <sheetPr transitionEvaluation="1" codeName="Sheet23" enableFormatConditionsCalculation="0">
    <pageSetUpPr fitToPage="1"/>
  </sheetPr>
  <dimension ref="A1:G129"/>
  <sheetViews>
    <sheetView defaultGridColor="0" colorId="22" zoomScale="70" zoomScaleNormal="70" workbookViewId="0"/>
  </sheetViews>
  <sheetFormatPr defaultColWidth="9.77734375" defaultRowHeight="15"/>
  <cols>
    <col min="1" max="1" width="8.77734375" customWidth="1"/>
    <col min="2" max="2" width="7.33203125" customWidth="1"/>
    <col min="3" max="3" width="30.77734375" customWidth="1"/>
    <col min="4" max="4" width="5.33203125" customWidth="1"/>
    <col min="5" max="7" width="15.77734375" customWidth="1"/>
  </cols>
  <sheetData>
    <row r="1" spans="1:7" ht="15.75" thickBot="1">
      <c r="A1" s="2151" t="str">
        <f>+'Data sheet'!A53</f>
        <v>Annual Report of New York American Water Company, Inc. (f/k/a Long Island Water Corp)                                   Year Ended  December 31, 2013</v>
      </c>
      <c r="B1" s="2151"/>
      <c r="C1" s="2151"/>
      <c r="D1" s="2151"/>
      <c r="E1" s="2151"/>
      <c r="F1" s="2151"/>
      <c r="G1" s="2151"/>
    </row>
    <row r="2" spans="1:7">
      <c r="A2" s="90"/>
      <c r="B2" s="91"/>
      <c r="C2" s="91"/>
      <c r="D2" s="143"/>
      <c r="E2" s="91"/>
      <c r="F2" s="91"/>
      <c r="G2" s="485"/>
    </row>
    <row r="3" spans="1:7" ht="15.75">
      <c r="A3" s="130" t="s">
        <v>3588</v>
      </c>
      <c r="B3" s="131"/>
      <c r="C3" s="131"/>
      <c r="D3" s="131"/>
      <c r="E3" s="131"/>
      <c r="F3" s="131"/>
      <c r="G3" s="132"/>
    </row>
    <row r="4" spans="1:7">
      <c r="A4" s="136"/>
      <c r="B4" s="293"/>
      <c r="C4" s="293"/>
      <c r="D4" s="109"/>
      <c r="E4" s="293"/>
      <c r="F4" s="141"/>
      <c r="G4" s="294"/>
    </row>
    <row r="5" spans="1:7">
      <c r="A5" s="405" t="s">
        <v>3589</v>
      </c>
      <c r="B5" s="406"/>
      <c r="C5" s="406"/>
      <c r="D5" s="406"/>
      <c r="E5" s="406" t="s">
        <v>4079</v>
      </c>
      <c r="G5" s="407"/>
    </row>
    <row r="6" spans="1:7">
      <c r="A6" s="405" t="s">
        <v>278</v>
      </c>
      <c r="B6" s="406"/>
      <c r="C6" s="406"/>
      <c r="D6" s="406"/>
      <c r="E6" s="406" t="s">
        <v>405</v>
      </c>
      <c r="G6" s="407"/>
    </row>
    <row r="7" spans="1:7">
      <c r="A7" s="405" t="s">
        <v>1380</v>
      </c>
      <c r="B7" s="406"/>
      <c r="C7" s="406"/>
      <c r="D7" s="406"/>
      <c r="E7" s="406" t="s">
        <v>1381</v>
      </c>
      <c r="G7" s="407"/>
    </row>
    <row r="8" spans="1:7">
      <c r="A8" s="405" t="s">
        <v>944</v>
      </c>
      <c r="B8" s="406"/>
      <c r="C8" s="406"/>
      <c r="D8" s="406"/>
      <c r="E8" s="406" t="s">
        <v>4373</v>
      </c>
      <c r="G8" s="407"/>
    </row>
    <row r="9" spans="1:7">
      <c r="A9" s="405" t="s">
        <v>945</v>
      </c>
      <c r="B9" s="406"/>
      <c r="C9" s="406"/>
      <c r="D9" s="406"/>
      <c r="E9" s="406" t="s">
        <v>946</v>
      </c>
      <c r="G9" s="407"/>
    </row>
    <row r="10" spans="1:7">
      <c r="A10" s="405" t="s">
        <v>947</v>
      </c>
      <c r="B10" s="406"/>
      <c r="C10" s="406"/>
      <c r="D10" s="406"/>
      <c r="E10" s="406" t="s">
        <v>1072</v>
      </c>
      <c r="G10" s="407"/>
    </row>
    <row r="11" spans="1:7">
      <c r="A11" s="405" t="s">
        <v>1073</v>
      </c>
      <c r="B11" s="406"/>
      <c r="C11" s="406"/>
      <c r="D11" s="406"/>
      <c r="E11" s="406" t="s">
        <v>2779</v>
      </c>
      <c r="G11" s="407"/>
    </row>
    <row r="12" spans="1:7">
      <c r="A12" s="486" t="s">
        <v>4231</v>
      </c>
      <c r="B12" s="487"/>
      <c r="C12" s="487"/>
      <c r="D12" s="487"/>
      <c r="E12" s="487" t="s">
        <v>4232</v>
      </c>
      <c r="G12" s="488"/>
    </row>
    <row r="13" spans="1:7">
      <c r="A13" s="489" t="s">
        <v>4233</v>
      </c>
      <c r="B13" s="490"/>
      <c r="C13" s="490"/>
      <c r="D13" s="490"/>
      <c r="E13" s="491"/>
      <c r="F13" s="491"/>
      <c r="G13" s="492"/>
    </row>
    <row r="14" spans="1:7">
      <c r="A14" s="400" t="s">
        <v>577</v>
      </c>
      <c r="B14" s="11"/>
      <c r="F14" s="11"/>
      <c r="G14" s="338"/>
    </row>
    <row r="15" spans="1:7">
      <c r="A15" s="400"/>
      <c r="B15" s="11"/>
      <c r="C15" s="2152" t="s">
        <v>2769</v>
      </c>
      <c r="F15" s="11"/>
      <c r="G15" s="338"/>
    </row>
    <row r="16" spans="1:7">
      <c r="A16" s="400"/>
      <c r="B16" s="11"/>
      <c r="C16" s="2152"/>
      <c r="F16" s="11"/>
      <c r="G16" s="338"/>
    </row>
    <row r="17" spans="1:7">
      <c r="A17" s="400"/>
      <c r="B17" s="11"/>
      <c r="C17" s="2152"/>
      <c r="F17" s="11"/>
      <c r="G17" s="338"/>
    </row>
    <row r="18" spans="1:7">
      <c r="A18" s="400"/>
      <c r="B18" s="11"/>
      <c r="C18" s="2152"/>
      <c r="F18" s="11"/>
      <c r="G18" s="338"/>
    </row>
    <row r="19" spans="1:7">
      <c r="A19" s="400" t="s">
        <v>1330</v>
      </c>
      <c r="B19" s="11"/>
      <c r="C19" s="2152"/>
      <c r="F19" s="11"/>
      <c r="G19" s="338"/>
    </row>
    <row r="20" spans="1:7">
      <c r="A20" s="400"/>
      <c r="B20" s="11"/>
      <c r="C20" s="2152" t="s">
        <v>3545</v>
      </c>
      <c r="F20" s="11"/>
      <c r="G20" s="338"/>
    </row>
    <row r="21" spans="1:7">
      <c r="A21" s="400"/>
      <c r="B21" s="11"/>
      <c r="C21" s="2152" t="s">
        <v>3546</v>
      </c>
      <c r="F21" s="11"/>
      <c r="G21" s="338"/>
    </row>
    <row r="22" spans="1:7">
      <c r="A22" s="400"/>
      <c r="B22" s="11"/>
      <c r="C22" s="2152"/>
      <c r="F22" s="11"/>
      <c r="G22" s="338"/>
    </row>
    <row r="23" spans="1:7">
      <c r="A23" s="400"/>
      <c r="B23" s="11"/>
      <c r="C23" s="2152"/>
      <c r="F23" s="11"/>
      <c r="G23" s="338"/>
    </row>
    <row r="24" spans="1:7">
      <c r="A24" s="400" t="s">
        <v>4373</v>
      </c>
      <c r="B24" s="11"/>
      <c r="C24" s="2152"/>
      <c r="F24" s="11"/>
      <c r="G24" s="338"/>
    </row>
    <row r="25" spans="1:7">
      <c r="A25" s="400" t="s">
        <v>35</v>
      </c>
      <c r="B25" s="11"/>
      <c r="C25" s="2152"/>
      <c r="F25" s="11"/>
      <c r="G25" s="338"/>
    </row>
    <row r="26" spans="1:7">
      <c r="A26" s="400"/>
      <c r="B26" s="11"/>
      <c r="C26" s="2152" t="s">
        <v>2771</v>
      </c>
      <c r="F26" s="11"/>
      <c r="G26" s="338"/>
    </row>
    <row r="27" spans="1:7">
      <c r="A27" s="400"/>
      <c r="B27" s="11"/>
      <c r="C27" s="2152"/>
      <c r="F27" s="11"/>
      <c r="G27" s="338"/>
    </row>
    <row r="28" spans="1:7">
      <c r="A28" s="400" t="s">
        <v>36</v>
      </c>
      <c r="B28" s="11"/>
      <c r="C28" s="2152"/>
      <c r="E28" s="11"/>
      <c r="F28" s="11"/>
      <c r="G28" s="338"/>
    </row>
    <row r="29" spans="1:7">
      <c r="A29" s="400"/>
      <c r="B29" s="11"/>
      <c r="C29" s="2152" t="s">
        <v>2770</v>
      </c>
      <c r="E29" s="11"/>
      <c r="F29" s="11"/>
      <c r="G29" s="338"/>
    </row>
    <row r="30" spans="1:7">
      <c r="A30" s="400" t="s">
        <v>1937</v>
      </c>
      <c r="B30" s="11"/>
      <c r="C30" s="2152"/>
      <c r="E30" s="11"/>
      <c r="F30" s="11"/>
      <c r="G30" s="338"/>
    </row>
    <row r="31" spans="1:7">
      <c r="A31" s="93"/>
      <c r="B31" s="11"/>
      <c r="C31" s="2152" t="s">
        <v>876</v>
      </c>
      <c r="D31" s="11"/>
      <c r="F31" s="11"/>
      <c r="G31" s="338"/>
    </row>
    <row r="32" spans="1:7">
      <c r="A32" s="400"/>
      <c r="B32" s="11"/>
      <c r="C32" s="11"/>
      <c r="D32" s="11"/>
      <c r="F32" s="11"/>
      <c r="G32" s="338"/>
    </row>
    <row r="33" spans="1:7">
      <c r="A33" s="400"/>
      <c r="B33" s="11"/>
      <c r="C33" s="11"/>
      <c r="D33" s="11"/>
      <c r="F33" s="11"/>
      <c r="G33" s="338"/>
    </row>
    <row r="34" spans="1:7">
      <c r="A34" s="400"/>
      <c r="B34" s="11"/>
      <c r="C34" s="11"/>
      <c r="D34" s="11"/>
      <c r="F34" s="11"/>
      <c r="G34" s="338"/>
    </row>
    <row r="35" spans="1:7">
      <c r="A35" s="400"/>
      <c r="B35" s="11"/>
      <c r="C35" s="11"/>
      <c r="D35" s="11"/>
      <c r="F35" s="11"/>
      <c r="G35" s="338"/>
    </row>
    <row r="36" spans="1:7">
      <c r="A36" s="400"/>
      <c r="B36" s="11"/>
      <c r="C36" s="11"/>
      <c r="D36" s="11"/>
      <c r="F36" s="11"/>
      <c r="G36" s="338"/>
    </row>
    <row r="37" spans="1:7">
      <c r="A37" s="400"/>
      <c r="B37" s="11"/>
      <c r="C37" s="11"/>
      <c r="D37" s="11"/>
      <c r="F37" s="11"/>
      <c r="G37" s="338"/>
    </row>
    <row r="38" spans="1:7">
      <c r="A38" s="400"/>
      <c r="B38" s="11"/>
      <c r="C38" s="11"/>
      <c r="D38" s="11"/>
      <c r="F38" s="11"/>
      <c r="G38" s="338"/>
    </row>
    <row r="39" spans="1:7">
      <c r="A39" s="400"/>
      <c r="B39" s="11"/>
      <c r="C39" s="11"/>
      <c r="D39" s="11"/>
      <c r="F39" s="11"/>
      <c r="G39" s="338"/>
    </row>
    <row r="40" spans="1:7">
      <c r="A40" s="400"/>
      <c r="B40" s="11"/>
      <c r="C40" s="11"/>
      <c r="D40" s="11"/>
      <c r="F40" s="11"/>
      <c r="G40" s="338"/>
    </row>
    <row r="41" spans="1:7">
      <c r="A41" s="93"/>
      <c r="B41" s="11"/>
      <c r="C41" s="11"/>
      <c r="D41" s="11"/>
      <c r="E41" s="11"/>
      <c r="F41" s="11"/>
      <c r="G41" s="338"/>
    </row>
    <row r="42" spans="1:7">
      <c r="A42" s="93"/>
      <c r="B42" s="11"/>
      <c r="C42" s="11"/>
      <c r="D42" s="11"/>
      <c r="E42" s="11"/>
      <c r="F42" s="11"/>
      <c r="G42" s="338"/>
    </row>
    <row r="43" spans="1:7">
      <c r="A43" s="493" t="s">
        <v>2071</v>
      </c>
      <c r="B43" s="343"/>
      <c r="C43" s="343"/>
      <c r="D43" s="343"/>
      <c r="E43" s="343"/>
      <c r="F43" s="343"/>
      <c r="G43" s="494"/>
    </row>
    <row r="44" spans="1:7">
      <c r="A44" s="93"/>
      <c r="B44" s="495"/>
      <c r="C44" s="495"/>
      <c r="D44" s="495"/>
      <c r="E44" s="495"/>
      <c r="F44" s="819" t="s">
        <v>2072</v>
      </c>
      <c r="G44" s="820" t="s">
        <v>1796</v>
      </c>
    </row>
    <row r="45" spans="1:7">
      <c r="A45" s="93"/>
      <c r="B45" s="819" t="s">
        <v>1129</v>
      </c>
      <c r="C45" s="819" t="s">
        <v>1797</v>
      </c>
      <c r="D45" s="495"/>
      <c r="E45" s="819" t="s">
        <v>430</v>
      </c>
      <c r="F45" s="819" t="s">
        <v>1798</v>
      </c>
      <c r="G45" s="820" t="s">
        <v>1799</v>
      </c>
    </row>
    <row r="46" spans="1:7">
      <c r="A46" s="93"/>
      <c r="B46" s="819" t="s">
        <v>3324</v>
      </c>
      <c r="C46" s="819" t="s">
        <v>1800</v>
      </c>
      <c r="D46" s="495"/>
      <c r="E46" s="819" t="s">
        <v>4033</v>
      </c>
      <c r="F46" s="819" t="s">
        <v>4034</v>
      </c>
      <c r="G46" s="820" t="s">
        <v>4035</v>
      </c>
    </row>
    <row r="47" spans="1:7">
      <c r="A47" s="93"/>
      <c r="B47" s="495">
        <v>1</v>
      </c>
      <c r="C47" s="495" t="s">
        <v>1801</v>
      </c>
      <c r="D47" s="495"/>
      <c r="E47" s="496"/>
      <c r="F47" s="497"/>
      <c r="G47" s="498"/>
    </row>
    <row r="48" spans="1:7">
      <c r="A48" s="93"/>
      <c r="B48" s="495">
        <v>2</v>
      </c>
      <c r="C48" s="495" t="s">
        <v>1802</v>
      </c>
      <c r="D48" s="495"/>
      <c r="E48" s="499"/>
      <c r="F48" s="497"/>
      <c r="G48" s="500"/>
    </row>
    <row r="49" spans="1:7">
      <c r="A49" s="93"/>
      <c r="B49" s="495">
        <v>3</v>
      </c>
      <c r="C49" s="495" t="s">
        <v>1042</v>
      </c>
      <c r="D49" s="495"/>
      <c r="E49" s="502"/>
      <c r="F49" s="503" t="str">
        <f>IF(ISERR(+E49/+E$52)," ",(E49/E$52))</f>
        <v xml:space="preserve"> </v>
      </c>
      <c r="G49" s="500"/>
    </row>
    <row r="50" spans="1:7">
      <c r="A50" s="93"/>
      <c r="B50" s="495">
        <v>4</v>
      </c>
      <c r="C50" s="495" t="s">
        <v>1803</v>
      </c>
      <c r="D50" s="495"/>
      <c r="E50" s="502"/>
      <c r="F50" s="503" t="str">
        <f>IF(ISERR(+E50/+E$52)," ",(E50/E$52))</f>
        <v xml:space="preserve"> </v>
      </c>
      <c r="G50" s="500"/>
    </row>
    <row r="51" spans="1:7">
      <c r="A51" s="93"/>
      <c r="B51" s="495">
        <v>5</v>
      </c>
      <c r="C51" s="495" t="s">
        <v>1804</v>
      </c>
      <c r="D51" s="495"/>
      <c r="E51" s="502"/>
      <c r="F51" s="503" t="str">
        <f>IF(ISERR(+E51/+E$52)," ",(E51/E$52))</f>
        <v xml:space="preserve"> </v>
      </c>
      <c r="G51" s="500"/>
    </row>
    <row r="52" spans="1:7">
      <c r="A52" s="93"/>
      <c r="B52" s="495">
        <v>6</v>
      </c>
      <c r="C52" s="495" t="s">
        <v>1805</v>
      </c>
      <c r="D52" s="495"/>
      <c r="E52" s="504">
        <f>E49+E50+E51</f>
        <v>0</v>
      </c>
      <c r="F52" s="503">
        <f>F49+F50+F51</f>
        <v>0</v>
      </c>
      <c r="G52" s="505"/>
    </row>
    <row r="53" spans="1:7">
      <c r="A53" s="93"/>
      <c r="B53" s="506">
        <v>7</v>
      </c>
      <c r="C53" s="506" t="s">
        <v>3342</v>
      </c>
      <c r="D53" s="506"/>
      <c r="E53" s="507"/>
      <c r="F53" s="497"/>
      <c r="G53" s="505"/>
    </row>
    <row r="54" spans="1:7">
      <c r="A54" s="93"/>
      <c r="B54" s="508"/>
      <c r="C54" s="508" t="s">
        <v>3343</v>
      </c>
      <c r="D54" s="508"/>
      <c r="E54" s="509"/>
      <c r="F54" s="497"/>
      <c r="G54" s="505"/>
    </row>
    <row r="55" spans="1:7">
      <c r="A55" s="93"/>
      <c r="B55" s="11"/>
      <c r="C55" s="11"/>
      <c r="D55" s="11"/>
      <c r="E55" s="11"/>
      <c r="F55" s="11"/>
      <c r="G55" s="338"/>
    </row>
    <row r="56" spans="1:7">
      <c r="A56" s="493" t="s">
        <v>2223</v>
      </c>
      <c r="B56" s="343"/>
      <c r="C56" s="343"/>
      <c r="D56" s="343"/>
      <c r="E56" s="343"/>
      <c r="F56" s="343"/>
      <c r="G56" s="494"/>
    </row>
    <row r="57" spans="1:7">
      <c r="A57" s="93"/>
      <c r="B57" s="11"/>
      <c r="C57" s="11"/>
      <c r="D57" s="11" t="s">
        <v>2224</v>
      </c>
      <c r="E57" s="501"/>
      <c r="F57" s="501"/>
      <c r="G57" s="338"/>
    </row>
    <row r="58" spans="1:7">
      <c r="A58" s="93"/>
      <c r="B58" s="11"/>
      <c r="C58" s="11"/>
      <c r="D58" s="11"/>
      <c r="E58" s="11"/>
      <c r="F58" s="11"/>
      <c r="G58" s="338"/>
    </row>
    <row r="59" spans="1:7">
      <c r="A59" s="493" t="s">
        <v>2225</v>
      </c>
      <c r="B59" s="343"/>
      <c r="C59" s="343"/>
      <c r="D59" s="343"/>
      <c r="E59" s="343"/>
      <c r="F59" s="343"/>
      <c r="G59" s="494"/>
    </row>
    <row r="60" spans="1:7">
      <c r="A60" s="93"/>
      <c r="B60" s="11"/>
      <c r="C60" s="11"/>
      <c r="D60" s="11" t="s">
        <v>2224</v>
      </c>
      <c r="E60" s="501"/>
      <c r="F60" s="501"/>
      <c r="G60" s="338"/>
    </row>
    <row r="61" spans="1:7">
      <c r="A61" s="93"/>
      <c r="B61" s="11"/>
      <c r="C61" s="11"/>
      <c r="D61" s="11"/>
      <c r="E61" s="11"/>
      <c r="F61" s="11"/>
      <c r="G61" s="338"/>
    </row>
    <row r="62" spans="1:7">
      <c r="A62" s="493" t="s">
        <v>3611</v>
      </c>
      <c r="B62" s="343"/>
      <c r="C62" s="343"/>
      <c r="D62" s="343"/>
      <c r="E62" s="343"/>
      <c r="F62" s="343"/>
      <c r="G62" s="494"/>
    </row>
    <row r="63" spans="1:7">
      <c r="A63" s="93" t="s">
        <v>3612</v>
      </c>
      <c r="B63" s="11"/>
      <c r="C63" s="11"/>
      <c r="D63" s="501" t="s">
        <v>2224</v>
      </c>
      <c r="E63" s="11"/>
      <c r="F63" s="11"/>
      <c r="G63" s="338"/>
    </row>
    <row r="64" spans="1:7" ht="15.75" thickBot="1">
      <c r="A64" s="137" t="s">
        <v>3745</v>
      </c>
      <c r="B64" s="138"/>
      <c r="C64" s="138"/>
      <c r="D64" s="510" t="s">
        <v>2224</v>
      </c>
      <c r="E64" s="138"/>
      <c r="F64" s="138"/>
      <c r="G64" s="339"/>
    </row>
    <row r="65" spans="1:7" ht="15.75">
      <c r="A65" s="484"/>
      <c r="B65" s="11"/>
      <c r="C65" s="484"/>
      <c r="D65" s="484"/>
    </row>
    <row r="66" spans="1:7">
      <c r="A66" s="128" t="s">
        <v>3746</v>
      </c>
      <c r="B66" s="128"/>
      <c r="C66" s="128"/>
      <c r="D66" s="128"/>
      <c r="E66" s="128"/>
      <c r="F66" s="128"/>
      <c r="G66" s="128"/>
    </row>
    <row r="67" spans="1:7">
      <c r="A67" s="11"/>
      <c r="B67" s="11"/>
      <c r="C67" s="11"/>
      <c r="D67" s="11"/>
      <c r="E67" s="131"/>
      <c r="F67" s="131"/>
      <c r="G67" s="131"/>
    </row>
    <row r="68" spans="1:7" ht="15.75">
      <c r="A68" s="11"/>
      <c r="B68" s="484"/>
    </row>
    <row r="69" spans="1:7" ht="16.5" thickBot="1">
      <c r="A69" s="511"/>
      <c r="B69" s="11"/>
      <c r="C69" s="11"/>
      <c r="D69" s="11"/>
      <c r="E69" s="11"/>
      <c r="F69" s="141"/>
    </row>
    <row r="70" spans="1:7">
      <c r="A70" s="142"/>
      <c r="B70" s="143"/>
      <c r="C70" s="143"/>
      <c r="D70" s="143"/>
      <c r="E70" s="143"/>
      <c r="F70" s="143"/>
      <c r="G70" s="92"/>
    </row>
    <row r="71" spans="1:7">
      <c r="A71" s="512" t="s">
        <v>3588</v>
      </c>
      <c r="B71" s="131"/>
      <c r="C71" s="131"/>
      <c r="D71" s="131"/>
      <c r="E71" s="131"/>
      <c r="F71" s="131"/>
      <c r="G71" s="132"/>
    </row>
    <row r="72" spans="1:7">
      <c r="A72" s="108"/>
      <c r="B72" s="109"/>
      <c r="C72" s="109"/>
      <c r="D72" s="109"/>
      <c r="E72" s="109"/>
      <c r="F72" s="109"/>
      <c r="G72" s="294"/>
    </row>
    <row r="73" spans="1:7">
      <c r="A73" s="99"/>
      <c r="B73" s="101"/>
      <c r="C73" s="101"/>
      <c r="D73" s="101"/>
      <c r="E73" s="101"/>
      <c r="F73" s="101"/>
      <c r="G73" s="338"/>
    </row>
    <row r="74" spans="1:7">
      <c r="A74" s="96"/>
      <c r="B74" s="97"/>
      <c r="C74" s="97"/>
      <c r="D74" s="97"/>
      <c r="E74" s="97"/>
      <c r="F74" s="97"/>
      <c r="G74" s="338"/>
    </row>
    <row r="75" spans="1:7">
      <c r="A75" s="96"/>
      <c r="B75" s="97"/>
      <c r="C75" s="97"/>
      <c r="D75" s="97"/>
      <c r="E75" s="97"/>
      <c r="F75" s="97"/>
      <c r="G75" s="338"/>
    </row>
    <row r="76" spans="1:7">
      <c r="A76" s="96"/>
      <c r="B76" s="97"/>
      <c r="C76" s="97"/>
      <c r="D76" s="97"/>
      <c r="E76" s="97"/>
      <c r="F76" s="97"/>
      <c r="G76" s="338"/>
    </row>
    <row r="77" spans="1:7">
      <c r="A77" s="96"/>
      <c r="B77" s="97"/>
      <c r="C77" s="97"/>
      <c r="D77" s="97"/>
      <c r="E77" s="97"/>
      <c r="F77" s="97"/>
      <c r="G77" s="338"/>
    </row>
    <row r="78" spans="1:7">
      <c r="A78" s="96"/>
      <c r="B78" s="97"/>
      <c r="C78" s="97"/>
      <c r="D78" s="97"/>
      <c r="E78" s="97"/>
      <c r="F78" s="97"/>
      <c r="G78" s="338"/>
    </row>
    <row r="79" spans="1:7">
      <c r="A79" s="96"/>
      <c r="B79" s="97"/>
      <c r="C79" s="97"/>
      <c r="D79" s="97"/>
      <c r="E79" s="97"/>
      <c r="F79" s="97"/>
      <c r="G79" s="338"/>
    </row>
    <row r="80" spans="1:7">
      <c r="A80" s="96"/>
      <c r="B80" s="97"/>
      <c r="C80" s="97"/>
      <c r="D80" s="97"/>
      <c r="E80" s="97"/>
      <c r="F80" s="97"/>
      <c r="G80" s="338"/>
    </row>
    <row r="81" spans="1:7">
      <c r="A81" s="96"/>
      <c r="B81" s="97"/>
      <c r="C81" s="97"/>
      <c r="D81" s="97"/>
      <c r="E81" s="97"/>
      <c r="F81" s="97"/>
      <c r="G81" s="338"/>
    </row>
    <row r="82" spans="1:7">
      <c r="A82" s="96"/>
      <c r="B82" s="97"/>
      <c r="C82" s="105"/>
      <c r="D82" s="11"/>
      <c r="E82" s="105"/>
      <c r="F82" s="105"/>
      <c r="G82" s="338"/>
    </row>
    <row r="83" spans="1:7">
      <c r="A83" s="96"/>
      <c r="B83" s="97"/>
      <c r="C83" s="97"/>
      <c r="D83" s="97"/>
      <c r="E83" s="11"/>
      <c r="F83" s="97"/>
      <c r="G83" s="338"/>
    </row>
    <row r="84" spans="1:7">
      <c r="A84" s="96"/>
      <c r="B84" s="97"/>
      <c r="C84" s="97"/>
      <c r="D84" s="97"/>
      <c r="E84" s="97"/>
      <c r="F84" s="97"/>
      <c r="G84" s="338"/>
    </row>
    <row r="85" spans="1:7">
      <c r="A85" s="96"/>
      <c r="B85" s="97"/>
      <c r="C85" s="97"/>
      <c r="D85" s="97"/>
      <c r="E85" s="97"/>
      <c r="F85" s="97"/>
      <c r="G85" s="338"/>
    </row>
    <row r="86" spans="1:7">
      <c r="A86" s="96"/>
      <c r="B86" s="97"/>
      <c r="C86" s="97"/>
      <c r="D86" s="97"/>
      <c r="E86" s="97"/>
      <c r="F86" s="97"/>
      <c r="G86" s="338"/>
    </row>
    <row r="87" spans="1:7">
      <c r="A87" s="96"/>
      <c r="B87" s="97"/>
      <c r="C87" s="97"/>
      <c r="D87" s="97"/>
      <c r="E87" s="97"/>
      <c r="F87" s="97"/>
      <c r="G87" s="338"/>
    </row>
    <row r="88" spans="1:7">
      <c r="A88" s="96"/>
      <c r="B88" s="97"/>
      <c r="C88" s="97"/>
      <c r="D88" s="97"/>
      <c r="E88" s="97"/>
      <c r="F88" s="97"/>
      <c r="G88" s="338"/>
    </row>
    <row r="89" spans="1:7">
      <c r="A89" s="96"/>
      <c r="B89" s="97"/>
      <c r="C89" s="97"/>
      <c r="D89" s="97"/>
      <c r="E89" s="97"/>
      <c r="F89" s="97"/>
      <c r="G89" s="338"/>
    </row>
    <row r="90" spans="1:7">
      <c r="A90" s="96"/>
      <c r="B90" s="97"/>
      <c r="C90" s="97"/>
      <c r="D90" s="97"/>
      <c r="E90" s="97"/>
      <c r="F90" s="97"/>
      <c r="G90" s="338"/>
    </row>
    <row r="91" spans="1:7">
      <c r="A91" s="96"/>
      <c r="B91" s="97"/>
      <c r="C91" s="97"/>
      <c r="D91" s="97"/>
      <c r="E91" s="97"/>
      <c r="F91" s="97"/>
      <c r="G91" s="338"/>
    </row>
    <row r="92" spans="1:7">
      <c r="A92" s="96"/>
      <c r="B92" s="97"/>
      <c r="C92" s="97"/>
      <c r="D92" s="97"/>
      <c r="E92" s="97"/>
      <c r="F92" s="97"/>
      <c r="G92" s="338"/>
    </row>
    <row r="93" spans="1:7">
      <c r="A93" s="96"/>
      <c r="B93" s="97"/>
      <c r="C93" s="97"/>
      <c r="D93" s="97"/>
      <c r="E93" s="97"/>
      <c r="F93" s="97"/>
      <c r="G93" s="338"/>
    </row>
    <row r="94" spans="1:7">
      <c r="A94" s="96"/>
      <c r="B94" s="97"/>
      <c r="C94" s="97"/>
      <c r="D94" s="97"/>
      <c r="E94" s="97"/>
      <c r="F94" s="97"/>
      <c r="G94" s="338"/>
    </row>
    <row r="95" spans="1:7">
      <c r="A95" s="96"/>
      <c r="B95" s="97"/>
      <c r="C95" s="97"/>
      <c r="D95" s="97"/>
      <c r="E95" s="97"/>
      <c r="F95" s="97"/>
      <c r="G95" s="338"/>
    </row>
    <row r="96" spans="1:7">
      <c r="A96" s="96"/>
      <c r="B96" s="97"/>
      <c r="C96" s="97"/>
      <c r="D96" s="97"/>
      <c r="E96" s="97"/>
      <c r="F96" s="97"/>
      <c r="G96" s="338"/>
    </row>
    <row r="97" spans="1:7">
      <c r="A97" s="96"/>
      <c r="B97" s="97"/>
      <c r="C97" s="97"/>
      <c r="D97" s="97"/>
      <c r="E97" s="97"/>
      <c r="F97" s="97"/>
      <c r="G97" s="338"/>
    </row>
    <row r="98" spans="1:7">
      <c r="A98" s="96"/>
      <c r="B98" s="97"/>
      <c r="C98" s="97"/>
      <c r="D98" s="97"/>
      <c r="E98" s="97"/>
      <c r="F98" s="97"/>
      <c r="G98" s="338"/>
    </row>
    <row r="99" spans="1:7">
      <c r="A99" s="96"/>
      <c r="B99" s="97"/>
      <c r="C99" s="97"/>
      <c r="D99" s="97"/>
      <c r="E99" s="97"/>
      <c r="F99" s="97"/>
      <c r="G99" s="338"/>
    </row>
    <row r="100" spans="1:7">
      <c r="A100" s="96"/>
      <c r="B100" s="97"/>
      <c r="C100" s="97"/>
      <c r="D100" s="97"/>
      <c r="E100" s="97"/>
      <c r="F100" s="97"/>
      <c r="G100" s="338"/>
    </row>
    <row r="101" spans="1:7">
      <c r="A101" s="96"/>
      <c r="B101" s="97"/>
      <c r="C101" s="97"/>
      <c r="D101" s="97"/>
      <c r="E101" s="97"/>
      <c r="F101" s="97"/>
      <c r="G101" s="338"/>
    </row>
    <row r="102" spans="1:7">
      <c r="A102" s="96"/>
      <c r="B102" s="97"/>
      <c r="C102" s="97"/>
      <c r="D102" s="97"/>
      <c r="E102" s="97"/>
      <c r="F102" s="97"/>
      <c r="G102" s="338"/>
    </row>
    <row r="103" spans="1:7">
      <c r="A103" s="96"/>
      <c r="B103" s="97"/>
      <c r="C103" s="97"/>
      <c r="D103" s="97"/>
      <c r="E103" s="97"/>
      <c r="F103" s="97"/>
      <c r="G103" s="338"/>
    </row>
    <row r="104" spans="1:7">
      <c r="A104" s="96"/>
      <c r="B104" s="97"/>
      <c r="C104" s="97"/>
      <c r="D104" s="97"/>
      <c r="E104" s="97"/>
      <c r="F104" s="97"/>
      <c r="G104" s="338"/>
    </row>
    <row r="105" spans="1:7">
      <c r="A105" s="96"/>
      <c r="B105" s="97"/>
      <c r="C105" s="97"/>
      <c r="D105" s="97"/>
      <c r="E105" s="97"/>
      <c r="F105" s="97"/>
      <c r="G105" s="338"/>
    </row>
    <row r="106" spans="1:7">
      <c r="A106" s="96"/>
      <c r="B106" s="97"/>
      <c r="C106" s="97"/>
      <c r="D106" s="97"/>
      <c r="E106" s="97"/>
      <c r="F106" s="97"/>
      <c r="G106" s="338"/>
    </row>
    <row r="107" spans="1:7">
      <c r="A107" s="96"/>
      <c r="B107" s="97"/>
      <c r="C107" s="97"/>
      <c r="D107" s="97"/>
      <c r="E107" s="97"/>
      <c r="F107" s="97"/>
      <c r="G107" s="338"/>
    </row>
    <row r="108" spans="1:7">
      <c r="A108" s="96"/>
      <c r="B108" s="97"/>
      <c r="C108" s="97"/>
      <c r="D108" s="97"/>
      <c r="E108" s="97"/>
      <c r="F108" s="97"/>
      <c r="G108" s="338"/>
    </row>
    <row r="109" spans="1:7">
      <c r="A109" s="96"/>
      <c r="B109" s="97"/>
      <c r="C109" s="97"/>
      <c r="D109" s="97"/>
      <c r="E109" s="97"/>
      <c r="F109" s="97"/>
      <c r="G109" s="338"/>
    </row>
    <row r="110" spans="1:7">
      <c r="A110" s="96"/>
      <c r="B110" s="97"/>
      <c r="C110" s="97"/>
      <c r="D110" s="97"/>
      <c r="E110" s="97"/>
      <c r="F110" s="97"/>
      <c r="G110" s="338"/>
    </row>
    <row r="111" spans="1:7">
      <c r="A111" s="96"/>
      <c r="B111" s="97"/>
      <c r="C111" s="97"/>
      <c r="D111" s="97"/>
      <c r="E111" s="97"/>
      <c r="F111" s="97"/>
      <c r="G111" s="338"/>
    </row>
    <row r="112" spans="1:7">
      <c r="A112" s="96"/>
      <c r="B112" s="97"/>
      <c r="C112" s="97"/>
      <c r="D112" s="97"/>
      <c r="E112" s="97"/>
      <c r="F112" s="97"/>
      <c r="G112" s="338"/>
    </row>
    <row r="113" spans="1:7">
      <c r="A113" s="96"/>
      <c r="B113" s="97"/>
      <c r="C113" s="97"/>
      <c r="D113" s="97"/>
      <c r="E113" s="97"/>
      <c r="F113" s="97"/>
      <c r="G113" s="338"/>
    </row>
    <row r="114" spans="1:7">
      <c r="A114" s="96"/>
      <c r="B114" s="97"/>
      <c r="C114" s="97"/>
      <c r="D114" s="97"/>
      <c r="E114" s="97"/>
      <c r="F114" s="97"/>
      <c r="G114" s="338"/>
    </row>
    <row r="115" spans="1:7">
      <c r="A115" s="96"/>
      <c r="B115" s="97"/>
      <c r="C115" s="97"/>
      <c r="D115" s="97"/>
      <c r="E115" s="97"/>
      <c r="F115" s="97"/>
      <c r="G115" s="338"/>
    </row>
    <row r="116" spans="1:7">
      <c r="A116" s="96"/>
      <c r="B116" s="97"/>
      <c r="C116" s="97"/>
      <c r="D116" s="97"/>
      <c r="E116" s="97"/>
      <c r="F116" s="97"/>
      <c r="G116" s="338"/>
    </row>
    <row r="117" spans="1:7">
      <c r="A117" s="96"/>
      <c r="B117" s="97"/>
      <c r="C117" s="97"/>
      <c r="D117" s="97"/>
      <c r="E117" s="97"/>
      <c r="F117" s="97"/>
      <c r="G117" s="338"/>
    </row>
    <row r="118" spans="1:7">
      <c r="A118" s="96"/>
      <c r="B118" s="97"/>
      <c r="C118" s="97"/>
      <c r="D118" s="97"/>
      <c r="E118" s="97"/>
      <c r="F118" s="97"/>
      <c r="G118" s="338"/>
    </row>
    <row r="119" spans="1:7">
      <c r="A119" s="96"/>
      <c r="B119" s="97"/>
      <c r="C119" s="97"/>
      <c r="D119" s="97"/>
      <c r="E119" s="97"/>
      <c r="F119" s="97"/>
      <c r="G119" s="338"/>
    </row>
    <row r="120" spans="1:7">
      <c r="A120" s="96"/>
      <c r="B120" s="97"/>
      <c r="C120" s="97"/>
      <c r="D120" s="97"/>
      <c r="E120" s="97"/>
      <c r="F120" s="97"/>
      <c r="G120" s="338"/>
    </row>
    <row r="121" spans="1:7">
      <c r="A121" s="96"/>
      <c r="B121" s="97"/>
      <c r="C121" s="97"/>
      <c r="D121" s="97"/>
      <c r="E121" s="97"/>
      <c r="F121" s="97"/>
      <c r="G121" s="338"/>
    </row>
    <row r="122" spans="1:7">
      <c r="A122" s="96"/>
      <c r="B122" s="97"/>
      <c r="C122" s="97"/>
      <c r="D122" s="97"/>
      <c r="E122" s="97"/>
      <c r="F122" s="97"/>
      <c r="G122" s="338"/>
    </row>
    <row r="123" spans="1:7">
      <c r="A123" s="96"/>
      <c r="B123" s="97"/>
      <c r="C123" s="97"/>
      <c r="D123" s="97"/>
      <c r="E123" s="97"/>
      <c r="F123" s="97"/>
      <c r="G123" s="338"/>
    </row>
    <row r="124" spans="1:7">
      <c r="A124" s="96"/>
      <c r="B124" s="97"/>
      <c r="C124" s="97"/>
      <c r="D124" s="97"/>
      <c r="E124" s="97"/>
      <c r="F124" s="97"/>
      <c r="G124" s="338"/>
    </row>
    <row r="125" spans="1:7">
      <c r="A125" s="96"/>
      <c r="B125" s="97"/>
      <c r="C125" s="97"/>
      <c r="D125" s="97"/>
      <c r="E125" s="97"/>
      <c r="F125" s="97"/>
      <c r="G125" s="338"/>
    </row>
    <row r="126" spans="1:7" ht="15.75" thickBot="1">
      <c r="A126" s="172"/>
      <c r="B126" s="124"/>
      <c r="C126" s="481"/>
      <c r="D126" s="481"/>
      <c r="E126" s="481"/>
      <c r="F126" s="124"/>
      <c r="G126" s="339"/>
    </row>
    <row r="128" spans="1:7" ht="15.75">
      <c r="A128" s="97" t="s">
        <v>3747</v>
      </c>
      <c r="B128" s="11"/>
      <c r="C128" s="97"/>
      <c r="D128" s="484" t="s">
        <v>3748</v>
      </c>
      <c r="E128" s="11"/>
      <c r="F128" s="97"/>
    </row>
    <row r="129" spans="1:7" ht="15.75">
      <c r="A129" s="128" t="s">
        <v>4902</v>
      </c>
      <c r="B129" s="131"/>
      <c r="C129" s="128"/>
      <c r="D129" s="94"/>
      <c r="E129" s="131"/>
      <c r="F129" s="128"/>
      <c r="G129" s="131"/>
    </row>
  </sheetData>
  <customSheetViews>
    <customSheetView guid="{1BA452AD-1A45-4D9C-9666-ADFFA6F2F567}" colorId="22" fitToPage="1">
      <selection activeCell="A2" sqref="A2"/>
      <rowBreaks count="2" manualBreakCount="2">
        <brk id="66" max="16383" man="1"/>
        <brk id="69" max="16383" man="1"/>
      </rowBreaks>
      <pageMargins left="0.9" right="0.4" top="0.3" bottom="0.3" header="0" footer="0"/>
      <printOptions horizontalCentered="1" verticalCentered="1"/>
      <pageSetup scale="76" orientation="portrait" r:id="rId1"/>
      <headerFooter alignWithMargins="0"/>
    </customSheetView>
    <customSheetView guid="{EEF7ABD6-0F96-4791-B749-C06F707E7673}" scale="60" colorId="22" showPageBreaks="1" fitToPage="1" printArea="1" view="pageBreakPreview" showRuler="0">
      <selection activeCell="C104" sqref="C104"/>
      <rowBreaks count="2" manualBreakCount="2">
        <brk id="66" max="16383" man="1"/>
        <brk id="69" max="16383" man="1"/>
      </rowBreaks>
      <pageMargins left="0.9" right="0.4" top="0.3" bottom="0.3" header="0" footer="0"/>
      <printOptions horizontalCentered="1" verticalCentered="1"/>
      <pageSetup scale="72" orientation="portrait" r:id="rId2"/>
      <headerFooter alignWithMargins="0"/>
    </customSheetView>
    <customSheetView guid="{A7D7DB3C-AFE6-468E-8C6B-9531F6711497}" scale="60" colorId="22" showPageBreaks="1" fitToPage="1" printArea="1" view="pageBreakPreview" showRuler="0">
      <selection sqref="A1:IV65536"/>
      <rowBreaks count="2" manualBreakCount="2">
        <brk id="66" max="16383" man="1"/>
        <brk id="69" max="16383" man="1"/>
      </rowBreaks>
      <pageMargins left="0.9" right="0.4" top="0.3" bottom="0.3" header="0" footer="0"/>
      <printOptions horizontalCentered="1" verticalCentered="1"/>
      <pageSetup scale="72" orientation="portrait" r:id="rId3"/>
      <headerFooter alignWithMargins="0"/>
    </customSheetView>
    <customSheetView guid="{4436FEB5-BFEC-4348-9286-CB706802873E}" scale="60" colorId="22" showPageBreaks="1" fitToPage="1" printArea="1" view="pageBreakPreview" showRuler="0">
      <selection sqref="A1:IV65536"/>
      <rowBreaks count="2" manualBreakCount="2">
        <brk id="66" max="16383" man="1"/>
        <brk id="69" max="16383" man="1"/>
      </rowBreaks>
      <pageMargins left="0.9" right="0.4" top="0.3" bottom="0.3" header="0" footer="0"/>
      <printOptions horizontalCentered="1" verticalCentered="1"/>
      <pageSetup scale="72" orientation="portrait" r:id="rId4"/>
      <headerFooter alignWithMargins="0"/>
    </customSheetView>
    <customSheetView guid="{044CF00C-469F-44B3-B2C4-9B4049CE70CB}" scale="87" colorId="22" fitToPage="1" showRuler="0">
      <selection activeCell="A2" sqref="A2"/>
      <rowBreaks count="2" manualBreakCount="2">
        <brk id="66" max="16383" man="1"/>
        <brk id="69" max="16383" man="1"/>
      </rowBreaks>
      <pageMargins left="0.9" right="0.4" top="0.3" bottom="0.3" header="0" footer="0"/>
      <printOptions horizontalCentered="1" verticalCentered="1"/>
      <pageSetup scale="72" orientation="portrait" r:id="rId5"/>
      <headerFooter alignWithMargins="0"/>
    </customSheetView>
    <customSheetView guid="{4826FCC0-BDD6-4B2C-ACC6-ACE271DDF0E3}" scale="60" colorId="22" showPageBreaks="1" fitToPage="1" printArea="1" view="pageBreakPreview" showRuler="0">
      <selection activeCell="C104" sqref="C104"/>
      <rowBreaks count="2" manualBreakCount="2">
        <brk id="66" max="16383" man="1"/>
        <brk id="69" max="16383" man="1"/>
      </rowBreaks>
      <pageMargins left="0.9" right="0.4" top="0.3" bottom="0.3" header="0" footer="0"/>
      <printOptions horizontalCentered="1" verticalCentered="1"/>
      <pageSetup scale="72" orientation="portrait" r:id="rId6"/>
      <headerFooter alignWithMargins="0"/>
    </customSheetView>
    <customSheetView guid="{EF376D10-23D6-4FE2-AB5B-4460D52CC93F}" scale="60" colorId="22" showPageBreaks="1" fitToPage="1" printArea="1" view="pageBreakPreview" showRuler="0">
      <selection activeCell="C104" sqref="C104"/>
      <rowBreaks count="2" manualBreakCount="2">
        <brk id="66" max="16383" man="1"/>
        <brk id="69" max="16383" man="1"/>
      </rowBreaks>
      <pageMargins left="0.9" right="0.4" top="0.3" bottom="0.3" header="0" footer="0"/>
      <printOptions horizontalCentered="1" verticalCentered="1"/>
      <pageSetup scale="72" orientation="portrait" r:id="rId7"/>
      <headerFooter alignWithMargins="0"/>
    </customSheetView>
    <customSheetView guid="{1C046605-15CE-44F1-BFCD-2CA8588E7ACF}" scale="60" colorId="22" showPageBreaks="1" fitToPage="1" printArea="1" view="pageBreakPreview" showRuler="0" topLeftCell="A19">
      <selection activeCell="I9" sqref="I9"/>
      <rowBreaks count="2" manualBreakCount="2">
        <brk id="66" max="16383" man="1"/>
        <brk id="69" max="16383" man="1"/>
      </rowBreaks>
      <pageMargins left="0.9" right="0.4" top="0.3" bottom="0.3" header="0" footer="0"/>
      <printOptions horizontalCentered="1" verticalCentered="1"/>
      <pageSetup scale="76" orientation="portrait" r:id="rId8"/>
      <headerFooter alignWithMargins="0"/>
    </customSheetView>
    <customSheetView guid="{3911D713-188C-46A1-A299-F21DD3B7A146}" scale="60" colorId="22" showPageBreaks="1" fitToPage="1" printArea="1" view="pageBreakPreview" showRuler="0" topLeftCell="A19">
      <selection activeCell="I9" sqref="I9"/>
      <rowBreaks count="2" manualBreakCount="2">
        <brk id="66" max="16383" man="1"/>
        <brk id="69" max="16383" man="1"/>
      </rowBreaks>
      <pageMargins left="0.9" right="0.4" top="0.3" bottom="0.3" header="0" footer="0"/>
      <printOptions horizontalCentered="1" verticalCentered="1"/>
      <pageSetup scale="76" orientation="portrait" r:id="rId9"/>
      <headerFooter alignWithMargins="0"/>
    </customSheetView>
    <customSheetView guid="{78BB1E60-60BE-4F56-9763-075185EFEFAB}" colorId="22" fitToPage="1">
      <selection activeCell="A2" sqref="A2"/>
      <rowBreaks count="2" manualBreakCount="2">
        <brk id="66" max="16383" man="1"/>
        <brk id="69" max="16383" man="1"/>
      </rowBreaks>
      <pageMargins left="0.9" right="0.4" top="0.3" bottom="0.3" header="0" footer="0"/>
      <printOptions horizontalCentered="1" verticalCentered="1"/>
      <pageSetup scale="76" orientation="portrait" r:id="rId10"/>
      <headerFooter alignWithMargins="0"/>
    </customSheetView>
    <customSheetView guid="{9C30803E-1E2D-4850-B0A5-591CA6F246A1}" colorId="22" fitToPage="1">
      <selection activeCell="A2" sqref="A2"/>
      <rowBreaks count="2" manualBreakCount="2">
        <brk id="66" max="16383" man="1"/>
        <brk id="69" max="16383" man="1"/>
      </rowBreaks>
      <pageMargins left="0.9" right="0.4" top="0.3" bottom="0.3" header="0" footer="0"/>
      <printOptions horizontalCentered="1" verticalCentered="1"/>
      <pageSetup scale="76" orientation="portrait" r:id="rId11"/>
      <headerFooter alignWithMargins="0"/>
    </customSheetView>
    <customSheetView guid="{3B1006FF-A2CA-49E7-9B25-DAC8815279AF}" colorId="22" fitToPage="1">
      <selection activeCell="A2" sqref="A2"/>
      <rowBreaks count="2" manualBreakCount="2">
        <brk id="66" max="16383" man="1"/>
        <brk id="69" max="16383" man="1"/>
      </rowBreaks>
      <pageMargins left="0.9" right="0.4" top="0.3" bottom="0.3" header="0" footer="0"/>
      <printOptions horizontalCentered="1" verticalCentered="1"/>
      <pageSetup scale="76" orientation="portrait" r:id="rId12"/>
      <headerFooter alignWithMargins="0"/>
    </customSheetView>
    <customSheetView guid="{FB1A60C8-E1F9-4DF0-8E0E-1C965F86027F}" colorId="22" fitToPage="1">
      <selection activeCell="A2" sqref="A2"/>
      <rowBreaks count="2" manualBreakCount="2">
        <brk id="66" max="16383" man="1"/>
        <brk id="69" max="16383" man="1"/>
      </rowBreaks>
      <pageMargins left="0.9" right="0.4" top="0.3" bottom="0.3" header="0" footer="0"/>
      <printOptions horizontalCentered="1" verticalCentered="1"/>
      <pageSetup scale="76" orientation="portrait" r:id="rId13"/>
      <headerFooter alignWithMargins="0"/>
    </customSheetView>
    <customSheetView guid="{C5B6D812-CBE6-46AA-99F7-02494E9802B4}" scale="70" colorId="22" fitToPage="1" topLeftCell="A4">
      <selection activeCell="C10" sqref="C10"/>
      <rowBreaks count="2" manualBreakCount="2">
        <brk id="66" max="16383" man="1"/>
        <brk id="69" max="16383" man="1"/>
      </rowBreaks>
      <pageMargins left="0.9" right="0.4" top="0.3" bottom="0.3" header="0" footer="0"/>
      <printOptions horizontalCentered="1" verticalCentered="1"/>
      <pageSetup scale="76" orientation="portrait" r:id="rId14"/>
      <headerFooter alignWithMargins="0"/>
    </customSheetView>
  </customSheetViews>
  <phoneticPr fontId="0" type="noConversion"/>
  <printOptions horizontalCentered="1" verticalCentered="1"/>
  <pageMargins left="0.9" right="0.4" top="0.3" bottom="0.3" header="0" footer="0"/>
  <pageSetup scale="76" orientation="portrait" r:id="rId15"/>
  <headerFooter alignWithMargins="0"/>
  <rowBreaks count="2" manualBreakCount="2">
    <brk id="66" max="16383" man="1"/>
    <brk id="69" max="16383" man="1"/>
  </rowBreaks>
  <customProperties>
    <customPr name="_pios_id" r:id="rId16"/>
  </customProperties>
</worksheet>
</file>

<file path=xl/worksheets/sheet24.xml><?xml version="1.0" encoding="utf-8"?>
<worksheet xmlns="http://schemas.openxmlformats.org/spreadsheetml/2006/main" xmlns:r="http://schemas.openxmlformats.org/officeDocument/2006/relationships">
  <sheetPr transitionEvaluation="1" codeName="Sheet24" enableFormatConditionsCalculation="0">
    <pageSetUpPr fitToPage="1"/>
  </sheetPr>
  <dimension ref="A1:F338"/>
  <sheetViews>
    <sheetView defaultGridColor="0" colorId="22" zoomScale="70" zoomScaleNormal="70" workbookViewId="0"/>
  </sheetViews>
  <sheetFormatPr defaultColWidth="9.77734375" defaultRowHeight="15"/>
  <cols>
    <col min="1" max="1" width="4.77734375" customWidth="1"/>
    <col min="2" max="2" width="79.6640625" bestFit="1" customWidth="1"/>
    <col min="3" max="3" width="18.77734375" customWidth="1"/>
    <col min="4" max="5" width="15.77734375" customWidth="1"/>
    <col min="6" max="6" width="20.5546875" customWidth="1"/>
  </cols>
  <sheetData>
    <row r="1" spans="1:6" ht="15.75" thickBot="1">
      <c r="A1" s="186" t="str">
        <f>+'Data sheet'!A53</f>
        <v>Annual Report of New York American Water Company, Inc. (f/k/a Long Island Water Corp)                                   Year Ended  December 31, 2013</v>
      </c>
      <c r="B1" s="97"/>
      <c r="C1" s="2434"/>
      <c r="D1" s="97"/>
      <c r="E1" s="97"/>
      <c r="F1" s="97"/>
    </row>
    <row r="2" spans="1:6">
      <c r="A2" s="142"/>
      <c r="B2" s="513"/>
      <c r="C2" s="514"/>
      <c r="D2" s="143"/>
      <c r="E2" s="513"/>
      <c r="F2" s="144"/>
    </row>
    <row r="3" spans="1:6" ht="15.75">
      <c r="A3" s="130"/>
      <c r="B3" s="94" t="s">
        <v>3995</v>
      </c>
      <c r="C3" s="128"/>
      <c r="D3" s="128"/>
      <c r="E3" s="128"/>
      <c r="F3" s="145"/>
    </row>
    <row r="4" spans="1:6">
      <c r="A4" s="108"/>
      <c r="B4" s="109"/>
      <c r="C4" s="109"/>
      <c r="D4" s="109"/>
      <c r="E4" s="109"/>
      <c r="F4" s="112"/>
    </row>
    <row r="5" spans="1:6">
      <c r="A5" s="876" t="s">
        <v>1828</v>
      </c>
      <c r="B5" s="406"/>
      <c r="C5" s="406"/>
      <c r="D5" s="406"/>
      <c r="E5" s="406"/>
      <c r="F5" s="407"/>
    </row>
    <row r="6" spans="1:6">
      <c r="A6" s="876"/>
      <c r="B6" s="406"/>
      <c r="C6" s="406"/>
      <c r="D6" s="406"/>
      <c r="E6" s="406"/>
      <c r="F6" s="407"/>
    </row>
    <row r="7" spans="1:6">
      <c r="A7" s="876" t="s">
        <v>1329</v>
      </c>
      <c r="B7" s="406"/>
      <c r="C7" s="406"/>
      <c r="D7" s="406"/>
      <c r="E7" s="406"/>
      <c r="F7" s="407"/>
    </row>
    <row r="8" spans="1:6">
      <c r="A8" s="876" t="s">
        <v>3461</v>
      </c>
      <c r="B8" s="406"/>
      <c r="C8" s="406"/>
      <c r="D8" s="406"/>
      <c r="E8" s="406"/>
      <c r="F8" s="407"/>
    </row>
    <row r="9" spans="1:6">
      <c r="A9" s="876"/>
      <c r="B9" s="406"/>
      <c r="C9" s="406"/>
      <c r="D9" s="406"/>
      <c r="E9" s="406"/>
      <c r="F9" s="407"/>
    </row>
    <row r="10" spans="1:6">
      <c r="A10" s="876" t="s">
        <v>879</v>
      </c>
      <c r="B10" s="406"/>
      <c r="C10" s="406"/>
      <c r="D10" s="406"/>
      <c r="E10" s="406"/>
      <c r="F10" s="407"/>
    </row>
    <row r="11" spans="1:6">
      <c r="A11" s="876" t="s">
        <v>3552</v>
      </c>
      <c r="B11" s="406"/>
      <c r="C11" s="406"/>
      <c r="D11" s="406"/>
      <c r="E11" s="406"/>
      <c r="F11" s="407"/>
    </row>
    <row r="12" spans="1:6">
      <c r="A12" s="876" t="s">
        <v>3043</v>
      </c>
      <c r="B12" s="406"/>
      <c r="C12" s="406"/>
      <c r="D12" s="406"/>
      <c r="E12" s="406"/>
      <c r="F12" s="407"/>
    </row>
    <row r="13" spans="1:6">
      <c r="A13" s="876" t="s">
        <v>1727</v>
      </c>
      <c r="B13" s="406"/>
      <c r="C13" s="406"/>
      <c r="D13" s="406"/>
      <c r="E13" s="406"/>
      <c r="F13" s="407"/>
    </row>
    <row r="14" spans="1:6">
      <c r="A14" s="876"/>
      <c r="B14" s="406"/>
      <c r="C14" s="406"/>
      <c r="D14" s="406"/>
      <c r="E14" s="406"/>
      <c r="F14" s="407"/>
    </row>
    <row r="15" spans="1:6">
      <c r="A15" s="876" t="s">
        <v>193</v>
      </c>
      <c r="B15" s="406"/>
      <c r="C15" s="406"/>
      <c r="D15" s="406"/>
      <c r="E15" s="406"/>
      <c r="F15" s="407"/>
    </row>
    <row r="16" spans="1:6">
      <c r="A16" s="108"/>
      <c r="B16" s="109"/>
      <c r="C16" s="109"/>
      <c r="D16" s="109"/>
      <c r="E16" s="109"/>
      <c r="F16" s="112"/>
    </row>
    <row r="17" spans="1:6">
      <c r="A17" s="515"/>
      <c r="B17" s="516" t="s">
        <v>194</v>
      </c>
      <c r="C17" s="516"/>
      <c r="D17" s="516"/>
      <c r="E17" s="516"/>
      <c r="F17" s="517"/>
    </row>
    <row r="18" spans="1:6">
      <c r="A18" s="444"/>
      <c r="B18" s="97"/>
      <c r="C18" s="666" t="s">
        <v>3323</v>
      </c>
      <c r="D18" s="666" t="s">
        <v>1806</v>
      </c>
      <c r="E18" s="666" t="s">
        <v>1806</v>
      </c>
      <c r="F18" s="878"/>
    </row>
    <row r="19" spans="1:6">
      <c r="A19" s="444" t="s">
        <v>1129</v>
      </c>
      <c r="B19" s="105" t="s">
        <v>429</v>
      </c>
      <c r="C19" s="666" t="s">
        <v>1807</v>
      </c>
      <c r="D19" s="666" t="s">
        <v>592</v>
      </c>
      <c r="E19" s="666" t="s">
        <v>593</v>
      </c>
      <c r="F19" s="878"/>
    </row>
    <row r="20" spans="1:6">
      <c r="A20" s="444" t="s">
        <v>3324</v>
      </c>
      <c r="B20" s="799" t="s">
        <v>4032</v>
      </c>
      <c r="C20" s="667" t="s">
        <v>4033</v>
      </c>
      <c r="D20" s="667" t="s">
        <v>4034</v>
      </c>
      <c r="E20" s="667" t="s">
        <v>4035</v>
      </c>
      <c r="F20" s="878"/>
    </row>
    <row r="21" spans="1:6">
      <c r="A21" s="415">
        <v>1</v>
      </c>
      <c r="B21" s="446" t="s">
        <v>594</v>
      </c>
      <c r="C21" s="450">
        <f>+D21+E21</f>
        <v>51902699.259999998</v>
      </c>
      <c r="D21" s="2985">
        <f>51902301.89+397.37</f>
        <v>51902699.259999998</v>
      </c>
      <c r="E21" s="2985"/>
      <c r="F21" s="881"/>
    </row>
    <row r="22" spans="1:6">
      <c r="A22" s="520">
        <v>2</v>
      </c>
      <c r="B22" s="101" t="s">
        <v>595</v>
      </c>
      <c r="C22" s="877"/>
      <c r="D22" s="2986"/>
      <c r="E22" s="2987"/>
      <c r="F22" s="878"/>
    </row>
    <row r="23" spans="1:6">
      <c r="A23" s="521"/>
      <c r="B23" s="109" t="s">
        <v>596</v>
      </c>
      <c r="C23" s="879"/>
      <c r="D23" s="2988">
        <v>3271890</v>
      </c>
      <c r="E23" s="2989"/>
      <c r="F23" s="878"/>
    </row>
    <row r="24" spans="1:6">
      <c r="A24" s="415">
        <v>3</v>
      </c>
      <c r="B24" s="446" t="s">
        <v>597</v>
      </c>
      <c r="C24" s="450">
        <f t="shared" ref="C24:C29" si="0">+D24+E24</f>
        <v>4437755.74</v>
      </c>
      <c r="D24" s="2990">
        <f>4408736.11+6573.91+22445.72</f>
        <v>4437755.74</v>
      </c>
      <c r="E24" s="2991"/>
      <c r="F24" s="878"/>
    </row>
    <row r="25" spans="1:6">
      <c r="A25" s="415">
        <v>4</v>
      </c>
      <c r="B25" s="446" t="s">
        <v>598</v>
      </c>
      <c r="C25" s="450">
        <f t="shared" si="0"/>
        <v>0</v>
      </c>
      <c r="D25" s="2992"/>
      <c r="E25" s="2989"/>
      <c r="F25" s="883"/>
    </row>
    <row r="26" spans="1:6">
      <c r="A26" s="415">
        <v>5</v>
      </c>
      <c r="B26" s="446" t="s">
        <v>599</v>
      </c>
      <c r="C26" s="450">
        <f t="shared" si="0"/>
        <v>0</v>
      </c>
      <c r="D26" s="2993"/>
      <c r="E26" s="2994"/>
      <c r="F26" s="878"/>
    </row>
    <row r="27" spans="1:6">
      <c r="A27" s="415">
        <v>6</v>
      </c>
      <c r="B27" s="446" t="s">
        <v>600</v>
      </c>
      <c r="C27" s="450">
        <f t="shared" si="0"/>
        <v>0</v>
      </c>
      <c r="D27" s="2990"/>
      <c r="E27" s="2990"/>
      <c r="F27" s="883"/>
    </row>
    <row r="28" spans="1:6">
      <c r="A28" s="415">
        <v>7</v>
      </c>
      <c r="B28" s="446" t="s">
        <v>1889</v>
      </c>
      <c r="C28" s="450">
        <f t="shared" si="0"/>
        <v>0</v>
      </c>
      <c r="D28" s="2990"/>
      <c r="E28" s="2990"/>
      <c r="F28" s="883"/>
    </row>
    <row r="29" spans="1:6">
      <c r="A29" s="415">
        <v>8</v>
      </c>
      <c r="B29" s="446" t="s">
        <v>2054</v>
      </c>
      <c r="C29" s="450">
        <f t="shared" si="0"/>
        <v>0</v>
      </c>
      <c r="D29" s="2990">
        <v>0</v>
      </c>
      <c r="E29" s="2990"/>
      <c r="F29" s="883"/>
    </row>
    <row r="30" spans="1:6">
      <c r="A30" s="520">
        <v>9</v>
      </c>
      <c r="B30" s="101" t="s">
        <v>1890</v>
      </c>
      <c r="C30" s="523">
        <f>SUM(C24:C29)</f>
        <v>4437755.74</v>
      </c>
      <c r="D30" s="2995">
        <f>SUM(D24:D29)</f>
        <v>4437755.74</v>
      </c>
      <c r="E30" s="2995">
        <v>0</v>
      </c>
      <c r="F30" s="884"/>
    </row>
    <row r="31" spans="1:6">
      <c r="A31" s="521"/>
      <c r="B31" s="109" t="s">
        <v>1891</v>
      </c>
      <c r="C31" s="524"/>
      <c r="D31" s="2996"/>
      <c r="E31" s="2996"/>
      <c r="F31" s="878"/>
    </row>
    <row r="32" spans="1:6">
      <c r="A32" s="415">
        <v>10</v>
      </c>
      <c r="B32" s="446" t="s">
        <v>1892</v>
      </c>
      <c r="C32" s="882" t="s">
        <v>4373</v>
      </c>
      <c r="D32" s="2997"/>
      <c r="E32" s="2992"/>
      <c r="F32" s="878"/>
    </row>
    <row r="33" spans="1:6">
      <c r="A33" s="415">
        <v>11</v>
      </c>
      <c r="B33" s="446" t="s">
        <v>1893</v>
      </c>
      <c r="C33" s="450">
        <f>+D33+E33</f>
        <v>2063683.79</v>
      </c>
      <c r="D33" s="2990">
        <v>2063683.79</v>
      </c>
      <c r="E33" s="2990"/>
      <c r="F33" s="883"/>
    </row>
    <row r="34" spans="1:6">
      <c r="A34" s="415">
        <v>12</v>
      </c>
      <c r="B34" s="446" t="s">
        <v>2173</v>
      </c>
      <c r="C34" s="450">
        <f>+D34+E34</f>
        <v>960387.89</v>
      </c>
      <c r="D34" s="2990">
        <v>960387.89</v>
      </c>
      <c r="E34" s="2990"/>
      <c r="F34" s="883"/>
    </row>
    <row r="35" spans="1:6">
      <c r="A35" s="415">
        <v>13</v>
      </c>
      <c r="B35" s="446" t="s">
        <v>1894</v>
      </c>
      <c r="C35" s="450">
        <f t="shared" ref="C35:C40" si="1">+D35+E35</f>
        <v>0</v>
      </c>
      <c r="D35" s="2990"/>
      <c r="E35" s="2990"/>
      <c r="F35" s="883"/>
    </row>
    <row r="36" spans="1:6">
      <c r="A36" s="520">
        <v>14</v>
      </c>
      <c r="B36" s="101" t="s">
        <v>1895</v>
      </c>
      <c r="C36" s="450">
        <f t="shared" si="1"/>
        <v>3024071.68</v>
      </c>
      <c r="D36" s="2990">
        <f>D33+D34+D35</f>
        <v>3024071.68</v>
      </c>
      <c r="E36" s="2990">
        <v>0</v>
      </c>
      <c r="F36" s="884"/>
    </row>
    <row r="37" spans="1:6">
      <c r="A37" s="521"/>
      <c r="B37" s="109" t="s">
        <v>1896</v>
      </c>
      <c r="C37" s="450">
        <f t="shared" si="1"/>
        <v>0</v>
      </c>
      <c r="D37" s="2990"/>
      <c r="E37" s="2990"/>
      <c r="F37" s="878"/>
    </row>
    <row r="38" spans="1:6">
      <c r="A38" s="415">
        <v>15</v>
      </c>
      <c r="B38" s="2931" t="s">
        <v>5161</v>
      </c>
      <c r="C38" s="450">
        <f t="shared" si="1"/>
        <v>22843.09</v>
      </c>
      <c r="D38" s="2990">
        <f>22445.72+397.37</f>
        <v>22843.09</v>
      </c>
      <c r="E38" s="2990"/>
      <c r="F38" s="883"/>
    </row>
    <row r="39" spans="1:6">
      <c r="A39" s="415">
        <v>16</v>
      </c>
      <c r="B39" s="446" t="s">
        <v>2055</v>
      </c>
      <c r="C39" s="450">
        <f t="shared" si="1"/>
        <v>0</v>
      </c>
      <c r="D39" s="2990"/>
      <c r="E39" s="2990"/>
      <c r="F39" s="883"/>
    </row>
    <row r="40" spans="1:6">
      <c r="A40" s="520">
        <v>17</v>
      </c>
      <c r="B40" s="101" t="s">
        <v>1897</v>
      </c>
      <c r="C40" s="450">
        <f t="shared" si="1"/>
        <v>53293540.229999997</v>
      </c>
      <c r="D40" s="422">
        <f>+D21+D30-D36-D38</f>
        <v>53293540.229999997</v>
      </c>
      <c r="E40" s="422">
        <v>0</v>
      </c>
      <c r="F40" s="885"/>
    </row>
    <row r="41" spans="1:6">
      <c r="A41" s="521"/>
      <c r="B41" s="109" t="s">
        <v>737</v>
      </c>
      <c r="C41" s="524"/>
      <c r="D41" s="524"/>
      <c r="E41" s="524"/>
      <c r="F41" s="878"/>
    </row>
    <row r="42" spans="1:6">
      <c r="A42" s="415"/>
      <c r="B42" s="97" t="s">
        <v>4463</v>
      </c>
      <c r="C42" s="460"/>
      <c r="D42" s="460"/>
      <c r="E42" s="526"/>
      <c r="F42" s="878"/>
    </row>
    <row r="43" spans="1:6">
      <c r="A43" s="415">
        <v>18</v>
      </c>
      <c r="B43" s="446" t="s">
        <v>4464</v>
      </c>
      <c r="C43" s="450">
        <f>+D43+E43</f>
        <v>2654915.66</v>
      </c>
      <c r="D43" s="1743">
        <v>2654915.66</v>
      </c>
      <c r="E43" s="519" t="s">
        <v>4373</v>
      </c>
      <c r="F43" s="881"/>
    </row>
    <row r="44" spans="1:6">
      <c r="A44" s="415">
        <v>19</v>
      </c>
      <c r="B44" s="446" t="s">
        <v>4465</v>
      </c>
      <c r="C44" s="450">
        <f>+D44+E44</f>
        <v>5530339.6500000004</v>
      </c>
      <c r="D44" s="1743">
        <v>5530339.6500000004</v>
      </c>
      <c r="E44" s="522"/>
      <c r="F44" s="883"/>
    </row>
    <row r="45" spans="1:6">
      <c r="A45" s="415">
        <v>20</v>
      </c>
      <c r="B45" s="446" t="s">
        <v>2712</v>
      </c>
      <c r="C45" s="450">
        <f>+D45+E45</f>
        <v>7773634.8899999997</v>
      </c>
      <c r="D45" s="1743">
        <v>7773634.8899999997</v>
      </c>
      <c r="E45" s="522"/>
      <c r="F45" s="883"/>
    </row>
    <row r="46" spans="1:6">
      <c r="A46" s="415">
        <v>21</v>
      </c>
      <c r="B46" s="446" t="s">
        <v>2713</v>
      </c>
      <c r="C46" s="450">
        <f>+D46+E46</f>
        <v>31328243.620000001</v>
      </c>
      <c r="D46" s="1743">
        <v>31328243.620000001</v>
      </c>
      <c r="E46" s="522"/>
      <c r="F46" s="883"/>
    </row>
    <row r="47" spans="1:6">
      <c r="A47" s="415">
        <v>22</v>
      </c>
      <c r="B47" s="446" t="s">
        <v>2714</v>
      </c>
      <c r="C47" s="450">
        <f>+D47+E47</f>
        <v>6006406.4100000001</v>
      </c>
      <c r="D47" s="1743">
        <v>6006406.4100000001</v>
      </c>
      <c r="E47" s="522"/>
      <c r="F47" s="883"/>
    </row>
    <row r="48" spans="1:6" ht="15.75" thickBot="1">
      <c r="A48" s="435">
        <v>23</v>
      </c>
      <c r="B48" s="527" t="s">
        <v>2031</v>
      </c>
      <c r="C48" s="2653">
        <f>SUM(C43:C47)</f>
        <v>53293540.230000004</v>
      </c>
      <c r="D48" s="2653">
        <f>SUM(D43:D47)</f>
        <v>53293540.230000004</v>
      </c>
      <c r="E48" s="529">
        <v>0</v>
      </c>
      <c r="F48" s="886"/>
    </row>
    <row r="49" spans="1:6">
      <c r="A49" s="97" t="s">
        <v>3184</v>
      </c>
      <c r="B49" s="97"/>
      <c r="C49" s="97"/>
      <c r="D49" s="97"/>
      <c r="E49" s="97"/>
      <c r="F49" s="442"/>
    </row>
    <row r="50" spans="1:6">
      <c r="A50" s="128" t="s">
        <v>2032</v>
      </c>
      <c r="B50" s="128"/>
      <c r="C50" s="128"/>
      <c r="D50" s="128"/>
      <c r="E50" s="128"/>
      <c r="F50" s="128"/>
    </row>
    <row r="51" spans="1:6">
      <c r="A51" s="97"/>
      <c r="B51" s="97"/>
      <c r="C51" s="97"/>
      <c r="D51" s="97"/>
      <c r="E51" s="97"/>
      <c r="F51" s="97"/>
    </row>
    <row r="52" spans="1:6">
      <c r="A52" s="97"/>
      <c r="B52" s="97"/>
      <c r="C52" s="441"/>
      <c r="D52" s="441"/>
      <c r="E52" s="97"/>
      <c r="F52" s="97"/>
    </row>
    <row r="53" spans="1:6">
      <c r="A53" s="97"/>
      <c r="B53" s="97"/>
      <c r="C53" s="97"/>
      <c r="D53" s="97"/>
      <c r="E53" s="97"/>
      <c r="F53" s="97"/>
    </row>
    <row r="54" spans="1:6">
      <c r="A54" s="97"/>
      <c r="B54" s="97"/>
      <c r="C54" s="97"/>
      <c r="D54" s="97"/>
      <c r="E54" s="97"/>
      <c r="F54" s="97"/>
    </row>
    <row r="55" spans="1:6">
      <c r="A55" s="97"/>
      <c r="B55" s="97"/>
      <c r="C55" s="97"/>
      <c r="D55" s="97"/>
      <c r="E55" s="97"/>
      <c r="F55" s="97"/>
    </row>
    <row r="56" spans="1:6">
      <c r="A56" s="97"/>
      <c r="B56" s="97"/>
      <c r="C56" s="97"/>
      <c r="D56" s="97"/>
      <c r="E56" s="97"/>
      <c r="F56" s="97"/>
    </row>
    <row r="57" spans="1:6">
      <c r="A57" s="97"/>
      <c r="B57" s="97"/>
      <c r="C57" s="97"/>
      <c r="D57" s="97"/>
      <c r="E57" s="97"/>
      <c r="F57" s="97"/>
    </row>
    <row r="58" spans="1:6">
      <c r="A58" s="97"/>
      <c r="B58" s="97"/>
      <c r="C58" s="97"/>
      <c r="D58" s="97"/>
      <c r="E58" s="97"/>
      <c r="F58" s="97"/>
    </row>
    <row r="59" spans="1:6">
      <c r="A59" s="97"/>
      <c r="B59" s="97"/>
      <c r="C59" s="97"/>
      <c r="D59" s="97"/>
      <c r="E59" s="97"/>
      <c r="F59" s="97"/>
    </row>
    <row r="60" spans="1:6">
      <c r="A60" s="97"/>
      <c r="B60" s="97"/>
      <c r="C60" s="97"/>
      <c r="D60" s="97"/>
      <c r="E60" s="97"/>
      <c r="F60" s="97"/>
    </row>
    <row r="61" spans="1:6">
      <c r="A61" s="97"/>
      <c r="B61" s="97"/>
      <c r="C61" s="97"/>
      <c r="D61" s="97"/>
      <c r="E61" s="97"/>
      <c r="F61" s="97"/>
    </row>
    <row r="62" spans="1:6">
      <c r="A62" s="97"/>
      <c r="B62" s="97"/>
      <c r="C62" s="97"/>
      <c r="D62" s="97"/>
      <c r="E62" s="97"/>
      <c r="F62" s="97"/>
    </row>
    <row r="63" spans="1:6">
      <c r="A63" s="97"/>
      <c r="B63" s="97"/>
      <c r="C63" s="97"/>
      <c r="D63" s="97"/>
      <c r="E63" s="97"/>
      <c r="F63" s="97"/>
    </row>
    <row r="64" spans="1:6">
      <c r="A64" s="97"/>
      <c r="B64" s="97"/>
      <c r="C64" s="97"/>
      <c r="D64" s="97"/>
      <c r="E64" s="97"/>
      <c r="F64" s="97"/>
    </row>
    <row r="65" spans="1:6">
      <c r="A65" s="97"/>
      <c r="B65" s="97"/>
      <c r="C65" s="97"/>
      <c r="D65" s="97"/>
      <c r="E65" s="97"/>
      <c r="F65" s="97"/>
    </row>
    <row r="66" spans="1:6">
      <c r="A66" s="97"/>
      <c r="B66" s="97"/>
      <c r="C66" s="97"/>
      <c r="D66" s="97"/>
      <c r="E66" s="97"/>
      <c r="F66" s="97"/>
    </row>
    <row r="67" spans="1:6">
      <c r="A67" s="97"/>
      <c r="B67" s="97"/>
      <c r="C67" s="97"/>
      <c r="D67" s="97"/>
      <c r="E67" s="97"/>
      <c r="F67" s="97"/>
    </row>
    <row r="68" spans="1:6">
      <c r="A68" s="97"/>
      <c r="B68" s="97"/>
      <c r="C68" s="97"/>
      <c r="D68" s="97"/>
      <c r="E68" s="97"/>
      <c r="F68" s="97"/>
    </row>
    <row r="69" spans="1:6">
      <c r="A69" s="97"/>
      <c r="B69" s="97"/>
      <c r="C69" s="97"/>
      <c r="D69" s="97"/>
      <c r="E69" s="97"/>
      <c r="F69" s="97"/>
    </row>
    <row r="70" spans="1:6">
      <c r="A70" s="97"/>
      <c r="B70" s="97"/>
      <c r="C70" s="460"/>
      <c r="D70" s="460"/>
      <c r="E70" s="460"/>
      <c r="F70" s="97"/>
    </row>
    <row r="71" spans="1:6">
      <c r="A71" s="97"/>
      <c r="B71" s="97"/>
      <c r="C71" s="460"/>
      <c r="D71" s="460"/>
      <c r="E71" s="460"/>
      <c r="F71" s="97"/>
    </row>
    <row r="72" spans="1:6">
      <c r="A72" s="97"/>
      <c r="B72" s="97"/>
      <c r="C72" s="460"/>
      <c r="D72" s="460"/>
      <c r="E72" s="460"/>
      <c r="F72" s="97"/>
    </row>
    <row r="73" spans="1:6">
      <c r="A73" s="97"/>
      <c r="B73" s="97"/>
      <c r="C73" s="460"/>
      <c r="D73" s="460"/>
      <c r="E73" s="460"/>
      <c r="F73" s="97"/>
    </row>
    <row r="74" spans="1:6">
      <c r="A74" s="97"/>
      <c r="B74" s="97"/>
      <c r="C74" s="460"/>
      <c r="D74" s="460"/>
      <c r="E74" s="460"/>
      <c r="F74" s="97"/>
    </row>
    <row r="75" spans="1:6">
      <c r="A75" s="97"/>
      <c r="B75" s="97"/>
      <c r="C75" s="460"/>
      <c r="D75" s="460"/>
      <c r="E75" s="460"/>
      <c r="F75" s="97"/>
    </row>
    <row r="76" spans="1:6">
      <c r="A76" s="97"/>
      <c r="B76" s="97"/>
      <c r="C76" s="460"/>
      <c r="D76" s="460"/>
      <c r="E76" s="460"/>
      <c r="F76" s="97"/>
    </row>
    <row r="77" spans="1:6">
      <c r="A77" s="97"/>
      <c r="B77" s="97"/>
      <c r="C77" s="460"/>
      <c r="D77" s="460"/>
      <c r="E77" s="460"/>
      <c r="F77" s="97"/>
    </row>
    <row r="78" spans="1:6">
      <c r="A78" s="97"/>
      <c r="B78" s="97"/>
      <c r="C78" s="460"/>
      <c r="D78" s="460"/>
      <c r="E78" s="460"/>
      <c r="F78" s="97"/>
    </row>
    <row r="79" spans="1:6">
      <c r="A79" s="97"/>
      <c r="B79" s="97"/>
      <c r="C79" s="460"/>
      <c r="D79" s="460"/>
      <c r="E79" s="460"/>
      <c r="F79" s="97"/>
    </row>
    <row r="80" spans="1:6">
      <c r="A80" s="97"/>
      <c r="B80" s="97"/>
      <c r="C80" s="460"/>
      <c r="D80" s="460"/>
      <c r="E80" s="460"/>
      <c r="F80" s="97"/>
    </row>
    <row r="81" spans="1:6">
      <c r="A81" s="97"/>
      <c r="B81" s="97"/>
      <c r="C81" s="460"/>
      <c r="D81" s="460"/>
      <c r="E81" s="460"/>
      <c r="F81" s="97"/>
    </row>
    <row r="82" spans="1:6">
      <c r="A82" s="97"/>
      <c r="B82" s="97"/>
      <c r="C82" s="460"/>
      <c r="D82" s="460"/>
      <c r="E82" s="460"/>
      <c r="F82" s="97"/>
    </row>
    <row r="83" spans="1:6">
      <c r="A83" s="97"/>
      <c r="B83" s="97"/>
      <c r="C83" s="460"/>
      <c r="D83" s="460"/>
      <c r="E83" s="460"/>
      <c r="F83" s="97"/>
    </row>
    <row r="84" spans="1:6">
      <c r="A84" s="97"/>
      <c r="B84" s="97"/>
      <c r="C84" s="460"/>
      <c r="D84" s="460"/>
      <c r="E84" s="460"/>
      <c r="F84" s="97"/>
    </row>
    <row r="85" spans="1:6">
      <c r="A85" s="97"/>
      <c r="B85" s="97"/>
      <c r="C85" s="460"/>
      <c r="D85" s="460"/>
      <c r="E85" s="460"/>
      <c r="F85" s="97"/>
    </row>
    <row r="86" spans="1:6">
      <c r="A86" s="97"/>
      <c r="B86" s="97"/>
      <c r="C86" s="460"/>
      <c r="D86" s="460"/>
      <c r="E86" s="460"/>
      <c r="F86" s="97"/>
    </row>
    <row r="87" spans="1:6">
      <c r="A87" s="97"/>
      <c r="B87" s="97"/>
      <c r="C87" s="460"/>
      <c r="D87" s="460"/>
      <c r="E87" s="460"/>
      <c r="F87" s="97"/>
    </row>
    <row r="88" spans="1:6">
      <c r="A88" s="97"/>
      <c r="B88" s="97"/>
      <c r="C88" s="460"/>
      <c r="D88" s="460"/>
      <c r="E88" s="460"/>
      <c r="F88" s="97"/>
    </row>
    <row r="89" spans="1:6">
      <c r="A89" s="97"/>
      <c r="B89" s="97"/>
      <c r="C89" s="460"/>
      <c r="D89" s="460"/>
      <c r="E89" s="460"/>
      <c r="F89" s="97"/>
    </row>
    <row r="90" spans="1:6">
      <c r="A90" s="97"/>
      <c r="B90" s="97"/>
      <c r="C90" s="460"/>
      <c r="D90" s="460"/>
      <c r="E90" s="460"/>
      <c r="F90" s="97"/>
    </row>
    <row r="91" spans="1:6">
      <c r="A91" s="97"/>
      <c r="B91" s="97"/>
      <c r="C91" s="460"/>
      <c r="D91" s="460"/>
      <c r="E91" s="460"/>
      <c r="F91" s="97"/>
    </row>
    <row r="92" spans="1:6">
      <c r="A92" s="97"/>
      <c r="B92" s="97"/>
      <c r="C92" s="460"/>
      <c r="D92" s="460"/>
      <c r="E92" s="460"/>
      <c r="F92" s="97"/>
    </row>
    <row r="93" spans="1:6">
      <c r="A93" s="97"/>
      <c r="B93" s="97"/>
      <c r="C93" s="460"/>
      <c r="D93" s="460"/>
      <c r="E93" s="460"/>
      <c r="F93" s="97"/>
    </row>
    <row r="94" spans="1:6">
      <c r="A94" s="97"/>
      <c r="B94" s="97"/>
      <c r="C94" s="460"/>
      <c r="D94" s="460"/>
      <c r="E94" s="460"/>
      <c r="F94" s="97"/>
    </row>
    <row r="95" spans="1:6">
      <c r="A95" s="97"/>
      <c r="B95" s="97"/>
      <c r="C95" s="460"/>
      <c r="D95" s="460"/>
      <c r="E95" s="460"/>
      <c r="F95" s="97"/>
    </row>
    <row r="96" spans="1:6">
      <c r="A96" s="97"/>
      <c r="B96" s="97"/>
      <c r="C96" s="460"/>
      <c r="D96" s="460"/>
      <c r="E96" s="460"/>
      <c r="F96" s="97"/>
    </row>
    <row r="97" spans="1:6">
      <c r="A97" s="97"/>
      <c r="B97" s="97"/>
      <c r="C97" s="460"/>
      <c r="D97" s="460"/>
      <c r="E97" s="460"/>
      <c r="F97" s="97"/>
    </row>
    <row r="98" spans="1:6">
      <c r="A98" s="97"/>
      <c r="B98" s="97"/>
      <c r="C98" s="97"/>
      <c r="D98" s="97"/>
      <c r="E98" s="97"/>
      <c r="F98" s="97"/>
    </row>
    <row r="99" spans="1:6">
      <c r="A99" s="97"/>
      <c r="B99" s="97"/>
      <c r="C99" s="460"/>
      <c r="D99" s="460"/>
      <c r="E99" s="460"/>
      <c r="F99" s="97"/>
    </row>
    <row r="100" spans="1:6">
      <c r="A100" s="97"/>
      <c r="B100" s="97"/>
      <c r="C100" s="460"/>
      <c r="D100" s="460"/>
      <c r="E100" s="460"/>
      <c r="F100" s="97"/>
    </row>
    <row r="101" spans="1:6">
      <c r="A101" s="97"/>
      <c r="B101" s="97"/>
      <c r="C101" s="460"/>
      <c r="D101" s="460"/>
      <c r="E101" s="460"/>
      <c r="F101" s="97"/>
    </row>
    <row r="102" spans="1:6">
      <c r="A102" s="97"/>
      <c r="B102" s="97"/>
      <c r="C102" s="460"/>
      <c r="D102" s="460"/>
      <c r="E102" s="460"/>
      <c r="F102" s="97"/>
    </row>
    <row r="103" spans="1:6">
      <c r="A103" s="97"/>
      <c r="B103" s="97"/>
      <c r="C103" s="460"/>
      <c r="D103" s="460"/>
      <c r="E103" s="460"/>
      <c r="F103" s="97"/>
    </row>
    <row r="104" spans="1:6">
      <c r="A104" s="97"/>
      <c r="B104" s="97"/>
      <c r="C104" s="460"/>
      <c r="D104" s="460"/>
      <c r="E104" s="460"/>
      <c r="F104" s="97"/>
    </row>
    <row r="105" spans="1:6">
      <c r="A105" s="97"/>
      <c r="B105" s="97"/>
      <c r="C105" s="460"/>
      <c r="D105" s="460"/>
      <c r="E105" s="460"/>
      <c r="F105" s="97"/>
    </row>
    <row r="106" spans="1:6">
      <c r="A106" s="97"/>
      <c r="B106" s="97"/>
      <c r="C106" s="460"/>
      <c r="D106" s="460"/>
      <c r="E106" s="460"/>
      <c r="F106" s="97"/>
    </row>
    <row r="107" spans="1:6">
      <c r="A107" s="97"/>
      <c r="B107" s="97"/>
      <c r="C107" s="460"/>
      <c r="D107" s="460"/>
      <c r="E107" s="460"/>
      <c r="F107" s="97"/>
    </row>
    <row r="108" spans="1:6">
      <c r="A108" s="97"/>
      <c r="B108" s="97"/>
      <c r="C108" s="460"/>
      <c r="D108" s="460"/>
      <c r="E108" s="460"/>
      <c r="F108" s="97"/>
    </row>
    <row r="109" spans="1:6">
      <c r="A109" s="97"/>
      <c r="B109" s="97"/>
      <c r="C109" s="460"/>
      <c r="D109" s="460"/>
      <c r="E109" s="460"/>
      <c r="F109" s="97"/>
    </row>
    <row r="110" spans="1:6">
      <c r="A110" s="97"/>
      <c r="B110" s="97"/>
      <c r="C110" s="460"/>
      <c r="D110" s="460"/>
      <c r="E110" s="460"/>
      <c r="F110" s="97"/>
    </row>
    <row r="111" spans="1:6">
      <c r="A111" s="97"/>
      <c r="B111" s="97"/>
      <c r="C111" s="460"/>
      <c r="D111" s="460"/>
      <c r="E111" s="460"/>
      <c r="F111" s="97"/>
    </row>
    <row r="112" spans="1:6">
      <c r="A112" s="97"/>
      <c r="B112" s="97"/>
      <c r="C112" s="460"/>
      <c r="D112" s="460"/>
      <c r="E112" s="460"/>
      <c r="F112" s="97"/>
    </row>
    <row r="113" spans="1:6">
      <c r="A113" s="97"/>
      <c r="B113" s="97"/>
      <c r="C113" s="460"/>
      <c r="D113" s="460"/>
      <c r="E113" s="460"/>
      <c r="F113" s="97"/>
    </row>
    <row r="114" spans="1:6">
      <c r="A114" s="97"/>
      <c r="B114" s="97"/>
      <c r="C114" s="97"/>
      <c r="D114" s="460"/>
      <c r="E114" s="460"/>
      <c r="F114" s="97"/>
    </row>
    <row r="115" spans="1:6">
      <c r="A115" s="97"/>
      <c r="B115" s="97"/>
      <c r="C115" s="460"/>
      <c r="D115" s="460"/>
      <c r="E115" s="460"/>
      <c r="F115" s="460"/>
    </row>
    <row r="116" spans="1:6">
      <c r="A116" s="97"/>
      <c r="B116" s="97"/>
      <c r="C116" s="97"/>
      <c r="D116" s="460"/>
      <c r="E116" s="460"/>
      <c r="F116" s="97"/>
    </row>
    <row r="117" spans="1:6">
      <c r="A117" s="97"/>
      <c r="B117" s="97"/>
      <c r="C117" s="97"/>
      <c r="D117" s="97"/>
      <c r="E117" s="97"/>
      <c r="F117" s="97"/>
    </row>
    <row r="118" spans="1:6">
      <c r="A118" s="97"/>
      <c r="B118" s="97"/>
      <c r="C118" s="97"/>
      <c r="D118" s="97"/>
      <c r="E118" s="97"/>
      <c r="F118" s="97"/>
    </row>
    <row r="119" spans="1:6">
      <c r="A119" s="97"/>
      <c r="B119" s="97"/>
      <c r="C119" s="97"/>
      <c r="D119" s="97"/>
      <c r="E119" s="97"/>
      <c r="F119" s="97"/>
    </row>
    <row r="120" spans="1:6">
      <c r="A120" s="97"/>
      <c r="B120" s="97"/>
      <c r="C120" s="97"/>
      <c r="D120" s="97"/>
      <c r="E120" s="97"/>
      <c r="F120" s="97"/>
    </row>
    <row r="121" spans="1:6">
      <c r="A121" s="97"/>
      <c r="B121" s="97"/>
      <c r="C121" s="97"/>
      <c r="D121" s="97"/>
      <c r="E121" s="97"/>
      <c r="F121" s="97"/>
    </row>
    <row r="122" spans="1:6">
      <c r="A122" s="97"/>
      <c r="B122" s="97"/>
      <c r="C122" s="97"/>
      <c r="D122" s="97"/>
      <c r="E122" s="97"/>
      <c r="F122" s="97"/>
    </row>
    <row r="123" spans="1:6">
      <c r="A123" s="97"/>
      <c r="B123" s="97"/>
      <c r="C123" s="97"/>
      <c r="D123" s="97"/>
      <c r="E123" s="97"/>
      <c r="F123" s="97"/>
    </row>
    <row r="124" spans="1:6">
      <c r="A124" s="97"/>
      <c r="B124" s="97"/>
      <c r="C124" s="97"/>
      <c r="D124" s="97"/>
      <c r="E124" s="97"/>
      <c r="F124" s="97"/>
    </row>
    <row r="125" spans="1:6">
      <c r="A125" s="97"/>
      <c r="B125" s="97"/>
      <c r="C125" s="97"/>
      <c r="D125" s="97"/>
      <c r="E125" s="97"/>
      <c r="F125" s="97"/>
    </row>
    <row r="126" spans="1:6">
      <c r="A126" s="97"/>
      <c r="B126" s="97"/>
      <c r="C126" s="97"/>
      <c r="D126" s="97"/>
      <c r="E126" s="97"/>
      <c r="F126" s="97"/>
    </row>
    <row r="127" spans="1:6">
      <c r="A127" s="97"/>
      <c r="B127" s="97"/>
      <c r="C127" s="97"/>
      <c r="D127" s="97"/>
      <c r="E127" s="97"/>
      <c r="F127" s="97"/>
    </row>
    <row r="128" spans="1:6">
      <c r="A128" s="97"/>
      <c r="B128" s="97"/>
      <c r="C128" s="97"/>
      <c r="D128" s="97"/>
      <c r="E128" s="97"/>
      <c r="F128" s="97"/>
    </row>
    <row r="129" spans="1:6">
      <c r="A129" s="97"/>
      <c r="B129" s="97"/>
      <c r="C129" s="97"/>
      <c r="D129" s="97"/>
      <c r="E129" s="97"/>
      <c r="F129" s="97"/>
    </row>
    <row r="130" spans="1:6">
      <c r="A130" s="97"/>
      <c r="B130" s="97"/>
      <c r="C130" s="97"/>
      <c r="D130" s="97"/>
      <c r="E130" s="97"/>
      <c r="F130" s="97"/>
    </row>
    <row r="131" spans="1:6">
      <c r="A131" s="97"/>
      <c r="B131" s="97"/>
      <c r="C131" s="97"/>
      <c r="D131" s="97"/>
      <c r="E131" s="97"/>
      <c r="F131" s="97"/>
    </row>
    <row r="132" spans="1:6">
      <c r="A132" s="97"/>
      <c r="B132" s="97"/>
      <c r="C132" s="97"/>
      <c r="D132" s="97"/>
      <c r="E132" s="97"/>
      <c r="F132" s="97"/>
    </row>
    <row r="133" spans="1:6">
      <c r="A133" s="97"/>
      <c r="B133" s="97"/>
      <c r="C133" s="97"/>
      <c r="D133" s="97"/>
      <c r="E133" s="97"/>
      <c r="F133" s="97"/>
    </row>
    <row r="134" spans="1:6">
      <c r="A134" s="97"/>
      <c r="B134" s="97"/>
      <c r="C134" s="97"/>
      <c r="D134" s="97"/>
      <c r="E134" s="97"/>
      <c r="F134" s="97"/>
    </row>
    <row r="135" spans="1:6">
      <c r="A135" s="97"/>
      <c r="B135" s="97"/>
      <c r="C135" s="97"/>
      <c r="D135" s="97"/>
      <c r="E135" s="97"/>
      <c r="F135" s="97"/>
    </row>
    <row r="136" spans="1:6">
      <c r="A136" s="97"/>
      <c r="B136" s="97"/>
      <c r="C136" s="97"/>
      <c r="D136" s="97"/>
      <c r="E136" s="97"/>
      <c r="F136" s="97"/>
    </row>
    <row r="137" spans="1:6">
      <c r="A137" s="97"/>
      <c r="B137" s="97"/>
      <c r="C137" s="97"/>
      <c r="D137" s="97"/>
      <c r="E137" s="97"/>
      <c r="F137" s="97"/>
    </row>
    <row r="138" spans="1:6">
      <c r="A138" s="97"/>
      <c r="B138" s="97"/>
      <c r="C138" s="97"/>
      <c r="D138" s="97"/>
      <c r="E138" s="97"/>
      <c r="F138" s="97"/>
    </row>
    <row r="139" spans="1:6">
      <c r="A139" s="97"/>
      <c r="B139" s="97"/>
      <c r="C139" s="97"/>
      <c r="D139" s="97"/>
      <c r="E139" s="97"/>
      <c r="F139" s="97"/>
    </row>
    <row r="140" spans="1:6">
      <c r="A140" s="97"/>
      <c r="B140" s="97"/>
      <c r="C140" s="97"/>
      <c r="D140" s="97"/>
      <c r="E140" s="97"/>
      <c r="F140" s="97"/>
    </row>
    <row r="141" spans="1:6">
      <c r="A141" s="97"/>
      <c r="B141" s="97"/>
      <c r="C141" s="97"/>
      <c r="D141" s="97"/>
      <c r="E141" s="97"/>
      <c r="F141" s="97"/>
    </row>
    <row r="142" spans="1:6">
      <c r="A142" s="97"/>
      <c r="B142" s="97"/>
      <c r="C142" s="97"/>
      <c r="D142" s="97"/>
      <c r="E142" s="97"/>
      <c r="F142" s="97"/>
    </row>
    <row r="143" spans="1:6">
      <c r="A143" s="97"/>
      <c r="B143" s="97"/>
      <c r="C143" s="97"/>
      <c r="D143" s="97"/>
      <c r="E143" s="97"/>
      <c r="F143" s="97"/>
    </row>
    <row r="144" spans="1:6">
      <c r="A144" s="97"/>
      <c r="B144" s="97"/>
      <c r="C144" s="97"/>
      <c r="D144" s="97"/>
      <c r="E144" s="97"/>
      <c r="F144" s="97"/>
    </row>
    <row r="145" spans="1:6">
      <c r="A145" s="97"/>
      <c r="B145" s="97"/>
      <c r="C145" s="97"/>
      <c r="D145" s="97"/>
      <c r="E145" s="97"/>
      <c r="F145" s="97"/>
    </row>
    <row r="146" spans="1:6">
      <c r="A146" s="230"/>
      <c r="B146" s="230"/>
      <c r="C146" s="230"/>
      <c r="D146" s="230"/>
      <c r="E146" s="230"/>
      <c r="F146" s="230"/>
    </row>
    <row r="147" spans="1:6">
      <c r="A147" s="230"/>
      <c r="B147" s="230"/>
      <c r="C147" s="230"/>
      <c r="D147" s="230"/>
      <c r="E147" s="230"/>
      <c r="F147" s="230"/>
    </row>
    <row r="148" spans="1:6">
      <c r="A148" s="230"/>
      <c r="B148" s="230"/>
      <c r="C148" s="230"/>
      <c r="D148" s="230"/>
      <c r="E148" s="230"/>
      <c r="F148" s="230"/>
    </row>
    <row r="149" spans="1:6">
      <c r="A149" s="230"/>
      <c r="B149" s="230"/>
      <c r="C149" s="230"/>
      <c r="D149" s="230"/>
      <c r="E149" s="230"/>
      <c r="F149" s="230"/>
    </row>
    <row r="150" spans="1:6">
      <c r="A150" s="230"/>
      <c r="B150" s="230"/>
      <c r="C150" s="230"/>
      <c r="D150" s="230"/>
      <c r="E150" s="230"/>
      <c r="F150" s="230"/>
    </row>
    <row r="151" spans="1:6">
      <c r="A151" s="230"/>
      <c r="B151" s="230"/>
      <c r="C151" s="230"/>
      <c r="D151" s="230"/>
      <c r="E151" s="230"/>
      <c r="F151" s="230"/>
    </row>
    <row r="152" spans="1:6">
      <c r="A152" s="230"/>
      <c r="B152" s="230"/>
      <c r="C152" s="230"/>
      <c r="D152" s="230"/>
      <c r="E152" s="230"/>
      <c r="F152" s="230"/>
    </row>
    <row r="153" spans="1:6">
      <c r="A153" s="230"/>
      <c r="B153" s="230"/>
      <c r="C153" s="230"/>
      <c r="D153" s="230"/>
      <c r="E153" s="230"/>
      <c r="F153" s="230"/>
    </row>
    <row r="154" spans="1:6">
      <c r="A154" s="230"/>
      <c r="B154" s="230"/>
      <c r="C154" s="230"/>
      <c r="D154" s="230"/>
      <c r="E154" s="230"/>
      <c r="F154" s="230"/>
    </row>
    <row r="155" spans="1:6">
      <c r="A155" s="230"/>
      <c r="B155" s="230"/>
      <c r="C155" s="230"/>
      <c r="D155" s="230"/>
      <c r="E155" s="230"/>
      <c r="F155" s="230"/>
    </row>
    <row r="156" spans="1:6">
      <c r="A156" s="230"/>
      <c r="B156" s="230"/>
      <c r="C156" s="230"/>
      <c r="D156" s="230"/>
      <c r="E156" s="230"/>
      <c r="F156" s="230"/>
    </row>
    <row r="157" spans="1:6">
      <c r="A157" s="230"/>
      <c r="B157" s="230"/>
      <c r="C157" s="230"/>
      <c r="D157" s="230"/>
      <c r="E157" s="230"/>
      <c r="F157" s="230"/>
    </row>
    <row r="158" spans="1:6">
      <c r="A158" s="230"/>
      <c r="B158" s="230"/>
      <c r="C158" s="230"/>
      <c r="D158" s="230"/>
      <c r="E158" s="230"/>
      <c r="F158" s="230"/>
    </row>
    <row r="159" spans="1:6">
      <c r="A159" s="230"/>
      <c r="B159" s="230"/>
      <c r="C159" s="230"/>
      <c r="D159" s="230"/>
      <c r="E159" s="230"/>
      <c r="F159" s="230"/>
    </row>
    <row r="160" spans="1:6">
      <c r="A160" s="230"/>
      <c r="B160" s="230"/>
      <c r="C160" s="230"/>
      <c r="D160" s="230"/>
      <c r="E160" s="230"/>
      <c r="F160" s="230"/>
    </row>
    <row r="161" spans="1:6">
      <c r="A161" s="230"/>
      <c r="B161" s="230"/>
      <c r="C161" s="230"/>
      <c r="D161" s="230"/>
      <c r="E161" s="230"/>
      <c r="F161" s="230"/>
    </row>
    <row r="162" spans="1:6">
      <c r="A162" s="230"/>
      <c r="B162" s="230"/>
      <c r="C162" s="230"/>
      <c r="D162" s="230"/>
      <c r="E162" s="230"/>
      <c r="F162" s="230"/>
    </row>
    <row r="163" spans="1:6">
      <c r="A163" s="230"/>
      <c r="B163" s="230"/>
      <c r="C163" s="230"/>
      <c r="D163" s="230"/>
      <c r="E163" s="230"/>
      <c r="F163" s="230"/>
    </row>
    <row r="164" spans="1:6">
      <c r="A164" s="230"/>
      <c r="B164" s="230"/>
      <c r="C164" s="230"/>
      <c r="D164" s="230"/>
      <c r="E164" s="230"/>
      <c r="F164" s="230"/>
    </row>
    <row r="165" spans="1:6">
      <c r="A165" s="230"/>
      <c r="B165" s="230"/>
      <c r="C165" s="230"/>
      <c r="D165" s="230"/>
      <c r="E165" s="230"/>
      <c r="F165" s="230"/>
    </row>
    <row r="166" spans="1:6">
      <c r="A166" s="230"/>
      <c r="B166" s="230"/>
      <c r="C166" s="230"/>
      <c r="D166" s="230"/>
      <c r="E166" s="230"/>
      <c r="F166" s="230"/>
    </row>
    <row r="167" spans="1:6">
      <c r="A167" s="230"/>
      <c r="B167" s="230"/>
      <c r="C167" s="230"/>
      <c r="D167" s="230"/>
      <c r="E167" s="230"/>
      <c r="F167" s="230"/>
    </row>
    <row r="168" spans="1:6">
      <c r="A168" s="230"/>
      <c r="B168" s="230"/>
      <c r="C168" s="230"/>
      <c r="D168" s="230"/>
      <c r="E168" s="230"/>
      <c r="F168" s="230"/>
    </row>
    <row r="169" spans="1:6">
      <c r="A169" s="230"/>
      <c r="B169" s="230"/>
      <c r="C169" s="230"/>
      <c r="D169" s="230"/>
      <c r="E169" s="230"/>
      <c r="F169" s="230"/>
    </row>
    <row r="170" spans="1:6">
      <c r="A170" s="230"/>
      <c r="B170" s="230"/>
      <c r="C170" s="230"/>
      <c r="D170" s="230"/>
      <c r="E170" s="230"/>
      <c r="F170" s="230"/>
    </row>
    <row r="171" spans="1:6">
      <c r="A171" s="230"/>
      <c r="B171" s="230"/>
      <c r="C171" s="230"/>
      <c r="D171" s="230"/>
      <c r="E171" s="230"/>
      <c r="F171" s="230"/>
    </row>
    <row r="172" spans="1:6">
      <c r="A172" s="230"/>
      <c r="B172" s="230"/>
      <c r="C172" s="230"/>
      <c r="D172" s="230"/>
      <c r="E172" s="230"/>
      <c r="F172" s="230"/>
    </row>
    <row r="173" spans="1:6">
      <c r="A173" s="230"/>
      <c r="B173" s="230"/>
      <c r="C173" s="230"/>
      <c r="D173" s="230"/>
      <c r="E173" s="230"/>
      <c r="F173" s="230"/>
    </row>
    <row r="174" spans="1:6">
      <c r="A174" s="230"/>
      <c r="B174" s="230"/>
      <c r="C174" s="230"/>
      <c r="D174" s="230"/>
      <c r="E174" s="230"/>
      <c r="F174" s="230"/>
    </row>
    <row r="175" spans="1:6">
      <c r="A175" s="230"/>
      <c r="B175" s="230"/>
      <c r="C175" s="230"/>
      <c r="D175" s="230"/>
      <c r="E175" s="230"/>
      <c r="F175" s="230"/>
    </row>
    <row r="176" spans="1:6">
      <c r="A176" s="230"/>
      <c r="B176" s="230"/>
      <c r="C176" s="230"/>
      <c r="D176" s="230"/>
      <c r="E176" s="230"/>
      <c r="F176" s="230"/>
    </row>
    <row r="177" spans="1:6">
      <c r="A177" s="230"/>
      <c r="B177" s="230"/>
      <c r="C177" s="230"/>
      <c r="D177" s="230"/>
      <c r="E177" s="230"/>
      <c r="F177" s="230"/>
    </row>
    <row r="178" spans="1:6">
      <c r="A178" s="230"/>
      <c r="B178" s="230"/>
      <c r="C178" s="230"/>
      <c r="D178" s="230"/>
      <c r="E178" s="230"/>
      <c r="F178" s="230"/>
    </row>
    <row r="179" spans="1:6">
      <c r="A179" s="230"/>
      <c r="B179" s="230"/>
      <c r="C179" s="230"/>
      <c r="D179" s="230"/>
      <c r="E179" s="230"/>
      <c r="F179" s="230"/>
    </row>
    <row r="180" spans="1:6">
      <c r="A180" s="230"/>
      <c r="B180" s="230"/>
      <c r="C180" s="230"/>
      <c r="D180" s="230"/>
      <c r="E180" s="230"/>
      <c r="F180" s="230"/>
    </row>
    <row r="181" spans="1:6">
      <c r="A181" s="230"/>
      <c r="B181" s="230"/>
      <c r="C181" s="230"/>
      <c r="D181" s="230"/>
      <c r="E181" s="230"/>
      <c r="F181" s="230"/>
    </row>
    <row r="182" spans="1:6">
      <c r="A182" s="230"/>
      <c r="B182" s="230"/>
      <c r="C182" s="230"/>
      <c r="D182" s="230"/>
      <c r="E182" s="230"/>
      <c r="F182" s="230"/>
    </row>
    <row r="183" spans="1:6">
      <c r="A183" s="230"/>
      <c r="B183" s="230"/>
      <c r="C183" s="230"/>
      <c r="D183" s="230"/>
      <c r="E183" s="230"/>
      <c r="F183" s="230"/>
    </row>
    <row r="184" spans="1:6">
      <c r="A184" s="230"/>
      <c r="B184" s="230"/>
      <c r="C184" s="230"/>
      <c r="D184" s="230"/>
      <c r="E184" s="230"/>
      <c r="F184" s="230"/>
    </row>
    <row r="185" spans="1:6">
      <c r="A185" s="230"/>
      <c r="B185" s="230"/>
      <c r="C185" s="230"/>
      <c r="D185" s="230"/>
      <c r="E185" s="230"/>
      <c r="F185" s="230"/>
    </row>
    <row r="186" spans="1:6">
      <c r="A186" s="230"/>
      <c r="B186" s="230"/>
      <c r="C186" s="230"/>
      <c r="D186" s="230"/>
      <c r="E186" s="230"/>
      <c r="F186" s="230"/>
    </row>
    <row r="187" spans="1:6">
      <c r="A187" s="230"/>
      <c r="B187" s="230"/>
      <c r="C187" s="230"/>
      <c r="D187" s="230"/>
      <c r="E187" s="230"/>
      <c r="F187" s="230"/>
    </row>
    <row r="188" spans="1:6">
      <c r="A188" s="230"/>
      <c r="B188" s="230"/>
      <c r="C188" s="230"/>
      <c r="D188" s="230"/>
      <c r="E188" s="230"/>
      <c r="F188" s="230"/>
    </row>
    <row r="189" spans="1:6">
      <c r="A189" s="230"/>
      <c r="B189" s="230"/>
      <c r="C189" s="230"/>
      <c r="D189" s="230"/>
      <c r="E189" s="230"/>
      <c r="F189" s="230"/>
    </row>
    <row r="190" spans="1:6">
      <c r="A190" s="230"/>
      <c r="B190" s="230"/>
      <c r="C190" s="230"/>
      <c r="D190" s="230"/>
      <c r="E190" s="230"/>
      <c r="F190" s="230"/>
    </row>
    <row r="191" spans="1:6">
      <c r="A191" s="230"/>
      <c r="B191" s="230"/>
      <c r="C191" s="230"/>
      <c r="D191" s="230"/>
      <c r="E191" s="230"/>
      <c r="F191" s="230"/>
    </row>
    <row r="192" spans="1:6">
      <c r="A192" s="230"/>
      <c r="B192" s="230"/>
      <c r="C192" s="230"/>
      <c r="D192" s="230"/>
      <c r="E192" s="230"/>
      <c r="F192" s="230"/>
    </row>
    <row r="193" spans="1:6">
      <c r="A193" s="230"/>
      <c r="B193" s="230"/>
      <c r="C193" s="230"/>
      <c r="D193" s="230"/>
      <c r="E193" s="230"/>
      <c r="F193" s="230"/>
    </row>
    <row r="194" spans="1:6">
      <c r="A194" s="230"/>
      <c r="B194" s="230"/>
      <c r="C194" s="230"/>
      <c r="D194" s="230"/>
      <c r="E194" s="230"/>
      <c r="F194" s="230"/>
    </row>
    <row r="195" spans="1:6">
      <c r="A195" s="230"/>
      <c r="B195" s="230"/>
      <c r="C195" s="230"/>
      <c r="D195" s="230"/>
      <c r="E195" s="230"/>
      <c r="F195" s="230"/>
    </row>
    <row r="196" spans="1:6">
      <c r="A196" s="230"/>
      <c r="B196" s="230"/>
      <c r="C196" s="230"/>
      <c r="D196" s="230"/>
      <c r="E196" s="230"/>
      <c r="F196" s="230"/>
    </row>
    <row r="197" spans="1:6">
      <c r="A197" s="230"/>
      <c r="B197" s="230"/>
      <c r="C197" s="230"/>
      <c r="D197" s="230"/>
      <c r="E197" s="230"/>
      <c r="F197" s="230"/>
    </row>
    <row r="198" spans="1:6">
      <c r="A198" s="230"/>
      <c r="B198" s="230"/>
      <c r="C198" s="230"/>
      <c r="D198" s="230"/>
      <c r="E198" s="230"/>
      <c r="F198" s="230"/>
    </row>
    <row r="199" spans="1:6">
      <c r="A199" s="230"/>
      <c r="B199" s="230"/>
      <c r="C199" s="230"/>
      <c r="D199" s="230"/>
      <c r="E199" s="230"/>
      <c r="F199" s="230"/>
    </row>
    <row r="200" spans="1:6">
      <c r="A200" s="230"/>
      <c r="B200" s="230"/>
      <c r="C200" s="230"/>
      <c r="D200" s="230"/>
      <c r="E200" s="230"/>
      <c r="F200" s="230"/>
    </row>
    <row r="201" spans="1:6">
      <c r="A201" s="230"/>
      <c r="B201" s="230"/>
      <c r="C201" s="230"/>
      <c r="D201" s="230"/>
      <c r="E201" s="230"/>
      <c r="F201" s="230"/>
    </row>
    <row r="202" spans="1:6">
      <c r="A202" s="230"/>
      <c r="B202" s="230"/>
      <c r="C202" s="230"/>
      <c r="D202" s="230"/>
      <c r="E202" s="230"/>
      <c r="F202" s="230"/>
    </row>
    <row r="203" spans="1:6">
      <c r="A203" s="230"/>
      <c r="B203" s="230"/>
      <c r="C203" s="230"/>
      <c r="D203" s="230"/>
      <c r="E203" s="230"/>
      <c r="F203" s="230"/>
    </row>
    <row r="204" spans="1:6">
      <c r="A204" s="230"/>
      <c r="B204" s="230"/>
      <c r="C204" s="230"/>
      <c r="D204" s="230"/>
      <c r="E204" s="230"/>
      <c r="F204" s="230"/>
    </row>
    <row r="205" spans="1:6">
      <c r="A205" s="230"/>
      <c r="B205" s="230"/>
      <c r="C205" s="230"/>
      <c r="D205" s="230"/>
      <c r="E205" s="230"/>
      <c r="F205" s="230"/>
    </row>
    <row r="206" spans="1:6">
      <c r="A206" s="230"/>
      <c r="B206" s="230"/>
      <c r="C206" s="230"/>
      <c r="D206" s="230"/>
      <c r="E206" s="230"/>
      <c r="F206" s="230"/>
    </row>
    <row r="207" spans="1:6">
      <c r="A207" s="230"/>
      <c r="B207" s="230"/>
      <c r="C207" s="230"/>
      <c r="D207" s="230"/>
      <c r="E207" s="230"/>
      <c r="F207" s="230"/>
    </row>
    <row r="208" spans="1:6">
      <c r="A208" s="230"/>
      <c r="B208" s="230"/>
      <c r="C208" s="230"/>
      <c r="D208" s="230"/>
      <c r="E208" s="230"/>
      <c r="F208" s="230"/>
    </row>
    <row r="209" spans="1:6">
      <c r="A209" s="230"/>
      <c r="B209" s="230"/>
      <c r="C209" s="230"/>
      <c r="D209" s="230"/>
      <c r="E209" s="230"/>
      <c r="F209" s="230"/>
    </row>
    <row r="210" spans="1:6">
      <c r="A210" s="230"/>
      <c r="B210" s="230"/>
      <c r="C210" s="230"/>
      <c r="D210" s="230"/>
      <c r="E210" s="230"/>
      <c r="F210" s="230"/>
    </row>
    <row r="211" spans="1:6">
      <c r="A211" s="230"/>
      <c r="B211" s="230"/>
      <c r="C211" s="230"/>
      <c r="D211" s="230"/>
      <c r="E211" s="230"/>
      <c r="F211" s="230"/>
    </row>
    <row r="212" spans="1:6">
      <c r="A212" s="230"/>
      <c r="B212" s="230"/>
      <c r="C212" s="230"/>
      <c r="D212" s="230"/>
      <c r="E212" s="230"/>
      <c r="F212" s="230"/>
    </row>
    <row r="213" spans="1:6">
      <c r="A213" s="230"/>
      <c r="B213" s="230"/>
      <c r="C213" s="230"/>
      <c r="D213" s="230"/>
      <c r="E213" s="230"/>
      <c r="F213" s="230"/>
    </row>
    <row r="214" spans="1:6">
      <c r="A214" s="230"/>
      <c r="B214" s="230"/>
      <c r="C214" s="230"/>
      <c r="D214" s="230"/>
      <c r="E214" s="230"/>
      <c r="F214" s="230"/>
    </row>
    <row r="215" spans="1:6">
      <c r="A215" s="230"/>
      <c r="B215" s="230"/>
      <c r="C215" s="230"/>
      <c r="D215" s="230"/>
      <c r="E215" s="230"/>
      <c r="F215" s="230"/>
    </row>
    <row r="216" spans="1:6">
      <c r="A216" s="230"/>
      <c r="B216" s="230"/>
      <c r="C216" s="230"/>
      <c r="D216" s="230"/>
      <c r="E216" s="230"/>
      <c r="F216" s="230"/>
    </row>
    <row r="217" spans="1:6">
      <c r="A217" s="230"/>
      <c r="B217" s="230"/>
      <c r="C217" s="230"/>
      <c r="D217" s="230"/>
      <c r="E217" s="230"/>
      <c r="F217" s="230"/>
    </row>
    <row r="218" spans="1:6">
      <c r="A218" s="230"/>
      <c r="B218" s="230"/>
      <c r="C218" s="230"/>
      <c r="D218" s="230"/>
      <c r="E218" s="230"/>
      <c r="F218" s="230"/>
    </row>
    <row r="219" spans="1:6">
      <c r="A219" s="230"/>
      <c r="B219" s="230"/>
      <c r="C219" s="230"/>
      <c r="D219" s="230"/>
      <c r="E219" s="230"/>
      <c r="F219" s="230"/>
    </row>
    <row r="220" spans="1:6">
      <c r="A220" s="230"/>
      <c r="B220" s="230"/>
      <c r="C220" s="230"/>
      <c r="D220" s="230"/>
      <c r="E220" s="230"/>
      <c r="F220" s="230"/>
    </row>
    <row r="221" spans="1:6">
      <c r="A221" s="230"/>
      <c r="B221" s="230"/>
      <c r="C221" s="230"/>
      <c r="D221" s="230"/>
      <c r="E221" s="230"/>
      <c r="F221" s="230"/>
    </row>
    <row r="222" spans="1:6">
      <c r="A222" s="230"/>
      <c r="B222" s="230"/>
      <c r="C222" s="230"/>
      <c r="D222" s="230"/>
      <c r="E222" s="230"/>
      <c r="F222" s="230"/>
    </row>
    <row r="223" spans="1:6">
      <c r="A223" s="230"/>
      <c r="B223" s="230"/>
      <c r="C223" s="230"/>
      <c r="D223" s="230"/>
      <c r="E223" s="230"/>
      <c r="F223" s="230"/>
    </row>
    <row r="224" spans="1:6">
      <c r="A224" s="230"/>
      <c r="B224" s="230"/>
      <c r="C224" s="230"/>
      <c r="D224" s="230"/>
      <c r="E224" s="230"/>
      <c r="F224" s="230"/>
    </row>
    <row r="225" spans="1:6">
      <c r="A225" s="230"/>
      <c r="B225" s="230"/>
      <c r="C225" s="230"/>
      <c r="D225" s="230"/>
      <c r="E225" s="230"/>
      <c r="F225" s="230"/>
    </row>
    <row r="226" spans="1:6">
      <c r="A226" s="230"/>
      <c r="B226" s="230"/>
      <c r="C226" s="230"/>
      <c r="D226" s="230"/>
      <c r="E226" s="230"/>
      <c r="F226" s="230"/>
    </row>
    <row r="227" spans="1:6">
      <c r="A227" s="230"/>
      <c r="B227" s="230"/>
      <c r="C227" s="230"/>
      <c r="D227" s="230"/>
      <c r="E227" s="230"/>
      <c r="F227" s="230"/>
    </row>
    <row r="228" spans="1:6">
      <c r="A228" s="230"/>
      <c r="B228" s="230"/>
      <c r="C228" s="230"/>
      <c r="D228" s="230"/>
      <c r="E228" s="230"/>
      <c r="F228" s="230"/>
    </row>
    <row r="229" spans="1:6">
      <c r="A229" s="230"/>
      <c r="B229" s="230"/>
      <c r="C229" s="230"/>
      <c r="D229" s="230"/>
      <c r="E229" s="230"/>
      <c r="F229" s="230"/>
    </row>
    <row r="230" spans="1:6">
      <c r="A230" s="230"/>
      <c r="B230" s="230"/>
      <c r="C230" s="230"/>
      <c r="D230" s="230"/>
      <c r="E230" s="230"/>
      <c r="F230" s="230"/>
    </row>
    <row r="231" spans="1:6">
      <c r="A231" s="230"/>
      <c r="B231" s="230"/>
      <c r="C231" s="230"/>
      <c r="D231" s="230"/>
      <c r="E231" s="230"/>
      <c r="F231" s="230"/>
    </row>
    <row r="232" spans="1:6">
      <c r="A232" s="230"/>
      <c r="B232" s="230"/>
      <c r="C232" s="230"/>
      <c r="D232" s="230"/>
      <c r="E232" s="230"/>
      <c r="F232" s="230"/>
    </row>
    <row r="233" spans="1:6">
      <c r="A233" s="230"/>
      <c r="B233" s="230"/>
      <c r="C233" s="230"/>
      <c r="D233" s="230"/>
      <c r="E233" s="230"/>
      <c r="F233" s="230"/>
    </row>
    <row r="234" spans="1:6">
      <c r="A234" s="230"/>
      <c r="B234" s="230"/>
      <c r="C234" s="230"/>
      <c r="D234" s="230"/>
      <c r="E234" s="230"/>
      <c r="F234" s="230"/>
    </row>
    <row r="235" spans="1:6">
      <c r="A235" s="230"/>
      <c r="B235" s="230"/>
      <c r="C235" s="230"/>
      <c r="D235" s="230"/>
      <c r="E235" s="230"/>
      <c r="F235" s="230"/>
    </row>
    <row r="236" spans="1:6">
      <c r="A236" s="230"/>
      <c r="B236" s="230"/>
      <c r="C236" s="230"/>
      <c r="D236" s="230"/>
      <c r="E236" s="230"/>
      <c r="F236" s="230"/>
    </row>
    <row r="237" spans="1:6">
      <c r="A237" s="230"/>
      <c r="B237" s="230"/>
      <c r="C237" s="230"/>
      <c r="D237" s="230"/>
      <c r="E237" s="230"/>
      <c r="F237" s="230"/>
    </row>
    <row r="238" spans="1:6">
      <c r="A238" s="230"/>
      <c r="B238" s="230"/>
      <c r="C238" s="230"/>
      <c r="D238" s="230"/>
      <c r="E238" s="230"/>
      <c r="F238" s="230"/>
    </row>
    <row r="239" spans="1:6">
      <c r="A239" s="230"/>
      <c r="B239" s="230"/>
      <c r="C239" s="230"/>
      <c r="D239" s="230"/>
      <c r="E239" s="230"/>
      <c r="F239" s="230"/>
    </row>
    <row r="240" spans="1:6">
      <c r="A240" s="230"/>
      <c r="B240" s="230"/>
      <c r="C240" s="230"/>
      <c r="D240" s="230"/>
      <c r="E240" s="230"/>
      <c r="F240" s="230"/>
    </row>
    <row r="241" spans="1:6">
      <c r="A241" s="230"/>
      <c r="B241" s="230"/>
      <c r="C241" s="230"/>
      <c r="D241" s="230"/>
      <c r="E241" s="230"/>
      <c r="F241" s="230"/>
    </row>
    <row r="242" spans="1:6">
      <c r="A242" s="230"/>
      <c r="B242" s="230"/>
      <c r="C242" s="230"/>
      <c r="D242" s="230"/>
      <c r="E242" s="230"/>
      <c r="F242" s="230"/>
    </row>
    <row r="243" spans="1:6">
      <c r="A243" s="230"/>
      <c r="B243" s="230"/>
      <c r="C243" s="230"/>
      <c r="D243" s="230"/>
      <c r="E243" s="230"/>
      <c r="F243" s="230"/>
    </row>
    <row r="244" spans="1:6">
      <c r="A244" s="230"/>
      <c r="B244" s="230"/>
      <c r="C244" s="230"/>
      <c r="D244" s="230"/>
      <c r="E244" s="230"/>
      <c r="F244" s="230"/>
    </row>
    <row r="245" spans="1:6">
      <c r="A245" s="230"/>
      <c r="B245" s="230"/>
      <c r="C245" s="230"/>
      <c r="D245" s="230"/>
      <c r="E245" s="230"/>
      <c r="F245" s="230"/>
    </row>
    <row r="246" spans="1:6">
      <c r="A246" s="230"/>
      <c r="B246" s="230"/>
      <c r="C246" s="230"/>
      <c r="D246" s="230"/>
      <c r="E246" s="230"/>
      <c r="F246" s="230"/>
    </row>
    <row r="247" spans="1:6">
      <c r="A247" s="230"/>
      <c r="B247" s="230"/>
      <c r="C247" s="230"/>
      <c r="D247" s="230"/>
      <c r="E247" s="230"/>
      <c r="F247" s="230"/>
    </row>
    <row r="248" spans="1:6">
      <c r="A248" s="230"/>
      <c r="B248" s="230"/>
      <c r="C248" s="230"/>
      <c r="D248" s="230"/>
      <c r="E248" s="230"/>
      <c r="F248" s="230"/>
    </row>
    <row r="249" spans="1:6">
      <c r="A249" s="230"/>
      <c r="B249" s="230"/>
      <c r="C249" s="230"/>
      <c r="D249" s="230"/>
      <c r="E249" s="230"/>
      <c r="F249" s="230"/>
    </row>
    <row r="250" spans="1:6">
      <c r="A250" s="230"/>
      <c r="B250" s="230"/>
      <c r="C250" s="230"/>
      <c r="D250" s="230"/>
      <c r="E250" s="230"/>
      <c r="F250" s="230"/>
    </row>
    <row r="251" spans="1:6">
      <c r="A251" s="230"/>
      <c r="B251" s="230"/>
      <c r="C251" s="230"/>
      <c r="D251" s="230"/>
      <c r="E251" s="230"/>
      <c r="F251" s="230"/>
    </row>
    <row r="252" spans="1:6">
      <c r="A252" s="230"/>
      <c r="B252" s="230"/>
      <c r="C252" s="230"/>
      <c r="D252" s="230"/>
      <c r="E252" s="230"/>
      <c r="F252" s="230"/>
    </row>
    <row r="253" spans="1:6">
      <c r="A253" s="230"/>
      <c r="B253" s="230"/>
      <c r="C253" s="230"/>
      <c r="D253" s="230"/>
      <c r="E253" s="230"/>
      <c r="F253" s="230"/>
    </row>
    <row r="254" spans="1:6">
      <c r="A254" s="230"/>
      <c r="B254" s="230"/>
      <c r="C254" s="230"/>
      <c r="D254" s="230"/>
      <c r="E254" s="230"/>
      <c r="F254" s="230"/>
    </row>
    <row r="255" spans="1:6">
      <c r="A255" s="230"/>
      <c r="B255" s="230"/>
      <c r="C255" s="230"/>
      <c r="D255" s="230"/>
      <c r="E255" s="230"/>
      <c r="F255" s="230"/>
    </row>
    <row r="256" spans="1:6">
      <c r="A256" s="230"/>
      <c r="B256" s="230"/>
      <c r="C256" s="230"/>
      <c r="D256" s="230"/>
      <c r="E256" s="230"/>
      <c r="F256" s="230"/>
    </row>
    <row r="257" spans="1:6">
      <c r="A257" s="230"/>
      <c r="B257" s="230"/>
      <c r="C257" s="230"/>
      <c r="D257" s="230"/>
      <c r="E257" s="230"/>
      <c r="F257" s="230"/>
    </row>
    <row r="258" spans="1:6">
      <c r="A258" s="230"/>
      <c r="B258" s="230"/>
      <c r="C258" s="230"/>
      <c r="D258" s="230"/>
      <c r="E258" s="230"/>
      <c r="F258" s="230"/>
    </row>
    <row r="259" spans="1:6">
      <c r="A259" s="230"/>
      <c r="B259" s="230"/>
      <c r="C259" s="230"/>
      <c r="D259" s="230"/>
      <c r="E259" s="230"/>
      <c r="F259" s="230"/>
    </row>
    <row r="260" spans="1:6">
      <c r="A260" s="230"/>
      <c r="B260" s="230"/>
      <c r="C260" s="230"/>
      <c r="D260" s="230"/>
      <c r="E260" s="230"/>
      <c r="F260" s="230"/>
    </row>
    <row r="261" spans="1:6">
      <c r="A261" s="230"/>
      <c r="B261" s="230"/>
      <c r="C261" s="230"/>
      <c r="D261" s="230"/>
      <c r="E261" s="230"/>
      <c r="F261" s="230"/>
    </row>
    <row r="262" spans="1:6">
      <c r="A262" s="230"/>
      <c r="B262" s="230"/>
      <c r="C262" s="230"/>
      <c r="D262" s="230"/>
      <c r="E262" s="230"/>
      <c r="F262" s="230"/>
    </row>
    <row r="263" spans="1:6">
      <c r="A263" s="230"/>
      <c r="B263" s="230"/>
      <c r="C263" s="230"/>
      <c r="D263" s="230"/>
      <c r="E263" s="230"/>
      <c r="F263" s="230"/>
    </row>
    <row r="264" spans="1:6">
      <c r="A264" s="230"/>
      <c r="B264" s="230"/>
      <c r="C264" s="230"/>
      <c r="D264" s="230"/>
      <c r="E264" s="230"/>
      <c r="F264" s="230"/>
    </row>
    <row r="265" spans="1:6">
      <c r="A265" s="230"/>
      <c r="B265" s="230"/>
      <c r="C265" s="230"/>
      <c r="D265" s="230"/>
      <c r="E265" s="230"/>
      <c r="F265" s="230"/>
    </row>
    <row r="266" spans="1:6">
      <c r="A266" s="230"/>
      <c r="B266" s="230"/>
      <c r="C266" s="230"/>
      <c r="D266" s="230"/>
      <c r="E266" s="230"/>
      <c r="F266" s="230"/>
    </row>
    <row r="267" spans="1:6">
      <c r="A267" s="230"/>
      <c r="B267" s="230"/>
      <c r="C267" s="230"/>
      <c r="D267" s="230"/>
      <c r="E267" s="230"/>
      <c r="F267" s="230"/>
    </row>
    <row r="268" spans="1:6">
      <c r="A268" s="230"/>
      <c r="B268" s="230"/>
      <c r="C268" s="230"/>
      <c r="D268" s="230"/>
      <c r="E268" s="230"/>
      <c r="F268" s="230"/>
    </row>
    <row r="269" spans="1:6">
      <c r="A269" s="230"/>
      <c r="B269" s="230"/>
      <c r="C269" s="230"/>
      <c r="D269" s="230"/>
      <c r="E269" s="230"/>
      <c r="F269" s="230"/>
    </row>
    <row r="270" spans="1:6">
      <c r="A270" s="230"/>
      <c r="B270" s="230"/>
      <c r="C270" s="230"/>
      <c r="D270" s="230"/>
      <c r="E270" s="230"/>
      <c r="F270" s="230"/>
    </row>
    <row r="271" spans="1:6">
      <c r="A271" s="230"/>
      <c r="B271" s="230"/>
      <c r="C271" s="230"/>
      <c r="D271" s="230"/>
      <c r="E271" s="230"/>
      <c r="F271" s="230"/>
    </row>
    <row r="272" spans="1:6">
      <c r="A272" s="230"/>
      <c r="B272" s="230"/>
      <c r="C272" s="230"/>
      <c r="D272" s="230"/>
      <c r="E272" s="230"/>
      <c r="F272" s="230"/>
    </row>
    <row r="273" spans="1:6">
      <c r="A273" s="230"/>
      <c r="B273" s="230"/>
      <c r="C273" s="230"/>
      <c r="D273" s="230"/>
      <c r="E273" s="230"/>
      <c r="F273" s="230"/>
    </row>
    <row r="274" spans="1:6">
      <c r="A274" s="230"/>
      <c r="B274" s="230"/>
      <c r="C274" s="230"/>
      <c r="D274" s="230"/>
      <c r="E274" s="230"/>
      <c r="F274" s="230"/>
    </row>
    <row r="275" spans="1:6">
      <c r="A275" s="230"/>
      <c r="B275" s="230"/>
      <c r="C275" s="230"/>
      <c r="D275" s="230"/>
      <c r="E275" s="230"/>
      <c r="F275" s="230"/>
    </row>
    <row r="276" spans="1:6">
      <c r="A276" s="230"/>
      <c r="B276" s="230"/>
      <c r="C276" s="230"/>
      <c r="D276" s="230"/>
      <c r="E276" s="230"/>
      <c r="F276" s="230"/>
    </row>
    <row r="277" spans="1:6">
      <c r="A277" s="230"/>
      <c r="B277" s="230"/>
      <c r="C277" s="230"/>
      <c r="D277" s="230"/>
      <c r="E277" s="230"/>
      <c r="F277" s="230"/>
    </row>
    <row r="278" spans="1:6">
      <c r="A278" s="230"/>
      <c r="B278" s="230"/>
      <c r="C278" s="230"/>
      <c r="D278" s="230"/>
      <c r="E278" s="230"/>
      <c r="F278" s="230"/>
    </row>
    <row r="279" spans="1:6">
      <c r="A279" s="230"/>
      <c r="B279" s="230"/>
      <c r="C279" s="230"/>
      <c r="D279" s="230"/>
      <c r="E279" s="230"/>
      <c r="F279" s="230"/>
    </row>
    <row r="280" spans="1:6">
      <c r="A280" s="230"/>
      <c r="B280" s="230"/>
      <c r="C280" s="230"/>
      <c r="D280" s="230"/>
      <c r="E280" s="230"/>
      <c r="F280" s="230"/>
    </row>
    <row r="281" spans="1:6">
      <c r="A281" s="230"/>
      <c r="B281" s="230"/>
      <c r="C281" s="230"/>
      <c r="D281" s="230"/>
      <c r="E281" s="230"/>
      <c r="F281" s="230"/>
    </row>
    <row r="282" spans="1:6">
      <c r="A282" s="230"/>
      <c r="B282" s="230"/>
      <c r="C282" s="230"/>
      <c r="D282" s="230"/>
      <c r="E282" s="230"/>
      <c r="F282" s="230"/>
    </row>
    <row r="283" spans="1:6">
      <c r="A283" s="230"/>
      <c r="B283" s="230"/>
      <c r="C283" s="230"/>
      <c r="D283" s="230"/>
      <c r="E283" s="230"/>
      <c r="F283" s="230"/>
    </row>
    <row r="284" spans="1:6">
      <c r="A284" s="230"/>
      <c r="B284" s="230"/>
      <c r="C284" s="230"/>
      <c r="D284" s="230"/>
      <c r="E284" s="230"/>
      <c r="F284" s="230"/>
    </row>
    <row r="285" spans="1:6">
      <c r="A285" s="230"/>
      <c r="B285" s="230"/>
      <c r="C285" s="230"/>
      <c r="D285" s="230"/>
      <c r="E285" s="230"/>
      <c r="F285" s="230"/>
    </row>
    <row r="286" spans="1:6">
      <c r="A286" s="230"/>
      <c r="B286" s="230"/>
      <c r="C286" s="230"/>
      <c r="D286" s="230"/>
      <c r="E286" s="230"/>
      <c r="F286" s="230"/>
    </row>
    <row r="287" spans="1:6">
      <c r="A287" s="230"/>
      <c r="B287" s="230"/>
      <c r="C287" s="230"/>
      <c r="D287" s="230"/>
      <c r="E287" s="230"/>
      <c r="F287" s="230"/>
    </row>
    <row r="288" spans="1:6">
      <c r="A288" s="230"/>
      <c r="B288" s="230"/>
      <c r="C288" s="230"/>
      <c r="D288" s="230"/>
      <c r="E288" s="230"/>
      <c r="F288" s="230"/>
    </row>
    <row r="289" spans="1:6">
      <c r="A289" s="230"/>
      <c r="B289" s="230"/>
      <c r="C289" s="230"/>
      <c r="D289" s="230"/>
      <c r="E289" s="230"/>
      <c r="F289" s="230"/>
    </row>
    <row r="290" spans="1:6">
      <c r="A290" s="230"/>
      <c r="B290" s="230"/>
      <c r="C290" s="230"/>
      <c r="D290" s="230"/>
      <c r="E290" s="230"/>
      <c r="F290" s="230"/>
    </row>
    <row r="291" spans="1:6">
      <c r="A291" s="230"/>
      <c r="B291" s="230"/>
      <c r="C291" s="230"/>
      <c r="D291" s="230"/>
      <c r="E291" s="230"/>
      <c r="F291" s="230"/>
    </row>
    <row r="292" spans="1:6">
      <c r="A292" s="230"/>
      <c r="B292" s="230"/>
      <c r="C292" s="230"/>
      <c r="D292" s="230"/>
      <c r="E292" s="230"/>
      <c r="F292" s="230"/>
    </row>
    <row r="293" spans="1:6">
      <c r="A293" s="230"/>
      <c r="B293" s="230"/>
      <c r="C293" s="230"/>
      <c r="D293" s="230"/>
      <c r="E293" s="230"/>
      <c r="F293" s="230"/>
    </row>
    <row r="294" spans="1:6">
      <c r="A294" s="230"/>
      <c r="B294" s="230"/>
      <c r="C294" s="230"/>
      <c r="D294" s="230"/>
      <c r="E294" s="230"/>
      <c r="F294" s="230"/>
    </row>
    <row r="295" spans="1:6">
      <c r="A295" s="230"/>
      <c r="B295" s="230"/>
      <c r="C295" s="230"/>
      <c r="D295" s="230"/>
      <c r="E295" s="230"/>
      <c r="F295" s="230"/>
    </row>
    <row r="296" spans="1:6">
      <c r="A296" s="230"/>
      <c r="B296" s="230"/>
      <c r="C296" s="230"/>
      <c r="D296" s="230"/>
      <c r="E296" s="230"/>
      <c r="F296" s="230"/>
    </row>
    <row r="297" spans="1:6">
      <c r="A297" s="230"/>
      <c r="B297" s="230"/>
      <c r="C297" s="230"/>
      <c r="D297" s="230"/>
      <c r="E297" s="230"/>
      <c r="F297" s="230"/>
    </row>
    <row r="298" spans="1:6">
      <c r="A298" s="230"/>
      <c r="B298" s="230"/>
      <c r="C298" s="230"/>
      <c r="D298" s="230"/>
      <c r="E298" s="230"/>
      <c r="F298" s="230"/>
    </row>
    <row r="299" spans="1:6">
      <c r="A299" s="230"/>
      <c r="B299" s="230"/>
      <c r="C299" s="230"/>
      <c r="D299" s="230"/>
      <c r="E299" s="230"/>
      <c r="F299" s="230"/>
    </row>
    <row r="300" spans="1:6">
      <c r="A300" s="230"/>
      <c r="B300" s="230"/>
      <c r="C300" s="230"/>
      <c r="D300" s="230"/>
      <c r="E300" s="230"/>
      <c r="F300" s="230"/>
    </row>
    <row r="301" spans="1:6">
      <c r="A301" s="230"/>
      <c r="B301" s="230"/>
      <c r="C301" s="230"/>
      <c r="D301" s="230"/>
      <c r="E301" s="230"/>
      <c r="F301" s="230"/>
    </row>
    <row r="302" spans="1:6">
      <c r="A302" s="230"/>
      <c r="B302" s="230"/>
      <c r="C302" s="230"/>
      <c r="D302" s="230"/>
      <c r="E302" s="230"/>
      <c r="F302" s="230"/>
    </row>
    <row r="303" spans="1:6">
      <c r="A303" s="230"/>
      <c r="B303" s="230"/>
      <c r="C303" s="230"/>
      <c r="D303" s="230"/>
      <c r="E303" s="230"/>
      <c r="F303" s="230"/>
    </row>
    <row r="304" spans="1:6">
      <c r="A304" s="230"/>
      <c r="B304" s="230"/>
      <c r="C304" s="230"/>
      <c r="D304" s="230"/>
      <c r="E304" s="230"/>
      <c r="F304" s="230"/>
    </row>
    <row r="305" spans="1:6">
      <c r="A305" s="230"/>
      <c r="B305" s="230"/>
      <c r="C305" s="230"/>
      <c r="D305" s="230"/>
      <c r="E305" s="230"/>
      <c r="F305" s="230"/>
    </row>
    <row r="306" spans="1:6">
      <c r="A306" s="230"/>
      <c r="B306" s="230"/>
      <c r="C306" s="230"/>
      <c r="D306" s="230"/>
      <c r="E306" s="230"/>
      <c r="F306" s="230"/>
    </row>
    <row r="307" spans="1:6">
      <c r="A307" s="230"/>
      <c r="B307" s="230"/>
      <c r="C307" s="230"/>
      <c r="D307" s="230"/>
      <c r="E307" s="230"/>
      <c r="F307" s="230"/>
    </row>
    <row r="308" spans="1:6">
      <c r="A308" s="230"/>
      <c r="B308" s="230"/>
      <c r="C308" s="230"/>
      <c r="D308" s="230"/>
      <c r="E308" s="230"/>
      <c r="F308" s="230"/>
    </row>
    <row r="309" spans="1:6">
      <c r="A309" s="230"/>
      <c r="B309" s="230"/>
      <c r="C309" s="230"/>
      <c r="D309" s="230"/>
      <c r="E309" s="230"/>
      <c r="F309" s="230"/>
    </row>
    <row r="310" spans="1:6">
      <c r="A310" s="230"/>
      <c r="B310" s="230"/>
      <c r="C310" s="230"/>
      <c r="D310" s="230"/>
      <c r="E310" s="230"/>
      <c r="F310" s="230"/>
    </row>
    <row r="311" spans="1:6">
      <c r="A311" s="230"/>
      <c r="B311" s="230"/>
      <c r="C311" s="230"/>
      <c r="D311" s="230"/>
      <c r="E311" s="230"/>
      <c r="F311" s="230"/>
    </row>
    <row r="312" spans="1:6">
      <c r="A312" s="230"/>
      <c r="B312" s="230"/>
      <c r="C312" s="230"/>
      <c r="D312" s="230"/>
      <c r="E312" s="230"/>
      <c r="F312" s="230"/>
    </row>
    <row r="313" spans="1:6">
      <c r="A313" s="230"/>
      <c r="B313" s="230"/>
      <c r="C313" s="230"/>
      <c r="D313" s="230"/>
      <c r="E313" s="230"/>
      <c r="F313" s="230"/>
    </row>
    <row r="314" spans="1:6">
      <c r="A314" s="230"/>
      <c r="B314" s="230"/>
      <c r="C314" s="230"/>
      <c r="D314" s="230"/>
      <c r="E314" s="230"/>
      <c r="F314" s="230"/>
    </row>
    <row r="315" spans="1:6">
      <c r="A315" s="230"/>
      <c r="B315" s="230"/>
      <c r="C315" s="230"/>
      <c r="D315" s="230"/>
      <c r="E315" s="230"/>
      <c r="F315" s="230"/>
    </row>
    <row r="316" spans="1:6">
      <c r="A316" s="230"/>
      <c r="B316" s="230"/>
      <c r="C316" s="230"/>
      <c r="D316" s="230"/>
      <c r="E316" s="230"/>
      <c r="F316" s="230"/>
    </row>
    <row r="317" spans="1:6">
      <c r="A317" s="230"/>
      <c r="B317" s="230"/>
      <c r="C317" s="230"/>
      <c r="D317" s="230"/>
      <c r="E317" s="230"/>
      <c r="F317" s="230"/>
    </row>
    <row r="318" spans="1:6">
      <c r="A318" s="230"/>
      <c r="B318" s="230"/>
      <c r="C318" s="230"/>
      <c r="D318" s="230"/>
      <c r="E318" s="230"/>
      <c r="F318" s="230"/>
    </row>
    <row r="319" spans="1:6">
      <c r="A319" s="230"/>
      <c r="B319" s="230"/>
      <c r="C319" s="230"/>
      <c r="D319" s="230"/>
      <c r="E319" s="230"/>
      <c r="F319" s="230"/>
    </row>
    <row r="320" spans="1:6">
      <c r="A320" s="230"/>
      <c r="B320" s="230"/>
      <c r="C320" s="230"/>
      <c r="D320" s="230"/>
      <c r="E320" s="230"/>
      <c r="F320" s="230"/>
    </row>
    <row r="321" spans="1:6">
      <c r="A321" s="230"/>
      <c r="B321" s="230"/>
      <c r="C321" s="230"/>
      <c r="D321" s="230"/>
      <c r="E321" s="230"/>
      <c r="F321" s="230"/>
    </row>
    <row r="322" spans="1:6">
      <c r="A322" s="230"/>
      <c r="B322" s="230"/>
      <c r="C322" s="230"/>
      <c r="D322" s="230"/>
      <c r="E322" s="230"/>
      <c r="F322" s="230"/>
    </row>
    <row r="323" spans="1:6">
      <c r="A323" s="230"/>
      <c r="B323" s="230"/>
      <c r="C323" s="230"/>
      <c r="D323" s="230"/>
      <c r="E323" s="230"/>
      <c r="F323" s="230"/>
    </row>
    <row r="324" spans="1:6">
      <c r="A324" s="230"/>
      <c r="B324" s="230"/>
      <c r="C324" s="230"/>
      <c r="D324" s="230"/>
      <c r="E324" s="230"/>
      <c r="F324" s="230"/>
    </row>
    <row r="325" spans="1:6">
      <c r="A325" s="230"/>
      <c r="B325" s="230"/>
      <c r="C325" s="230"/>
      <c r="D325" s="230"/>
      <c r="E325" s="230"/>
      <c r="F325" s="230"/>
    </row>
    <row r="326" spans="1:6">
      <c r="A326" s="230"/>
      <c r="B326" s="230"/>
      <c r="C326" s="230"/>
      <c r="D326" s="230"/>
      <c r="E326" s="230"/>
      <c r="F326" s="230"/>
    </row>
    <row r="327" spans="1:6">
      <c r="A327" s="230"/>
      <c r="B327" s="230"/>
      <c r="C327" s="230"/>
      <c r="D327" s="230"/>
      <c r="E327" s="230"/>
      <c r="F327" s="230"/>
    </row>
    <row r="328" spans="1:6">
      <c r="A328" s="230"/>
      <c r="B328" s="230"/>
      <c r="C328" s="230"/>
      <c r="D328" s="230"/>
      <c r="E328" s="230"/>
      <c r="F328" s="230"/>
    </row>
    <row r="329" spans="1:6">
      <c r="A329" s="230"/>
      <c r="B329" s="230"/>
      <c r="C329" s="230"/>
      <c r="D329" s="230"/>
      <c r="E329" s="230"/>
      <c r="F329" s="230"/>
    </row>
    <row r="330" spans="1:6">
      <c r="A330" s="230"/>
      <c r="B330" s="230"/>
      <c r="C330" s="230"/>
      <c r="D330" s="230"/>
      <c r="E330" s="230"/>
      <c r="F330" s="230"/>
    </row>
    <row r="331" spans="1:6">
      <c r="A331" s="230"/>
      <c r="B331" s="230"/>
      <c r="C331" s="230"/>
      <c r="D331" s="230"/>
      <c r="E331" s="230"/>
      <c r="F331" s="230"/>
    </row>
    <row r="332" spans="1:6">
      <c r="A332" s="230"/>
      <c r="B332" s="230"/>
      <c r="C332" s="230"/>
      <c r="D332" s="230"/>
      <c r="E332" s="230"/>
      <c r="F332" s="230"/>
    </row>
    <row r="333" spans="1:6">
      <c r="A333" s="230"/>
      <c r="B333" s="230"/>
      <c r="C333" s="230"/>
      <c r="D333" s="230"/>
      <c r="E333" s="230"/>
      <c r="F333" s="230"/>
    </row>
    <row r="334" spans="1:6">
      <c r="A334" s="230"/>
      <c r="B334" s="230"/>
      <c r="C334" s="230"/>
      <c r="D334" s="230"/>
      <c r="E334" s="230"/>
      <c r="F334" s="230"/>
    </row>
    <row r="335" spans="1:6">
      <c r="A335" s="230"/>
      <c r="B335" s="230"/>
      <c r="C335" s="230"/>
      <c r="D335" s="230"/>
      <c r="E335" s="230"/>
      <c r="F335" s="230"/>
    </row>
    <row r="336" spans="1:6">
      <c r="A336" s="230"/>
      <c r="B336" s="230"/>
      <c r="C336" s="230"/>
      <c r="D336" s="230"/>
      <c r="E336" s="230"/>
      <c r="F336" s="230"/>
    </row>
    <row r="337" spans="1:6">
      <c r="A337" s="230"/>
      <c r="B337" s="230"/>
      <c r="C337" s="230"/>
      <c r="D337" s="230"/>
      <c r="E337" s="230"/>
      <c r="F337" s="230"/>
    </row>
    <row r="338" spans="1:6">
      <c r="A338" s="230"/>
      <c r="B338" s="230"/>
      <c r="C338" s="230"/>
      <c r="D338" s="230"/>
      <c r="E338" s="230"/>
      <c r="F338" s="230"/>
    </row>
  </sheetData>
  <customSheetViews>
    <customSheetView guid="{1BA452AD-1A45-4D9C-9666-ADFFA6F2F567}" scale="75" colorId="22" fitToPage="1">
      <selection activeCell="A2" sqref="A2"/>
      <pageMargins left="0.5" right="0.4" top="0.3" bottom="0.3" header="0" footer="0"/>
      <pageSetup scale="52" orientation="portrait" r:id="rId1"/>
      <headerFooter alignWithMargins="0"/>
    </customSheetView>
    <customSheetView guid="{EEF7ABD6-0F96-4791-B749-C06F707E7673}" scale="60" colorId="22" showPageBreaks="1" fitToPage="1" printArea="1" view="pageBreakPreview" showRuler="0">
      <selection activeCell="C104" sqref="C104"/>
      <pageMargins left="0.75" right="0.4" top="0.3" bottom="0.3" header="0" footer="0"/>
      <printOptions horizontalCentered="1" verticalCentered="1"/>
      <pageSetup scale="50" orientation="portrait" r:id="rId2"/>
      <headerFooter alignWithMargins="0"/>
    </customSheetView>
    <customSheetView guid="{A7D7DB3C-AFE6-468E-8C6B-9531F6711497}" scale="75" colorId="22" fitToPage="1" showRuler="0">
      <selection activeCell="A16" sqref="A1:IV65536"/>
      <pageMargins left="0.75" right="0.4" top="0.3" bottom="0.3" header="0" footer="0"/>
      <printOptions horizontalCentered="1" verticalCentered="1"/>
      <pageSetup scale="73" orientation="portrait" r:id="rId3"/>
      <headerFooter alignWithMargins="0"/>
    </customSheetView>
    <customSheetView guid="{4436FEB5-BFEC-4348-9286-CB706802873E}" scale="75" colorId="22" fitToPage="1" showRuler="0">
      <selection activeCell="A16" sqref="A1:IV65536"/>
      <pageMargins left="0.75" right="0.4" top="0.3" bottom="0.3" header="0" footer="0"/>
      <printOptions horizontalCentered="1" verticalCentered="1"/>
      <pageSetup scale="73" orientation="portrait" r:id="rId4"/>
      <headerFooter alignWithMargins="0"/>
    </customSheetView>
    <customSheetView guid="{044CF00C-469F-44B3-B2C4-9B4049CE70CB}" scale="75" colorId="22" fitToPage="1" showRuler="0">
      <selection activeCell="A2" sqref="A2"/>
      <pageMargins left="0.75" right="0.4" top="0.3" bottom="0.3" header="0" footer="0"/>
      <printOptions horizontalCentered="1" verticalCentered="1"/>
      <pageSetup scale="73" orientation="portrait" r:id="rId5"/>
      <headerFooter alignWithMargins="0"/>
    </customSheetView>
    <customSheetView guid="{4826FCC0-BDD6-4B2C-ACC6-ACE271DDF0E3}" scale="60" colorId="22" showPageBreaks="1" fitToPage="1" printArea="1" view="pageBreakPreview" showRuler="0">
      <selection activeCell="C104" sqref="C104"/>
      <pageMargins left="0.75" right="0.4" top="0.3" bottom="0.3" header="0" footer="0"/>
      <printOptions horizontalCentered="1" verticalCentered="1"/>
      <pageSetup scale="50" orientation="portrait" r:id="rId6"/>
      <headerFooter alignWithMargins="0"/>
    </customSheetView>
    <customSheetView guid="{EF376D10-23D6-4FE2-AB5B-4460D52CC93F}" scale="60" colorId="22" showPageBreaks="1" fitToPage="1" printArea="1" view="pageBreakPreview" showRuler="0">
      <selection activeCell="C104" sqref="C104"/>
      <pageMargins left="0.75" right="0.4" top="0.3" bottom="0.3" header="0" footer="0"/>
      <printOptions horizontalCentered="1" verticalCentered="1"/>
      <pageSetup scale="50" orientation="portrait" r:id="rId7"/>
      <headerFooter alignWithMargins="0"/>
    </customSheetView>
    <customSheetView guid="{1C046605-15CE-44F1-BFCD-2CA8588E7ACF}" scale="60" colorId="22" showPageBreaks="1" fitToPage="1" printArea="1" view="pageBreakPreview" showRuler="0">
      <selection activeCell="H56" sqref="H56"/>
      <pageMargins left="0.75" right="0.4" top="0.3" bottom="0.3" header="0" footer="0"/>
      <printOptions horizontalCentered="1" verticalCentered="1"/>
      <pageSetup scale="50" orientation="portrait" r:id="rId8"/>
      <headerFooter alignWithMargins="0"/>
    </customSheetView>
    <customSheetView guid="{3911D713-188C-46A1-A299-F21DD3B7A146}" scale="60" colorId="22" showPageBreaks="1" fitToPage="1" printArea="1" view="pageBreakPreview" showRuler="0">
      <selection activeCell="H56" sqref="H56"/>
      <pageMargins left="0.75" right="0.4" top="0.3" bottom="0.3" header="0" footer="0"/>
      <printOptions horizontalCentered="1" verticalCentered="1"/>
      <pageSetup scale="50" orientation="portrait" r:id="rId9"/>
      <headerFooter alignWithMargins="0"/>
    </customSheetView>
    <customSheetView guid="{78BB1E60-60BE-4F56-9763-075185EFEFAB}" scale="75" colorId="22" fitToPage="1">
      <selection activeCell="A2" sqref="A2"/>
      <pageMargins left="0.5" right="0.4" top="0.3" bottom="0.3" header="0" footer="0"/>
      <pageSetup scale="52" orientation="portrait" r:id="rId10"/>
      <headerFooter alignWithMargins="0"/>
    </customSheetView>
    <customSheetView guid="{9C30803E-1E2D-4850-B0A5-591CA6F246A1}" scale="75" colorId="22" fitToPage="1">
      <selection activeCell="A2" sqref="A2"/>
      <pageMargins left="0.5" right="0.4" top="0.3" bottom="0.3" header="0" footer="0"/>
      <pageSetup scale="52" orientation="portrait" r:id="rId11"/>
      <headerFooter alignWithMargins="0"/>
    </customSheetView>
    <customSheetView guid="{3B1006FF-A2CA-49E7-9B25-DAC8815279AF}" scale="75" colorId="22" fitToPage="1">
      <selection activeCell="A2" sqref="A2"/>
      <pageMargins left="0.5" right="0.4" top="0.3" bottom="0.3" header="0" footer="0"/>
      <pageSetup scale="52" orientation="portrait" r:id="rId12"/>
      <headerFooter alignWithMargins="0"/>
    </customSheetView>
    <customSheetView guid="{FB1A60C8-E1F9-4DF0-8E0E-1C965F86027F}" scale="75" colorId="22" fitToPage="1">
      <selection activeCell="A2" sqref="A2"/>
      <pageMargins left="0.5" right="0.4" top="0.3" bottom="0.3" header="0" footer="0"/>
      <pageSetup scale="52" orientation="portrait" r:id="rId13"/>
      <headerFooter alignWithMargins="0"/>
    </customSheetView>
    <customSheetView guid="{C5B6D812-CBE6-46AA-99F7-02494E9802B4}" scale="70" colorId="22" fitToPage="1" topLeftCell="A19">
      <selection activeCell="C50" sqref="C50"/>
      <pageMargins left="0.5" right="0.4" top="0.3" bottom="0.3" header="0" footer="0"/>
      <pageSetup scale="52" orientation="portrait" r:id="rId14"/>
      <headerFooter alignWithMargins="0"/>
    </customSheetView>
  </customSheetViews>
  <phoneticPr fontId="0" type="noConversion"/>
  <pageMargins left="0.5" right="0.4" top="0.3" bottom="0.3" header="0" footer="0"/>
  <pageSetup scale="52" orientation="portrait" r:id="rId15"/>
  <headerFooter alignWithMargins="0"/>
  <customProperties>
    <customPr name="_pios_id" r:id="rId16"/>
  </customProperties>
</worksheet>
</file>

<file path=xl/worksheets/sheet25.xml><?xml version="1.0" encoding="utf-8"?>
<worksheet xmlns="http://schemas.openxmlformats.org/spreadsheetml/2006/main" xmlns:r="http://schemas.openxmlformats.org/officeDocument/2006/relationships">
  <sheetPr transitionEvaluation="1" codeName="Sheet25" enableFormatConditionsCalculation="0">
    <pageSetUpPr fitToPage="1"/>
  </sheetPr>
  <dimension ref="A1:L62"/>
  <sheetViews>
    <sheetView defaultGridColor="0" colorId="22" zoomScale="75" zoomScaleNormal="75" zoomScaleSheetLayoutView="70" workbookViewId="0"/>
  </sheetViews>
  <sheetFormatPr defaultColWidth="9.77734375" defaultRowHeight="15"/>
  <cols>
    <col min="1" max="1" width="4.77734375" customWidth="1"/>
    <col min="2" max="2" width="25.77734375" customWidth="1"/>
    <col min="3" max="4" width="10.77734375" customWidth="1"/>
    <col min="5" max="7" width="18.77734375" customWidth="1"/>
    <col min="8" max="8" width="23.21875" customWidth="1"/>
    <col min="9" max="9" width="22.77734375" customWidth="1"/>
  </cols>
  <sheetData>
    <row r="1" spans="1:12" ht="15.75" thickBot="1">
      <c r="A1" s="186" t="str">
        <f>'Data sheet'!$A$65</f>
        <v>Annual Report of New York American Water Company, Inc. (f/k/a Long Island Water Corp)                                    Year Ended  December 31, 2013</v>
      </c>
      <c r="B1" s="230"/>
      <c r="C1" s="230"/>
      <c r="D1" s="230"/>
      <c r="E1" s="230"/>
      <c r="F1" s="230"/>
      <c r="G1" s="230"/>
      <c r="H1" s="24"/>
      <c r="I1" s="13"/>
    </row>
    <row r="2" spans="1:12">
      <c r="A2" s="530"/>
      <c r="B2" s="233"/>
      <c r="C2" s="233"/>
      <c r="D2" s="233"/>
      <c r="E2" s="233"/>
      <c r="F2" s="233"/>
      <c r="G2" s="233"/>
      <c r="H2" s="233"/>
      <c r="I2" s="531"/>
    </row>
    <row r="3" spans="1:12" ht="18">
      <c r="A3" s="247" t="s">
        <v>2033</v>
      </c>
      <c r="B3" s="6"/>
      <c r="C3" s="6"/>
      <c r="D3" s="6"/>
      <c r="E3" s="6"/>
      <c r="F3" s="6"/>
      <c r="G3" s="6"/>
      <c r="H3" s="6"/>
      <c r="I3" s="248"/>
    </row>
    <row r="4" spans="1:12">
      <c r="A4" s="238"/>
      <c r="B4" s="230"/>
      <c r="C4" s="230"/>
      <c r="D4" s="230"/>
      <c r="E4" s="230"/>
      <c r="F4" s="230"/>
      <c r="G4" s="230"/>
      <c r="H4" s="230"/>
      <c r="I4" s="532"/>
    </row>
    <row r="5" spans="1:12">
      <c r="A5" s="240"/>
      <c r="B5" s="260" t="s">
        <v>374</v>
      </c>
      <c r="C5" s="230"/>
      <c r="D5" s="230"/>
      <c r="E5" s="230"/>
      <c r="F5" s="230"/>
      <c r="G5" s="230"/>
      <c r="H5" s="230"/>
      <c r="I5" s="532"/>
    </row>
    <row r="6" spans="1:12">
      <c r="A6" s="240"/>
      <c r="B6" s="260"/>
      <c r="C6" s="230"/>
      <c r="D6" s="230"/>
      <c r="E6" s="230"/>
      <c r="F6" s="230"/>
      <c r="G6" s="230"/>
      <c r="H6" s="230"/>
      <c r="I6" s="532"/>
    </row>
    <row r="7" spans="1:12">
      <c r="A7" s="240"/>
      <c r="B7" s="260" t="s">
        <v>375</v>
      </c>
      <c r="C7" s="230"/>
      <c r="D7" s="230"/>
      <c r="E7" s="230"/>
      <c r="F7" s="230"/>
      <c r="G7" s="230"/>
      <c r="H7" s="230"/>
      <c r="I7" s="532"/>
      <c r="L7" t="s">
        <v>4120</v>
      </c>
    </row>
    <row r="8" spans="1:12">
      <c r="A8" s="240"/>
      <c r="B8" s="260"/>
      <c r="C8" s="230"/>
      <c r="D8" s="230"/>
      <c r="E8" s="230"/>
      <c r="F8" s="230"/>
      <c r="G8" s="230"/>
      <c r="H8" s="230"/>
      <c r="I8" s="532"/>
    </row>
    <row r="9" spans="1:12">
      <c r="A9" s="240"/>
      <c r="B9" s="260" t="s">
        <v>2853</v>
      </c>
      <c r="C9" s="230"/>
      <c r="D9" s="230"/>
      <c r="E9" s="230"/>
      <c r="F9" s="230"/>
      <c r="G9" s="230"/>
      <c r="H9" s="230"/>
      <c r="I9" s="532"/>
    </row>
    <row r="10" spans="1:12">
      <c r="A10" s="240"/>
      <c r="B10" s="260" t="s">
        <v>2854</v>
      </c>
      <c r="C10" s="230"/>
      <c r="D10" s="230"/>
      <c r="E10" s="230"/>
      <c r="F10" s="230"/>
      <c r="G10" s="230"/>
      <c r="H10" s="230"/>
      <c r="I10" s="532"/>
    </row>
    <row r="11" spans="1:12">
      <c r="A11" s="240"/>
      <c r="B11" s="260"/>
      <c r="C11" s="230"/>
      <c r="D11" s="230"/>
      <c r="E11" s="230"/>
      <c r="F11" s="230"/>
      <c r="G11" s="230"/>
      <c r="H11" s="230"/>
      <c r="I11" s="532"/>
    </row>
    <row r="12" spans="1:12">
      <c r="A12" s="240"/>
      <c r="B12" s="260" t="s">
        <v>958</v>
      </c>
      <c r="C12" s="230"/>
      <c r="D12" s="230"/>
      <c r="E12" s="230"/>
      <c r="F12" s="230"/>
      <c r="G12" s="230"/>
      <c r="H12" s="230"/>
      <c r="I12" s="532"/>
    </row>
    <row r="13" spans="1:12">
      <c r="A13" s="240"/>
      <c r="B13" s="260" t="s">
        <v>1071</v>
      </c>
      <c r="C13" s="230"/>
      <c r="D13" s="230"/>
      <c r="E13" s="230"/>
      <c r="F13" s="230"/>
      <c r="G13" s="230"/>
      <c r="H13" s="230"/>
      <c r="I13" s="532"/>
    </row>
    <row r="14" spans="1:12">
      <c r="A14" s="240"/>
      <c r="B14" s="260" t="s">
        <v>325</v>
      </c>
      <c r="C14" s="230"/>
      <c r="D14" s="230"/>
      <c r="E14" s="230"/>
      <c r="F14" s="230"/>
      <c r="G14" s="230"/>
      <c r="H14" s="230"/>
      <c r="I14" s="532"/>
    </row>
    <row r="15" spans="1:12">
      <c r="A15" s="240"/>
      <c r="B15" s="260"/>
      <c r="C15" s="230"/>
      <c r="D15" s="230"/>
      <c r="E15" s="230"/>
      <c r="F15" s="230"/>
      <c r="G15" s="230"/>
      <c r="H15" s="230"/>
      <c r="I15" s="532"/>
    </row>
    <row r="16" spans="1:12">
      <c r="A16" s="240"/>
      <c r="B16" s="260" t="s">
        <v>2697</v>
      </c>
      <c r="C16" s="230"/>
      <c r="D16" s="230"/>
      <c r="E16" s="230"/>
      <c r="F16" s="230"/>
      <c r="G16" s="230"/>
      <c r="H16" s="230"/>
      <c r="I16" s="532"/>
    </row>
    <row r="17" spans="1:9">
      <c r="A17" s="240"/>
      <c r="B17" s="260"/>
      <c r="C17" s="230"/>
      <c r="D17" s="230"/>
      <c r="E17" s="230"/>
      <c r="F17" s="230"/>
      <c r="G17" s="230"/>
      <c r="H17" s="230"/>
      <c r="I17" s="532"/>
    </row>
    <row r="18" spans="1:9">
      <c r="A18" s="240"/>
      <c r="B18" s="260" t="s">
        <v>376</v>
      </c>
      <c r="C18" s="230"/>
      <c r="D18" s="230"/>
      <c r="E18" s="230"/>
      <c r="F18" s="230"/>
      <c r="G18" s="230"/>
      <c r="H18" s="230"/>
      <c r="I18" s="532"/>
    </row>
    <row r="19" spans="1:9">
      <c r="A19" s="240"/>
      <c r="B19" s="260"/>
      <c r="C19" s="230"/>
      <c r="D19" s="230"/>
      <c r="E19" s="230"/>
      <c r="F19" s="230"/>
      <c r="G19" s="230"/>
      <c r="H19" s="230"/>
      <c r="I19" s="532"/>
    </row>
    <row r="20" spans="1:9">
      <c r="A20" s="240"/>
      <c r="B20" s="260" t="s">
        <v>377</v>
      </c>
      <c r="C20" s="230"/>
      <c r="D20" s="230"/>
      <c r="E20" s="230"/>
      <c r="F20" s="230"/>
      <c r="G20" s="230"/>
      <c r="H20" s="230"/>
      <c r="I20" s="532"/>
    </row>
    <row r="21" spans="1:9">
      <c r="A21" s="240"/>
      <c r="B21" s="260"/>
      <c r="C21" s="230"/>
      <c r="D21" s="230"/>
      <c r="E21" s="230"/>
      <c r="F21" s="230"/>
      <c r="G21" s="230"/>
      <c r="H21" s="230"/>
      <c r="I21" s="532"/>
    </row>
    <row r="22" spans="1:9">
      <c r="A22" s="240"/>
      <c r="B22" s="260" t="s">
        <v>1386</v>
      </c>
      <c r="C22" s="230"/>
      <c r="D22" s="230"/>
      <c r="E22" s="230"/>
      <c r="F22" s="230"/>
      <c r="G22" s="230"/>
      <c r="H22" s="230"/>
      <c r="I22" s="532"/>
    </row>
    <row r="23" spans="1:9">
      <c r="A23" s="240"/>
      <c r="B23" s="260" t="s">
        <v>956</v>
      </c>
      <c r="C23" s="230"/>
      <c r="D23" s="230"/>
      <c r="E23" s="230"/>
      <c r="F23" s="230"/>
      <c r="G23" s="230"/>
      <c r="H23" s="230"/>
      <c r="I23" s="532"/>
    </row>
    <row r="24" spans="1:9" ht="15.75" thickBot="1">
      <c r="A24" s="238"/>
      <c r="B24" s="848"/>
      <c r="C24" s="848"/>
      <c r="D24" s="848"/>
      <c r="E24" s="848"/>
      <c r="F24" s="848"/>
      <c r="G24" s="848"/>
      <c r="H24" s="848"/>
      <c r="I24" s="532"/>
    </row>
    <row r="25" spans="1:9">
      <c r="A25" s="530"/>
      <c r="B25" s="895"/>
      <c r="C25" s="895"/>
      <c r="D25" s="895"/>
      <c r="E25" s="895"/>
      <c r="F25" s="902" t="s">
        <v>957</v>
      </c>
      <c r="G25" s="904"/>
      <c r="H25" s="896"/>
      <c r="I25" s="897" t="s">
        <v>1305</v>
      </c>
    </row>
    <row r="26" spans="1:9">
      <c r="A26" s="238"/>
      <c r="B26" s="821" t="s">
        <v>614</v>
      </c>
      <c r="C26" s="821" t="s">
        <v>2694</v>
      </c>
      <c r="D26" s="821" t="s">
        <v>2695</v>
      </c>
      <c r="E26" s="821" t="s">
        <v>2696</v>
      </c>
      <c r="F26" s="682" t="s">
        <v>601</v>
      </c>
      <c r="G26" s="905" t="s">
        <v>602</v>
      </c>
      <c r="H26" s="888" t="s">
        <v>2013</v>
      </c>
      <c r="I26" s="772" t="s">
        <v>1026</v>
      </c>
    </row>
    <row r="27" spans="1:9">
      <c r="A27" s="238"/>
      <c r="B27" s="537"/>
      <c r="C27" s="821" t="s">
        <v>1027</v>
      </c>
      <c r="D27" s="821" t="s">
        <v>1028</v>
      </c>
      <c r="E27" s="821" t="s">
        <v>1029</v>
      </c>
      <c r="F27" s="682" t="s">
        <v>1030</v>
      </c>
      <c r="G27" s="905" t="s">
        <v>1031</v>
      </c>
      <c r="H27" s="888" t="s">
        <v>1032</v>
      </c>
      <c r="I27" s="772" t="s">
        <v>152</v>
      </c>
    </row>
    <row r="28" spans="1:9">
      <c r="A28" s="538" t="s">
        <v>1129</v>
      </c>
      <c r="B28" s="537"/>
      <c r="C28" s="537"/>
      <c r="D28" s="537"/>
      <c r="E28" s="821" t="s">
        <v>153</v>
      </c>
      <c r="F28" s="682" t="s">
        <v>2423</v>
      </c>
      <c r="G28" s="905" t="s">
        <v>153</v>
      </c>
      <c r="H28" s="888" t="s">
        <v>2268</v>
      </c>
      <c r="I28" s="772" t="s">
        <v>154</v>
      </c>
    </row>
    <row r="29" spans="1:9" ht="15.75" thickBot="1">
      <c r="A29" s="542" t="s">
        <v>3324</v>
      </c>
      <c r="B29" s="898" t="s">
        <v>4032</v>
      </c>
      <c r="C29" s="898" t="s">
        <v>4033</v>
      </c>
      <c r="D29" s="898" t="s">
        <v>4034</v>
      </c>
      <c r="E29" s="898" t="s">
        <v>4035</v>
      </c>
      <c r="F29" s="899" t="s">
        <v>2277</v>
      </c>
      <c r="G29" s="906" t="s">
        <v>2278</v>
      </c>
      <c r="H29" s="900" t="s">
        <v>2279</v>
      </c>
      <c r="I29" s="775" t="s">
        <v>2280</v>
      </c>
    </row>
    <row r="30" spans="1:9">
      <c r="A30" s="538">
        <v>1</v>
      </c>
      <c r="B30" s="159" t="s">
        <v>177</v>
      </c>
      <c r="C30" s="159"/>
      <c r="D30" s="159"/>
      <c r="E30" s="561"/>
      <c r="F30" s="893"/>
      <c r="G30" s="907"/>
      <c r="H30" s="889"/>
      <c r="I30" s="894"/>
    </row>
    <row r="31" spans="1:9">
      <c r="A31" s="538">
        <v>2</v>
      </c>
      <c r="B31" s="159"/>
      <c r="C31" s="159"/>
      <c r="D31" s="159"/>
      <c r="E31" s="161"/>
      <c r="F31" s="887"/>
      <c r="G31" s="908"/>
      <c r="H31" s="890"/>
      <c r="I31" s="162"/>
    </row>
    <row r="32" spans="1:9">
      <c r="A32" s="538">
        <v>3</v>
      </c>
      <c r="B32" s="159"/>
      <c r="C32" s="159"/>
      <c r="D32" s="159"/>
      <c r="E32" s="161"/>
      <c r="F32" s="887"/>
      <c r="G32" s="908"/>
      <c r="H32" s="890"/>
      <c r="I32" s="162"/>
    </row>
    <row r="33" spans="1:9">
      <c r="A33" s="538">
        <v>4</v>
      </c>
      <c r="B33" s="159"/>
      <c r="C33" s="159"/>
      <c r="D33" s="159"/>
      <c r="E33" s="161"/>
      <c r="F33" s="887"/>
      <c r="G33" s="908"/>
      <c r="H33" s="890"/>
      <c r="I33" s="162"/>
    </row>
    <row r="34" spans="1:9">
      <c r="A34" s="538">
        <v>5</v>
      </c>
      <c r="B34" s="159"/>
      <c r="C34" s="159"/>
      <c r="D34" s="159"/>
      <c r="E34" s="161"/>
      <c r="F34" s="887"/>
      <c r="G34" s="908"/>
      <c r="H34" s="890"/>
      <c r="I34" s="162"/>
    </row>
    <row r="35" spans="1:9">
      <c r="A35" s="538">
        <v>6</v>
      </c>
      <c r="B35" s="159"/>
      <c r="C35" s="159"/>
      <c r="D35" s="159"/>
      <c r="E35" s="161"/>
      <c r="F35" s="887"/>
      <c r="G35" s="908"/>
      <c r="H35" s="891"/>
      <c r="I35" s="162"/>
    </row>
    <row r="36" spans="1:9" ht="15.75" thickBot="1">
      <c r="A36" s="538">
        <v>7</v>
      </c>
      <c r="B36" s="166"/>
      <c r="C36" s="159"/>
      <c r="D36" s="159"/>
      <c r="E36" s="161"/>
      <c r="F36" s="887"/>
      <c r="G36" s="909"/>
      <c r="H36" s="890"/>
      <c r="I36" s="162"/>
    </row>
    <row r="37" spans="1:9" ht="15.75" thickBot="1">
      <c r="A37" s="538">
        <v>8</v>
      </c>
      <c r="B37" s="892" t="s">
        <v>1147</v>
      </c>
      <c r="C37" s="901"/>
      <c r="D37" s="901"/>
      <c r="E37" s="422">
        <f>SUM(E30:E36)</f>
        <v>0</v>
      </c>
      <c r="F37" s="903"/>
      <c r="G37" s="910">
        <f>SUM(G30:G36)</f>
        <v>0</v>
      </c>
      <c r="H37" s="912">
        <f>SUM(H30:H36)</f>
        <v>0</v>
      </c>
      <c r="I37" s="910">
        <f>SUM(I30:I36)</f>
        <v>0</v>
      </c>
    </row>
    <row r="38" spans="1:9">
      <c r="A38" s="538">
        <v>9</v>
      </c>
      <c r="B38" s="539" t="s">
        <v>177</v>
      </c>
      <c r="C38" s="159"/>
      <c r="D38" s="159"/>
      <c r="E38" s="161"/>
      <c r="F38" s="887"/>
      <c r="G38" s="911"/>
      <c r="H38" s="913"/>
      <c r="I38" s="911"/>
    </row>
    <row r="39" spans="1:9">
      <c r="A39" s="538">
        <v>10</v>
      </c>
      <c r="B39" s="539"/>
      <c r="C39" s="159"/>
      <c r="D39" s="159"/>
      <c r="E39" s="161"/>
      <c r="F39" s="887"/>
      <c r="G39" s="908"/>
      <c r="H39" s="914"/>
      <c r="I39" s="908"/>
    </row>
    <row r="40" spans="1:9">
      <c r="A40" s="538">
        <v>11</v>
      </c>
      <c r="B40" s="539"/>
      <c r="C40" s="159"/>
      <c r="D40" s="159"/>
      <c r="E40" s="161"/>
      <c r="F40" s="887"/>
      <c r="G40" s="908"/>
      <c r="H40" s="914"/>
      <c r="I40" s="908"/>
    </row>
    <row r="41" spans="1:9">
      <c r="A41" s="538">
        <v>12</v>
      </c>
      <c r="B41" s="539"/>
      <c r="C41" s="159"/>
      <c r="D41" s="159"/>
      <c r="E41" s="161"/>
      <c r="F41" s="887"/>
      <c r="G41" s="908"/>
      <c r="H41" s="914"/>
      <c r="I41" s="908"/>
    </row>
    <row r="42" spans="1:9">
      <c r="A42" s="538">
        <v>13</v>
      </c>
      <c r="B42" s="539"/>
      <c r="C42" s="159"/>
      <c r="D42" s="159"/>
      <c r="E42" s="161"/>
      <c r="F42" s="887"/>
      <c r="G42" s="908"/>
      <c r="H42" s="914"/>
      <c r="I42" s="908"/>
    </row>
    <row r="43" spans="1:9">
      <c r="A43" s="538">
        <v>14</v>
      </c>
      <c r="B43" s="539"/>
      <c r="C43" s="159"/>
      <c r="D43" s="159"/>
      <c r="E43" s="161"/>
      <c r="F43" s="887"/>
      <c r="G43" s="908"/>
      <c r="H43" s="914"/>
      <c r="I43" s="908"/>
    </row>
    <row r="44" spans="1:9" ht="15.75" thickBot="1">
      <c r="A44" s="538">
        <v>15</v>
      </c>
      <c r="B44" s="539"/>
      <c r="C44" s="159"/>
      <c r="D44" s="159"/>
      <c r="E44" s="161"/>
      <c r="F44" s="887"/>
      <c r="G44" s="909"/>
      <c r="H44" s="915"/>
      <c r="I44" s="909"/>
    </row>
    <row r="45" spans="1:9" ht="15.75" thickBot="1">
      <c r="A45" s="542">
        <v>16</v>
      </c>
      <c r="B45" s="823" t="s">
        <v>1148</v>
      </c>
      <c r="C45" s="918"/>
      <c r="D45" s="916"/>
      <c r="E45" s="910">
        <f>SUM(E38:E44)</f>
        <v>0</v>
      </c>
      <c r="F45" s="917"/>
      <c r="G45" s="910">
        <f>SUM(G38:G44)</f>
        <v>0</v>
      </c>
      <c r="H45" s="912">
        <f>SUM(H38:H44)</f>
        <v>0</v>
      </c>
      <c r="I45" s="910">
        <f>SUM(I38:I44)</f>
        <v>0</v>
      </c>
    </row>
    <row r="46" spans="1:9">
      <c r="A46" s="230"/>
      <c r="B46" s="230" t="s">
        <v>3358</v>
      </c>
      <c r="C46" s="230"/>
      <c r="D46" s="230"/>
      <c r="E46" s="230"/>
      <c r="F46" s="230"/>
      <c r="G46" s="230"/>
      <c r="H46" s="230"/>
      <c r="I46" s="687" t="s">
        <v>4066</v>
      </c>
    </row>
    <row r="47" spans="1:9">
      <c r="A47" s="284" t="s">
        <v>2762</v>
      </c>
      <c r="B47" s="284"/>
      <c r="C47" s="284"/>
      <c r="D47" s="284"/>
      <c r="E47" s="284"/>
      <c r="F47" s="284"/>
      <c r="G47" s="284"/>
      <c r="H47" s="284"/>
      <c r="I47" s="284"/>
    </row>
    <row r="53" spans="2:2">
      <c r="B53" s="30"/>
    </row>
    <row r="54" spans="2:2">
      <c r="B54" s="30"/>
    </row>
    <row r="55" spans="2:2">
      <c r="B55" s="30"/>
    </row>
    <row r="56" spans="2:2">
      <c r="B56" s="30"/>
    </row>
    <row r="57" spans="2:2">
      <c r="B57" s="30"/>
    </row>
    <row r="58" spans="2:2">
      <c r="B58" s="30"/>
    </row>
    <row r="59" spans="2:2">
      <c r="B59" s="30"/>
    </row>
    <row r="60" spans="2:2">
      <c r="B60" s="30"/>
    </row>
    <row r="61" spans="2:2">
      <c r="B61" s="30"/>
    </row>
    <row r="62" spans="2:2">
      <c r="B62" s="30"/>
    </row>
  </sheetData>
  <customSheetViews>
    <customSheetView guid="{1BA452AD-1A45-4D9C-9666-ADFFA6F2F567}" scale="60" colorId="22" showPageBreaks="1" fitToPage="1" printArea="1" view="pageBreakPreview">
      <selection activeCell="D55" sqref="D55"/>
      <pageMargins left="0.4" right="0.4" top="1.05" bottom="0.3" header="0.5" footer="0.5"/>
      <pageSetup scale="70" orientation="landscape" r:id="rId1"/>
      <headerFooter alignWithMargins="0"/>
    </customSheetView>
    <customSheetView guid="{EEF7ABD6-0F96-4791-B749-C06F707E7673}" scale="60" colorId="22" showPageBreaks="1" fitToPage="1" printArea="1" view="pageBreakPreview" showRuler="0">
      <selection activeCell="C104" sqref="C104"/>
      <pageMargins left="0.4" right="0.4" top="1.05" bottom="0.3" header="0.5" footer="0.5"/>
      <pageSetup scale="70" orientation="landscape" r:id="rId2"/>
      <headerFooter alignWithMargins="0"/>
    </customSheetView>
    <customSheetView guid="{A7D7DB3C-AFE6-468E-8C6B-9531F6711497}" scale="60" colorId="22" showPageBreaks="1" fitToPage="1" view="pageBreakPreview" showRuler="0">
      <selection activeCell="A2" sqref="A2"/>
      <pageMargins left="0.4" right="0.4" top="1.05" bottom="0.3" header="0.5" footer="0.5"/>
      <pageSetup scale="70" orientation="landscape" r:id="rId3"/>
      <headerFooter alignWithMargins="0"/>
    </customSheetView>
    <customSheetView guid="{4436FEB5-BFEC-4348-9286-CB706802873E}" scale="60" colorId="22" showPageBreaks="1" fitToPage="1" view="pageBreakPreview" showRuler="0">
      <selection activeCell="A2" sqref="A2"/>
      <pageMargins left="0.4" right="0.4" top="1.05" bottom="0.3" header="0.5" footer="0.5"/>
      <pageSetup scale="70" orientation="landscape" r:id="rId4"/>
      <headerFooter alignWithMargins="0"/>
    </customSheetView>
    <customSheetView guid="{044CF00C-469F-44B3-B2C4-9B4049CE70CB}" scale="75" colorId="22" fitToPage="1" showRuler="0">
      <selection activeCell="A2" sqref="A2"/>
      <pageMargins left="0.4" right="0.4" top="1.05" bottom="0.3" header="0.5" footer="0.5"/>
      <pageSetup scale="70" orientation="landscape" r:id="rId5"/>
      <headerFooter alignWithMargins="0"/>
    </customSheetView>
    <customSheetView guid="{4826FCC0-BDD6-4B2C-ACC6-ACE271DDF0E3}" scale="60" colorId="22" showPageBreaks="1" fitToPage="1" printArea="1" view="pageBreakPreview" showRuler="0">
      <selection activeCell="C104" sqref="C104"/>
      <pageMargins left="0.4" right="0.4" top="1.05" bottom="0.3" header="0.5" footer="0.5"/>
      <pageSetup scale="70" orientation="landscape" r:id="rId6"/>
      <headerFooter alignWithMargins="0"/>
    </customSheetView>
    <customSheetView guid="{EF376D10-23D6-4FE2-AB5B-4460D52CC93F}" scale="60" colorId="22" showPageBreaks="1" fitToPage="1" printArea="1" view="pageBreakPreview" showRuler="0">
      <selection activeCell="C104" sqref="C104"/>
      <pageMargins left="0.4" right="0.4" top="1.05" bottom="0.3" header="0.5" footer="0.5"/>
      <pageSetup scale="70" orientation="landscape" r:id="rId7"/>
      <headerFooter alignWithMargins="0"/>
    </customSheetView>
    <customSheetView guid="{1C046605-15CE-44F1-BFCD-2CA8588E7ACF}" scale="60" colorId="22" showPageBreaks="1" fitToPage="1" printArea="1" view="pageBreakPreview" showRuler="0">
      <selection activeCell="C104" sqref="C104"/>
      <pageMargins left="0.4" right="0.4" top="1.05" bottom="0.3" header="0.5" footer="0.5"/>
      <pageSetup scale="70" orientation="landscape" r:id="rId8"/>
      <headerFooter alignWithMargins="0"/>
    </customSheetView>
    <customSheetView guid="{3911D713-188C-46A1-A299-F21DD3B7A146}" scale="60" colorId="22" showPageBreaks="1" fitToPage="1" printArea="1" view="pageBreakPreview" showRuler="0">
      <selection activeCell="C104" sqref="C104"/>
      <pageMargins left="0.4" right="0.4" top="1.05" bottom="0.3" header="0.5" footer="0.5"/>
      <pageSetup scale="70" orientation="landscape" r:id="rId9"/>
      <headerFooter alignWithMargins="0"/>
    </customSheetView>
    <customSheetView guid="{78BB1E60-60BE-4F56-9763-075185EFEFAB}" scale="60" colorId="22" showPageBreaks="1" fitToPage="1" printArea="1" view="pageBreakPreview">
      <selection activeCell="D55" sqref="D55"/>
      <pageMargins left="0.4" right="0.4" top="1.05" bottom="0.3" header="0.5" footer="0.5"/>
      <pageSetup scale="70" orientation="landscape" r:id="rId10"/>
      <headerFooter alignWithMargins="0"/>
    </customSheetView>
    <customSheetView guid="{9C30803E-1E2D-4850-B0A5-591CA6F246A1}" scale="60" colorId="22" showPageBreaks="1" fitToPage="1" printArea="1" view="pageBreakPreview">
      <selection activeCell="D55" sqref="D55"/>
      <pageMargins left="0.4" right="0.4" top="1.05" bottom="0.3" header="0.5" footer="0.5"/>
      <pageSetup scale="70" orientation="landscape" r:id="rId11"/>
      <headerFooter alignWithMargins="0"/>
    </customSheetView>
    <customSheetView guid="{3B1006FF-A2CA-49E7-9B25-DAC8815279AF}" scale="60" colorId="22" showPageBreaks="1" fitToPage="1" printArea="1" view="pageBreakPreview">
      <selection activeCell="D55" sqref="D55"/>
      <pageMargins left="0.4" right="0.4" top="1.05" bottom="0.3" header="0.5" footer="0.5"/>
      <pageSetup scale="70" orientation="landscape" r:id="rId12"/>
      <headerFooter alignWithMargins="0"/>
    </customSheetView>
    <customSheetView guid="{FB1A60C8-E1F9-4DF0-8E0E-1C965F86027F}" scale="60" colorId="22" showPageBreaks="1" fitToPage="1" printArea="1" view="pageBreakPreview">
      <selection activeCell="D55" sqref="D55"/>
      <pageMargins left="0.4" right="0.4" top="1.05" bottom="0.3" header="0.5" footer="0.5"/>
      <pageSetup scale="70" orientation="landscape" r:id="rId13"/>
      <headerFooter alignWithMargins="0"/>
    </customSheetView>
    <customSheetView guid="{C5B6D812-CBE6-46AA-99F7-02494E9802B4}" scale="70" colorId="22" showPageBreaks="1" fitToPage="1" printArea="1" view="pageBreakPreview" topLeftCell="A33">
      <selection activeCell="C42" sqref="C42"/>
      <pageMargins left="0.4" right="0.4" top="1.05" bottom="0.3" header="0.5" footer="0.5"/>
      <pageSetup scale="70" orientation="landscape" r:id="rId14"/>
      <headerFooter alignWithMargins="0"/>
    </customSheetView>
  </customSheetViews>
  <phoneticPr fontId="0" type="noConversion"/>
  <pageMargins left="0.4" right="0.4" top="1.05" bottom="0.3" header="0.5" footer="0.5"/>
  <pageSetup scale="70" orientation="landscape" r:id="rId15"/>
  <headerFooter alignWithMargins="0"/>
  <customProperties>
    <customPr name="_pios_id" r:id="rId16"/>
  </customProperties>
</worksheet>
</file>

<file path=xl/worksheets/sheet26.xml><?xml version="1.0" encoding="utf-8"?>
<worksheet xmlns="http://schemas.openxmlformats.org/spreadsheetml/2006/main" xmlns:r="http://schemas.openxmlformats.org/officeDocument/2006/relationships">
  <sheetPr transitionEvaluation="1" codeName="Sheet26" enableFormatConditionsCalculation="0">
    <pageSetUpPr fitToPage="1"/>
  </sheetPr>
  <dimension ref="A1:F137"/>
  <sheetViews>
    <sheetView defaultGridColor="0" colorId="22" zoomScale="70" zoomScaleNormal="70" workbookViewId="0"/>
  </sheetViews>
  <sheetFormatPr defaultColWidth="9.77734375" defaultRowHeight="15"/>
  <cols>
    <col min="1" max="1" width="4.77734375" customWidth="1"/>
    <col min="2" max="2" width="32.77734375" customWidth="1"/>
    <col min="3" max="3" width="23.109375" customWidth="1"/>
    <col min="4" max="5" width="18.77734375" customWidth="1"/>
    <col min="6" max="6" width="22.88671875" customWidth="1"/>
    <col min="7" max="7" width="5.33203125" customWidth="1"/>
  </cols>
  <sheetData>
    <row r="1" spans="1:6" ht="15.75" thickBot="1">
      <c r="A1" s="186" t="str">
        <f>+'Data sheet'!A53</f>
        <v>Annual Report of New York American Water Company, Inc. (f/k/a Long Island Water Corp)                                   Year Ended  December 31, 2013</v>
      </c>
      <c r="B1" s="230"/>
      <c r="C1" s="230"/>
      <c r="D1" s="230"/>
      <c r="E1" s="1635"/>
      <c r="F1" s="230"/>
    </row>
    <row r="2" spans="1:6">
      <c r="A2" s="142"/>
      <c r="B2" s="143"/>
      <c r="C2" s="143"/>
      <c r="D2" s="143"/>
      <c r="E2" s="143"/>
      <c r="F2" s="144"/>
    </row>
    <row r="3" spans="1:6" ht="15.75">
      <c r="A3" s="130" t="s">
        <v>3165</v>
      </c>
      <c r="B3" s="128"/>
      <c r="C3" s="128"/>
      <c r="D3" s="128"/>
      <c r="E3" s="128"/>
      <c r="F3" s="145"/>
    </row>
    <row r="4" spans="1:6">
      <c r="A4" s="108"/>
      <c r="B4" s="109"/>
      <c r="C4" s="109"/>
      <c r="D4" s="872"/>
      <c r="E4" s="109"/>
      <c r="F4" s="112"/>
    </row>
    <row r="5" spans="1:6">
      <c r="A5" s="96"/>
      <c r="B5" s="97"/>
      <c r="C5" s="97"/>
      <c r="D5" s="97"/>
      <c r="E5" s="97"/>
      <c r="F5" s="98"/>
    </row>
    <row r="6" spans="1:6">
      <c r="A6" s="96"/>
      <c r="B6" s="119" t="s">
        <v>1483</v>
      </c>
      <c r="C6" s="97"/>
      <c r="D6" s="97"/>
      <c r="E6" s="97"/>
      <c r="F6" s="98"/>
    </row>
    <row r="7" spans="1:6">
      <c r="A7" s="96"/>
      <c r="B7" s="119"/>
      <c r="C7" s="97"/>
      <c r="D7" s="97"/>
      <c r="E7" s="97"/>
      <c r="F7" s="98"/>
    </row>
    <row r="8" spans="1:6">
      <c r="A8" s="96"/>
      <c r="B8" s="119" t="s">
        <v>3084</v>
      </c>
      <c r="C8" s="97"/>
      <c r="D8" s="97"/>
      <c r="E8" s="97"/>
      <c r="F8" s="98"/>
    </row>
    <row r="9" spans="1:6">
      <c r="A9" s="96"/>
      <c r="B9" s="119" t="s">
        <v>1899</v>
      </c>
      <c r="C9" s="97"/>
      <c r="D9" s="97"/>
      <c r="E9" s="97"/>
      <c r="F9" s="98"/>
    </row>
    <row r="10" spans="1:6">
      <c r="A10" s="96"/>
      <c r="B10" s="119"/>
      <c r="C10" s="97"/>
      <c r="D10" s="97"/>
      <c r="E10" s="97"/>
      <c r="F10" s="98"/>
    </row>
    <row r="11" spans="1:6">
      <c r="A11" s="96"/>
      <c r="B11" s="119" t="s">
        <v>1900</v>
      </c>
      <c r="C11" s="97"/>
      <c r="D11" s="97"/>
      <c r="E11" s="97"/>
      <c r="F11" s="98"/>
    </row>
    <row r="12" spans="1:6">
      <c r="A12" s="96"/>
      <c r="B12" s="119"/>
      <c r="C12" s="97"/>
      <c r="D12" s="97"/>
      <c r="E12" s="97"/>
      <c r="F12" s="98"/>
    </row>
    <row r="13" spans="1:6">
      <c r="A13" s="96"/>
      <c r="B13" s="119" t="s">
        <v>4190</v>
      </c>
      <c r="C13" s="97"/>
      <c r="D13" s="97"/>
      <c r="E13" s="97"/>
      <c r="F13" s="98"/>
    </row>
    <row r="14" spans="1:6">
      <c r="A14" s="96"/>
      <c r="B14" s="119"/>
      <c r="C14" s="97"/>
      <c r="D14" s="97"/>
      <c r="E14" s="97"/>
      <c r="F14" s="98"/>
    </row>
    <row r="15" spans="1:6">
      <c r="A15" s="96"/>
      <c r="B15" s="119" t="s">
        <v>4191</v>
      </c>
      <c r="C15" s="97"/>
      <c r="D15" s="97"/>
      <c r="E15" s="97"/>
      <c r="F15" s="98"/>
    </row>
    <row r="16" spans="1:6">
      <c r="A16" s="108"/>
      <c r="B16" s="109"/>
      <c r="C16" s="109"/>
      <c r="D16" s="109"/>
      <c r="E16" s="109"/>
      <c r="F16" s="112"/>
    </row>
    <row r="17" spans="1:6">
      <c r="A17" s="444"/>
      <c r="B17" s="97"/>
      <c r="C17" s="97"/>
      <c r="D17" s="666" t="s">
        <v>1062</v>
      </c>
      <c r="E17" s="666" t="s">
        <v>4192</v>
      </c>
      <c r="F17" s="410" t="s">
        <v>1062</v>
      </c>
    </row>
    <row r="18" spans="1:6">
      <c r="A18" s="444" t="s">
        <v>1129</v>
      </c>
      <c r="B18" s="128" t="s">
        <v>421</v>
      </c>
      <c r="C18" s="128"/>
      <c r="D18" s="666" t="s">
        <v>2314</v>
      </c>
      <c r="E18" s="666" t="s">
        <v>1215</v>
      </c>
      <c r="F18" s="410" t="s">
        <v>2423</v>
      </c>
    </row>
    <row r="19" spans="1:6">
      <c r="A19" s="521" t="s">
        <v>3324</v>
      </c>
      <c r="B19" s="146" t="s">
        <v>4032</v>
      </c>
      <c r="C19" s="146"/>
      <c r="D19" s="667" t="s">
        <v>4033</v>
      </c>
      <c r="E19" s="667" t="s">
        <v>4034</v>
      </c>
      <c r="F19" s="414" t="s">
        <v>4035</v>
      </c>
    </row>
    <row r="20" spans="1:6">
      <c r="A20" s="444">
        <v>1</v>
      </c>
      <c r="B20" s="97" t="s">
        <v>178</v>
      </c>
      <c r="C20" s="97"/>
      <c r="D20" s="526">
        <v>13557</v>
      </c>
      <c r="E20" s="1128"/>
      <c r="F20" s="479">
        <v>13557</v>
      </c>
    </row>
    <row r="21" spans="1:6">
      <c r="A21" s="444">
        <v>2</v>
      </c>
      <c r="B21" s="97"/>
      <c r="C21" s="97"/>
      <c r="D21" s="526"/>
      <c r="E21" s="557"/>
      <c r="F21" s="479"/>
    </row>
    <row r="22" spans="1:6">
      <c r="A22" s="444">
        <v>3</v>
      </c>
      <c r="B22" s="97" t="s">
        <v>669</v>
      </c>
      <c r="C22" s="97"/>
      <c r="D22" s="526">
        <v>11241</v>
      </c>
      <c r="E22" s="557"/>
      <c r="F22" s="479">
        <v>11241</v>
      </c>
    </row>
    <row r="23" spans="1:6">
      <c r="A23" s="444">
        <v>4</v>
      </c>
      <c r="B23" s="97"/>
      <c r="C23" s="97"/>
      <c r="D23" s="526"/>
      <c r="E23" s="557"/>
      <c r="F23" s="479"/>
    </row>
    <row r="24" spans="1:6">
      <c r="A24" s="444">
        <v>5</v>
      </c>
      <c r="B24" s="97" t="s">
        <v>670</v>
      </c>
      <c r="C24" s="97"/>
      <c r="D24" s="526">
        <v>38570</v>
      </c>
      <c r="E24" s="557"/>
      <c r="F24" s="479">
        <v>38570</v>
      </c>
    </row>
    <row r="25" spans="1:6">
      <c r="A25" s="444">
        <v>6</v>
      </c>
      <c r="B25" s="97"/>
      <c r="C25" s="97"/>
      <c r="D25" s="526"/>
      <c r="E25" s="526"/>
      <c r="F25" s="479"/>
    </row>
    <row r="26" spans="1:6">
      <c r="A26" s="444">
        <v>7</v>
      </c>
      <c r="B26" s="97"/>
      <c r="C26" s="97"/>
      <c r="D26" s="526"/>
      <c r="E26" s="526"/>
      <c r="F26" s="479"/>
    </row>
    <row r="27" spans="1:6">
      <c r="A27" s="444">
        <v>8</v>
      </c>
      <c r="B27" s="97"/>
      <c r="C27" s="97"/>
      <c r="D27" s="526"/>
      <c r="E27" s="526"/>
      <c r="F27" s="479"/>
    </row>
    <row r="28" spans="1:6">
      <c r="A28" s="444">
        <v>9</v>
      </c>
      <c r="B28" s="97"/>
      <c r="C28" s="97"/>
      <c r="D28" s="526"/>
      <c r="E28" s="526"/>
      <c r="F28" s="479"/>
    </row>
    <row r="29" spans="1:6">
      <c r="A29" s="444">
        <v>10</v>
      </c>
      <c r="B29" s="97"/>
      <c r="C29" s="97"/>
      <c r="D29" s="526"/>
      <c r="E29" s="526"/>
      <c r="F29" s="479"/>
    </row>
    <row r="30" spans="1:6">
      <c r="A30" s="444">
        <v>11</v>
      </c>
      <c r="B30" s="97"/>
      <c r="C30" s="97"/>
      <c r="D30" s="526"/>
      <c r="E30" s="526"/>
      <c r="F30" s="479"/>
    </row>
    <row r="31" spans="1:6">
      <c r="A31" s="444">
        <v>12</v>
      </c>
      <c r="B31" s="97"/>
      <c r="C31" s="97"/>
      <c r="D31" s="526"/>
      <c r="E31" s="526"/>
      <c r="F31" s="479"/>
    </row>
    <row r="32" spans="1:6">
      <c r="A32" s="444">
        <v>13</v>
      </c>
      <c r="B32" s="97"/>
      <c r="C32" s="97"/>
      <c r="D32" s="526"/>
      <c r="E32" s="526"/>
      <c r="F32" s="479"/>
    </row>
    <row r="33" spans="1:6">
      <c r="A33" s="444">
        <v>14</v>
      </c>
      <c r="B33" s="97"/>
      <c r="C33" s="97"/>
      <c r="D33" s="526"/>
      <c r="E33" s="526"/>
      <c r="F33" s="479"/>
    </row>
    <row r="34" spans="1:6">
      <c r="A34" s="444">
        <v>15</v>
      </c>
      <c r="B34" s="97"/>
      <c r="C34" s="97"/>
      <c r="D34" s="526"/>
      <c r="E34" s="526"/>
      <c r="F34" s="479"/>
    </row>
    <row r="35" spans="1:6">
      <c r="A35" s="444">
        <v>16</v>
      </c>
      <c r="B35" s="97"/>
      <c r="C35" s="97"/>
      <c r="D35" s="526"/>
      <c r="E35" s="526"/>
      <c r="F35" s="479"/>
    </row>
    <row r="36" spans="1:6">
      <c r="A36" s="444">
        <v>17</v>
      </c>
      <c r="B36" s="97"/>
      <c r="C36" s="97"/>
      <c r="D36" s="526"/>
      <c r="E36" s="526"/>
      <c r="F36" s="479"/>
    </row>
    <row r="37" spans="1:6">
      <c r="A37" s="444">
        <v>18</v>
      </c>
      <c r="B37" s="97"/>
      <c r="C37" s="97"/>
      <c r="D37" s="526"/>
      <c r="E37" s="526"/>
      <c r="F37" s="479"/>
    </row>
    <row r="38" spans="1:6">
      <c r="A38" s="444">
        <v>19</v>
      </c>
      <c r="B38" s="97"/>
      <c r="C38" s="97"/>
      <c r="D38" s="526"/>
      <c r="E38" s="526"/>
      <c r="F38" s="479"/>
    </row>
    <row r="39" spans="1:6">
      <c r="A39" s="444">
        <v>20</v>
      </c>
      <c r="B39" s="97"/>
      <c r="C39" s="97"/>
      <c r="D39" s="526"/>
      <c r="E39" s="526"/>
      <c r="F39" s="479"/>
    </row>
    <row r="40" spans="1:6">
      <c r="A40" s="444">
        <v>21</v>
      </c>
      <c r="B40" s="97"/>
      <c r="C40" s="97"/>
      <c r="D40" s="526"/>
      <c r="E40" s="526"/>
      <c r="F40" s="479"/>
    </row>
    <row r="41" spans="1:6">
      <c r="A41" s="444">
        <v>22</v>
      </c>
      <c r="B41" s="97"/>
      <c r="C41" s="97"/>
      <c r="D41" s="526"/>
      <c r="E41" s="526"/>
      <c r="F41" s="479"/>
    </row>
    <row r="42" spans="1:6">
      <c r="A42" s="444">
        <v>23</v>
      </c>
      <c r="B42" s="97"/>
      <c r="C42" s="97"/>
      <c r="D42" s="526"/>
      <c r="E42" s="526"/>
      <c r="F42" s="479"/>
    </row>
    <row r="43" spans="1:6">
      <c r="A43" s="444">
        <v>24</v>
      </c>
      <c r="B43" s="97"/>
      <c r="C43" s="97"/>
      <c r="D43" s="526"/>
      <c r="E43" s="526"/>
      <c r="F43" s="479"/>
    </row>
    <row r="44" spans="1:6">
      <c r="A44" s="444">
        <v>25</v>
      </c>
      <c r="B44" s="97"/>
      <c r="C44" s="97"/>
      <c r="D44" s="526"/>
      <c r="E44" s="526"/>
      <c r="F44" s="479"/>
    </row>
    <row r="45" spans="1:6">
      <c r="A45" s="444">
        <v>26</v>
      </c>
      <c r="B45" s="97"/>
      <c r="C45" s="97"/>
      <c r="D45" s="526"/>
      <c r="E45" s="526"/>
      <c r="F45" s="479"/>
    </row>
    <row r="46" spans="1:6">
      <c r="A46" s="444">
        <v>27</v>
      </c>
      <c r="B46" s="97"/>
      <c r="C46" s="97"/>
      <c r="D46" s="526"/>
      <c r="E46" s="526"/>
      <c r="F46" s="479"/>
    </row>
    <row r="47" spans="1:6">
      <c r="A47" s="444">
        <v>28</v>
      </c>
      <c r="B47" s="97"/>
      <c r="C47" s="97"/>
      <c r="D47" s="526"/>
      <c r="E47" s="526"/>
      <c r="F47" s="479"/>
    </row>
    <row r="48" spans="1:6">
      <c r="A48" s="444">
        <v>29</v>
      </c>
      <c r="B48" s="97"/>
      <c r="C48" s="97"/>
      <c r="D48" s="526"/>
      <c r="E48" s="526"/>
      <c r="F48" s="479"/>
    </row>
    <row r="49" spans="1:6">
      <c r="A49" s="444">
        <v>30</v>
      </c>
      <c r="B49" s="97"/>
      <c r="C49" s="97"/>
      <c r="D49" s="526"/>
      <c r="E49" s="526"/>
      <c r="F49" s="479"/>
    </row>
    <row r="50" spans="1:6">
      <c r="A50" s="444">
        <v>31</v>
      </c>
      <c r="B50" s="97"/>
      <c r="C50" s="97"/>
      <c r="D50" s="526"/>
      <c r="E50" s="526"/>
      <c r="F50" s="479"/>
    </row>
    <row r="51" spans="1:6">
      <c r="A51" s="444">
        <v>32</v>
      </c>
      <c r="B51" s="97"/>
      <c r="C51" s="97"/>
      <c r="D51" s="526"/>
      <c r="E51" s="526"/>
      <c r="F51" s="479"/>
    </row>
    <row r="52" spans="1:6">
      <c r="A52" s="444">
        <v>33</v>
      </c>
      <c r="B52" s="97"/>
      <c r="C52" s="97"/>
      <c r="D52" s="526"/>
      <c r="E52" s="526"/>
      <c r="F52" s="479"/>
    </row>
    <row r="53" spans="1:6">
      <c r="A53" s="444">
        <v>34</v>
      </c>
      <c r="B53" s="97"/>
      <c r="C53" s="97"/>
      <c r="D53" s="526"/>
      <c r="E53" s="526"/>
      <c r="F53" s="479"/>
    </row>
    <row r="54" spans="1:6">
      <c r="A54" s="444">
        <v>35</v>
      </c>
      <c r="B54" s="97"/>
      <c r="C54" s="97"/>
      <c r="D54" s="526"/>
      <c r="E54" s="526"/>
      <c r="F54" s="479"/>
    </row>
    <row r="55" spans="1:6">
      <c r="A55" s="444">
        <v>36</v>
      </c>
      <c r="B55" s="97"/>
      <c r="C55" s="97"/>
      <c r="D55" s="526"/>
      <c r="E55" s="526"/>
      <c r="F55" s="479"/>
    </row>
    <row r="56" spans="1:6">
      <c r="A56" s="444">
        <v>37</v>
      </c>
      <c r="B56" s="97"/>
      <c r="C56" s="97"/>
      <c r="D56" s="526"/>
      <c r="E56" s="526"/>
      <c r="F56" s="479"/>
    </row>
    <row r="57" spans="1:6">
      <c r="A57" s="444">
        <v>38</v>
      </c>
      <c r="B57" s="97"/>
      <c r="C57" s="97"/>
      <c r="D57" s="526"/>
      <c r="E57" s="526"/>
      <c r="F57" s="479"/>
    </row>
    <row r="58" spans="1:6">
      <c r="A58" s="444">
        <v>39</v>
      </c>
      <c r="B58" s="97"/>
      <c r="C58" s="97"/>
      <c r="D58" s="526"/>
      <c r="E58" s="526"/>
      <c r="F58" s="479"/>
    </row>
    <row r="59" spans="1:6">
      <c r="A59" s="444">
        <v>40</v>
      </c>
      <c r="B59" s="97"/>
      <c r="C59" s="97"/>
      <c r="D59" s="526"/>
      <c r="E59" s="526"/>
      <c r="F59" s="479"/>
    </row>
    <row r="60" spans="1:6">
      <c r="A60" s="444">
        <v>41</v>
      </c>
      <c r="B60" s="97"/>
      <c r="C60" s="97"/>
      <c r="D60" s="526"/>
      <c r="E60" s="526"/>
      <c r="F60" s="479"/>
    </row>
    <row r="61" spans="1:6">
      <c r="A61" s="444">
        <v>42</v>
      </c>
      <c r="B61" s="97" t="s">
        <v>1216</v>
      </c>
      <c r="C61" s="97"/>
      <c r="D61" s="526"/>
      <c r="E61" s="526"/>
      <c r="F61" s="479"/>
    </row>
    <row r="62" spans="1:6" ht="15.75" thickBot="1">
      <c r="A62" s="435">
        <v>43</v>
      </c>
      <c r="B62" s="527" t="s">
        <v>1923</v>
      </c>
      <c r="C62" s="527"/>
      <c r="D62" s="528">
        <f>SUM(D20:D61)</f>
        <v>63368</v>
      </c>
      <c r="E62" s="528">
        <f>SUM(E20:E61)</f>
        <v>0</v>
      </c>
      <c r="F62" s="439">
        <f>SUM(F20:F61)</f>
        <v>63368</v>
      </c>
    </row>
    <row r="63" spans="1:6">
      <c r="A63" s="97" t="s">
        <v>4066</v>
      </c>
      <c r="B63" s="97"/>
      <c r="C63" s="97"/>
      <c r="D63" s="97"/>
      <c r="E63" s="97"/>
      <c r="F63" s="97"/>
    </row>
    <row r="64" spans="1:6">
      <c r="A64" s="128" t="s">
        <v>1924</v>
      </c>
      <c r="B64" s="128"/>
      <c r="C64" s="128"/>
      <c r="D64" s="128"/>
      <c r="E64" s="128"/>
      <c r="F64" s="128"/>
    </row>
    <row r="65" spans="1:6">
      <c r="A65" s="97"/>
      <c r="B65" s="97"/>
      <c r="C65" s="97"/>
      <c r="D65" s="97"/>
      <c r="E65" s="97"/>
      <c r="F65" s="97"/>
    </row>
    <row r="66" spans="1:6">
      <c r="A66" s="97"/>
      <c r="B66" s="97"/>
      <c r="C66" s="97"/>
      <c r="D66" s="97"/>
      <c r="E66" s="97"/>
      <c r="F66" s="97"/>
    </row>
    <row r="67" spans="1:6">
      <c r="A67" s="97"/>
      <c r="B67" s="97"/>
      <c r="C67" s="97"/>
      <c r="D67" s="97"/>
      <c r="E67" s="97"/>
      <c r="F67" s="97"/>
    </row>
    <row r="68" spans="1:6">
      <c r="A68" s="97"/>
      <c r="B68" s="97"/>
      <c r="C68" s="97"/>
      <c r="D68" s="97"/>
      <c r="E68" s="97"/>
      <c r="F68" s="97"/>
    </row>
    <row r="69" spans="1:6">
      <c r="A69" s="97"/>
      <c r="B69" s="97"/>
      <c r="C69" s="97"/>
      <c r="D69" s="97"/>
      <c r="E69" s="97"/>
      <c r="F69" s="97"/>
    </row>
    <row r="70" spans="1:6">
      <c r="A70" s="97"/>
      <c r="B70" s="97"/>
      <c r="C70" s="97"/>
      <c r="D70" s="97"/>
      <c r="E70" s="97"/>
      <c r="F70" s="97"/>
    </row>
    <row r="71" spans="1:6">
      <c r="A71" s="97"/>
      <c r="B71" s="97"/>
      <c r="C71" s="97"/>
      <c r="D71" s="97"/>
      <c r="E71" s="97"/>
      <c r="F71" s="97"/>
    </row>
    <row r="72" spans="1:6">
      <c r="A72" s="97"/>
      <c r="B72" s="97"/>
      <c r="C72" s="97"/>
      <c r="D72" s="97"/>
      <c r="E72" s="97"/>
      <c r="F72" s="97"/>
    </row>
    <row r="73" spans="1:6">
      <c r="A73" s="97"/>
      <c r="B73" s="97"/>
      <c r="C73" s="97"/>
      <c r="D73" s="97"/>
      <c r="E73" s="97"/>
      <c r="F73" s="97"/>
    </row>
    <row r="74" spans="1:6">
      <c r="A74" s="97"/>
      <c r="B74" s="97"/>
      <c r="C74" s="97"/>
      <c r="D74" s="97"/>
      <c r="E74" s="97"/>
      <c r="F74" s="97"/>
    </row>
    <row r="75" spans="1:6">
      <c r="A75" s="97"/>
      <c r="B75" s="97"/>
      <c r="C75" s="97"/>
      <c r="D75" s="97"/>
      <c r="E75" s="97"/>
      <c r="F75" s="97"/>
    </row>
    <row r="76" spans="1:6">
      <c r="A76" s="97"/>
      <c r="B76" s="97"/>
      <c r="C76" s="97"/>
      <c r="D76" s="97"/>
      <c r="E76" s="97"/>
      <c r="F76" s="97"/>
    </row>
    <row r="77" spans="1:6">
      <c r="A77" s="97"/>
      <c r="B77" s="97"/>
      <c r="C77" s="97"/>
      <c r="D77" s="97"/>
      <c r="E77" s="97"/>
      <c r="F77" s="97"/>
    </row>
    <row r="78" spans="1:6">
      <c r="A78" s="97"/>
      <c r="B78" s="97"/>
      <c r="C78" s="97"/>
      <c r="D78" s="97"/>
      <c r="E78" s="97"/>
      <c r="F78" s="97"/>
    </row>
    <row r="79" spans="1:6">
      <c r="A79" s="97"/>
      <c r="B79" s="97"/>
      <c r="C79" s="97"/>
      <c r="D79" s="97"/>
      <c r="E79" s="97"/>
      <c r="F79" s="97"/>
    </row>
    <row r="80" spans="1:6">
      <c r="A80" s="97"/>
      <c r="B80" s="97"/>
      <c r="C80" s="97"/>
      <c r="D80" s="97"/>
      <c r="E80" s="97"/>
      <c r="F80" s="97"/>
    </row>
    <row r="81" spans="1:6">
      <c r="A81" s="97"/>
      <c r="B81" s="97"/>
      <c r="C81" s="97"/>
      <c r="D81" s="97"/>
      <c r="E81" s="97"/>
      <c r="F81" s="97"/>
    </row>
    <row r="82" spans="1:6">
      <c r="A82" s="97"/>
      <c r="B82" s="97"/>
      <c r="C82" s="97"/>
      <c r="D82" s="97"/>
      <c r="E82" s="97"/>
      <c r="F82" s="97"/>
    </row>
    <row r="83" spans="1:6">
      <c r="A83" s="97"/>
      <c r="B83" s="97"/>
      <c r="C83" s="97"/>
      <c r="D83" s="97"/>
      <c r="E83" s="97"/>
      <c r="F83" s="97"/>
    </row>
    <row r="84" spans="1:6">
      <c r="A84" s="97"/>
      <c r="B84" s="97"/>
      <c r="C84" s="97"/>
      <c r="D84" s="97"/>
      <c r="E84" s="97"/>
      <c r="F84" s="97"/>
    </row>
    <row r="85" spans="1:6">
      <c r="A85" s="97"/>
      <c r="B85" s="97"/>
      <c r="C85" s="97"/>
      <c r="D85" s="97"/>
      <c r="E85" s="97"/>
      <c r="F85" s="97"/>
    </row>
    <row r="86" spans="1:6">
      <c r="A86" s="97"/>
      <c r="B86" s="97"/>
      <c r="C86" s="97"/>
      <c r="D86" s="97"/>
      <c r="E86" s="97"/>
      <c r="F86" s="97"/>
    </row>
    <row r="87" spans="1:6">
      <c r="A87" s="97"/>
      <c r="B87" s="97"/>
      <c r="C87" s="97"/>
      <c r="D87" s="97"/>
      <c r="E87" s="97"/>
      <c r="F87" s="97"/>
    </row>
    <row r="88" spans="1:6">
      <c r="A88" s="97"/>
      <c r="B88" s="97"/>
      <c r="C88" s="97"/>
      <c r="D88" s="97"/>
      <c r="E88" s="97"/>
      <c r="F88" s="97"/>
    </row>
    <row r="89" spans="1:6">
      <c r="A89" s="97"/>
      <c r="B89" s="97"/>
      <c r="C89" s="97"/>
      <c r="D89" s="97"/>
      <c r="E89" s="97"/>
      <c r="F89" s="97"/>
    </row>
    <row r="90" spans="1:6">
      <c r="A90" s="97"/>
      <c r="B90" s="97"/>
      <c r="C90" s="97"/>
      <c r="D90" s="97"/>
      <c r="E90" s="97"/>
      <c r="F90" s="97"/>
    </row>
    <row r="91" spans="1:6">
      <c r="A91" s="97"/>
      <c r="B91" s="97"/>
      <c r="C91" s="97"/>
      <c r="D91" s="97"/>
      <c r="E91" s="97"/>
      <c r="F91" s="97"/>
    </row>
    <row r="92" spans="1:6">
      <c r="A92" s="97"/>
      <c r="B92" s="97"/>
      <c r="C92" s="97"/>
      <c r="D92" s="97"/>
      <c r="E92" s="97"/>
      <c r="F92" s="97"/>
    </row>
    <row r="93" spans="1:6">
      <c r="A93" s="97"/>
      <c r="B93" s="97"/>
      <c r="C93" s="97"/>
      <c r="D93" s="97"/>
      <c r="E93" s="97"/>
      <c r="F93" s="97"/>
    </row>
    <row r="94" spans="1:6">
      <c r="A94" s="97"/>
      <c r="B94" s="97"/>
      <c r="C94" s="97"/>
      <c r="D94" s="97"/>
      <c r="E94" s="97"/>
      <c r="F94" s="97"/>
    </row>
    <row r="95" spans="1:6">
      <c r="A95" s="97"/>
      <c r="B95" s="97"/>
      <c r="C95" s="97"/>
      <c r="D95" s="97"/>
      <c r="E95" s="97"/>
      <c r="F95" s="97"/>
    </row>
    <row r="96" spans="1:6">
      <c r="A96" s="97"/>
      <c r="B96" s="97"/>
      <c r="C96" s="97"/>
      <c r="D96" s="97"/>
      <c r="E96" s="97"/>
      <c r="F96" s="97"/>
    </row>
    <row r="97" spans="1:6">
      <c r="A97" s="97"/>
      <c r="B97" s="97"/>
      <c r="C97" s="97"/>
      <c r="D97" s="97"/>
      <c r="E97" s="97"/>
      <c r="F97" s="97"/>
    </row>
    <row r="98" spans="1:6">
      <c r="A98" s="97"/>
      <c r="B98" s="97"/>
      <c r="C98" s="97"/>
      <c r="D98" s="97"/>
      <c r="E98" s="97"/>
      <c r="F98" s="97"/>
    </row>
    <row r="99" spans="1:6">
      <c r="A99" s="97"/>
      <c r="B99" s="97"/>
      <c r="C99" s="97"/>
      <c r="D99" s="97"/>
      <c r="E99" s="97"/>
      <c r="F99" s="97"/>
    </row>
    <row r="100" spans="1:6">
      <c r="A100" s="97"/>
      <c r="B100" s="97"/>
      <c r="C100" s="97"/>
      <c r="D100" s="97"/>
      <c r="E100" s="97"/>
      <c r="F100" s="97"/>
    </row>
    <row r="101" spans="1:6">
      <c r="A101" s="97"/>
      <c r="B101" s="97"/>
      <c r="C101" s="97"/>
      <c r="D101" s="97"/>
      <c r="E101" s="97"/>
      <c r="F101" s="97"/>
    </row>
    <row r="102" spans="1:6">
      <c r="A102" s="97"/>
      <c r="B102" s="97"/>
      <c r="C102" s="97"/>
      <c r="D102" s="97"/>
      <c r="E102" s="97"/>
      <c r="F102" s="97"/>
    </row>
    <row r="103" spans="1:6">
      <c r="A103" s="97"/>
      <c r="B103" s="97"/>
      <c r="C103" s="97"/>
      <c r="D103" s="97"/>
      <c r="E103" s="97"/>
      <c r="F103" s="97"/>
    </row>
    <row r="104" spans="1:6">
      <c r="A104" s="97"/>
      <c r="B104" s="97"/>
      <c r="C104" s="97"/>
      <c r="D104" s="97"/>
      <c r="E104" s="97"/>
      <c r="F104" s="97"/>
    </row>
    <row r="105" spans="1:6">
      <c r="A105" s="97"/>
      <c r="B105" s="97"/>
      <c r="C105" s="97"/>
      <c r="D105" s="97"/>
      <c r="E105" s="97"/>
      <c r="F105" s="97"/>
    </row>
    <row r="106" spans="1:6">
      <c r="A106" s="97"/>
      <c r="B106" s="97"/>
      <c r="C106" s="97"/>
      <c r="D106" s="97"/>
      <c r="E106" s="97"/>
      <c r="F106" s="97"/>
    </row>
    <row r="107" spans="1:6">
      <c r="A107" s="97"/>
      <c r="B107" s="97"/>
      <c r="C107" s="97"/>
      <c r="D107" s="97"/>
      <c r="E107" s="97"/>
      <c r="F107" s="97"/>
    </row>
    <row r="108" spans="1:6">
      <c r="A108" s="97"/>
      <c r="B108" s="97"/>
      <c r="C108" s="97"/>
      <c r="D108" s="97"/>
      <c r="E108" s="97"/>
      <c r="F108" s="97"/>
    </row>
    <row r="109" spans="1:6">
      <c r="A109" s="97"/>
      <c r="B109" s="97"/>
      <c r="C109" s="97"/>
      <c r="D109" s="97"/>
      <c r="E109" s="97"/>
      <c r="F109" s="97"/>
    </row>
    <row r="110" spans="1:6">
      <c r="A110" s="97"/>
      <c r="B110" s="97"/>
      <c r="C110" s="97"/>
      <c r="D110" s="97"/>
      <c r="E110" s="97"/>
      <c r="F110" s="97"/>
    </row>
    <row r="111" spans="1:6">
      <c r="A111" s="97"/>
      <c r="B111" s="97"/>
      <c r="C111" s="97"/>
      <c r="D111" s="97"/>
      <c r="E111" s="97"/>
      <c r="F111" s="97"/>
    </row>
    <row r="112" spans="1:6">
      <c r="A112" s="97"/>
      <c r="B112" s="97"/>
      <c r="C112" s="97"/>
      <c r="D112" s="97"/>
      <c r="E112" s="97"/>
      <c r="F112" s="97"/>
    </row>
    <row r="113" spans="1:6">
      <c r="A113" s="97"/>
      <c r="B113" s="97"/>
      <c r="C113" s="97"/>
      <c r="D113" s="97"/>
      <c r="E113" s="97"/>
      <c r="F113" s="97"/>
    </row>
    <row r="114" spans="1:6">
      <c r="A114" s="97"/>
      <c r="B114" s="97"/>
      <c r="C114" s="97"/>
      <c r="D114" s="97"/>
      <c r="E114" s="97"/>
      <c r="F114" s="97"/>
    </row>
    <row r="115" spans="1:6">
      <c r="A115" s="97"/>
      <c r="B115" s="97"/>
      <c r="C115" s="97"/>
      <c r="D115" s="97"/>
      <c r="E115" s="97"/>
      <c r="F115" s="97"/>
    </row>
    <row r="116" spans="1:6">
      <c r="A116" s="97"/>
      <c r="B116" s="97"/>
      <c r="C116" s="97"/>
      <c r="D116" s="97"/>
      <c r="E116" s="97"/>
      <c r="F116" s="97"/>
    </row>
    <row r="117" spans="1:6">
      <c r="A117" s="97"/>
      <c r="B117" s="97"/>
      <c r="C117" s="97"/>
      <c r="D117" s="97"/>
      <c r="E117" s="97"/>
      <c r="F117" s="97"/>
    </row>
    <row r="118" spans="1:6">
      <c r="A118" s="97"/>
      <c r="B118" s="97"/>
      <c r="C118" s="97"/>
      <c r="D118" s="97"/>
      <c r="E118" s="97"/>
      <c r="F118" s="97"/>
    </row>
    <row r="119" spans="1:6">
      <c r="A119" s="97"/>
      <c r="B119" s="97"/>
      <c r="C119" s="97"/>
      <c r="D119" s="97"/>
      <c r="E119" s="97"/>
      <c r="F119" s="97"/>
    </row>
    <row r="120" spans="1:6">
      <c r="A120" s="97"/>
      <c r="B120" s="97"/>
      <c r="C120" s="97"/>
      <c r="D120" s="97"/>
      <c r="E120" s="97"/>
      <c r="F120" s="97"/>
    </row>
    <row r="121" spans="1:6">
      <c r="A121" s="97"/>
      <c r="B121" s="97"/>
      <c r="C121" s="97"/>
      <c r="D121" s="97"/>
      <c r="E121" s="97"/>
      <c r="F121" s="97"/>
    </row>
    <row r="122" spans="1:6">
      <c r="A122" s="97"/>
      <c r="B122" s="97"/>
      <c r="C122" s="97"/>
      <c r="D122" s="97"/>
      <c r="E122" s="97"/>
      <c r="F122" s="97"/>
    </row>
    <row r="123" spans="1:6">
      <c r="A123" s="97"/>
      <c r="B123" s="97"/>
      <c r="C123" s="97"/>
      <c r="D123" s="97"/>
      <c r="E123" s="97"/>
      <c r="F123" s="97"/>
    </row>
    <row r="124" spans="1:6">
      <c r="A124" s="97"/>
      <c r="B124" s="97"/>
      <c r="C124" s="97"/>
      <c r="D124" s="97"/>
      <c r="E124" s="97"/>
      <c r="F124" s="97"/>
    </row>
    <row r="125" spans="1:6">
      <c r="A125" s="97"/>
      <c r="B125" s="97"/>
      <c r="C125" s="97"/>
      <c r="D125" s="97"/>
      <c r="E125" s="97"/>
      <c r="F125" s="97"/>
    </row>
    <row r="126" spans="1:6">
      <c r="A126" s="97"/>
      <c r="B126" s="97"/>
      <c r="C126" s="97"/>
      <c r="D126" s="97"/>
      <c r="E126" s="97"/>
      <c r="F126" s="97"/>
    </row>
    <row r="127" spans="1:6">
      <c r="A127" s="97"/>
      <c r="B127" s="97"/>
      <c r="C127" s="97"/>
      <c r="D127" s="97"/>
      <c r="E127" s="97"/>
      <c r="F127" s="97"/>
    </row>
    <row r="128" spans="1:6">
      <c r="A128" s="97"/>
      <c r="B128" s="97"/>
      <c r="C128" s="97"/>
      <c r="D128" s="97"/>
      <c r="E128" s="97"/>
      <c r="F128" s="97"/>
    </row>
    <row r="129" spans="1:6">
      <c r="A129" s="97"/>
      <c r="B129" s="97"/>
      <c r="C129" s="97"/>
      <c r="D129" s="97"/>
      <c r="E129" s="97"/>
      <c r="F129" s="97"/>
    </row>
    <row r="130" spans="1:6">
      <c r="A130" s="97"/>
      <c r="B130" s="97"/>
      <c r="C130" s="97"/>
      <c r="D130" s="97"/>
      <c r="E130" s="97"/>
      <c r="F130" s="97"/>
    </row>
    <row r="131" spans="1:6">
      <c r="A131" s="97"/>
      <c r="B131" s="97"/>
      <c r="C131" s="97"/>
      <c r="D131" s="97"/>
      <c r="E131" s="97"/>
      <c r="F131" s="97"/>
    </row>
    <row r="132" spans="1:6">
      <c r="A132" s="97"/>
      <c r="B132" s="97"/>
      <c r="C132" s="97"/>
      <c r="D132" s="97"/>
      <c r="E132" s="97"/>
      <c r="F132" s="97"/>
    </row>
    <row r="133" spans="1:6">
      <c r="A133" s="97"/>
      <c r="B133" s="97"/>
      <c r="C133" s="97"/>
      <c r="D133" s="97"/>
      <c r="E133" s="97"/>
      <c r="F133" s="97"/>
    </row>
    <row r="134" spans="1:6">
      <c r="A134" s="97"/>
      <c r="B134" s="97"/>
      <c r="C134" s="97"/>
      <c r="D134" s="97"/>
      <c r="E134" s="97"/>
      <c r="F134" s="97"/>
    </row>
    <row r="135" spans="1:6">
      <c r="A135" s="97"/>
      <c r="B135" s="97"/>
      <c r="C135" s="97"/>
      <c r="D135" s="97"/>
      <c r="E135" s="97"/>
      <c r="F135" s="97"/>
    </row>
    <row r="136" spans="1:6">
      <c r="A136" s="97"/>
      <c r="B136" s="97"/>
      <c r="C136" s="97"/>
      <c r="D136" s="97"/>
      <c r="E136" s="97"/>
      <c r="F136" s="97"/>
    </row>
    <row r="137" spans="1:6">
      <c r="A137" s="97"/>
      <c r="B137" s="97"/>
      <c r="C137" s="97"/>
      <c r="D137" s="97"/>
      <c r="E137" s="97"/>
      <c r="F137" s="97"/>
    </row>
  </sheetData>
  <customSheetViews>
    <customSheetView guid="{1BA452AD-1A45-4D9C-9666-ADFFA6F2F567}" colorId="22" fitToPage="1">
      <selection activeCell="A2" sqref="A2"/>
      <pageMargins left="0.9" right="0.4" top="0.3" bottom="0.3" header="0" footer="0"/>
      <printOptions horizontalCentered="1" verticalCentered="1"/>
      <pageSetup scale="60" orientation="portrait" r:id="rId1"/>
      <headerFooter alignWithMargins="0"/>
    </customSheetView>
    <customSheetView guid="{EEF7ABD6-0F96-4791-B749-C06F707E7673}" scale="60" colorId="22" showPageBreaks="1" fitToPage="1" printArea="1" view="pageBreakPreview" showRuler="0">
      <selection activeCell="D20" sqref="D20:D24"/>
      <pageMargins left="0.9" right="0.4" top="0.3" bottom="0.3" header="0" footer="0"/>
      <printOptions horizontalCentered="1" verticalCentered="1"/>
      <pageSetup scale="58" orientation="portrait" r:id="rId2"/>
      <headerFooter alignWithMargins="0"/>
    </customSheetView>
    <customSheetView guid="{A7D7DB3C-AFE6-468E-8C6B-9531F6711497}" scale="60" colorId="22" showPageBreaks="1" fitToPage="1" view="pageBreakPreview" showRuler="0" topLeftCell="A13">
      <selection activeCell="F20" sqref="F20:F24"/>
      <pageMargins left="0.9" right="0.4" top="0.3" bottom="0.3" header="0" footer="0"/>
      <printOptions horizontalCentered="1" verticalCentered="1"/>
      <pageSetup scale="48" orientation="portrait" r:id="rId3"/>
      <headerFooter alignWithMargins="0"/>
    </customSheetView>
    <customSheetView guid="{4436FEB5-BFEC-4348-9286-CB706802873E}" scale="60" colorId="22" showPageBreaks="1" fitToPage="1" view="pageBreakPreview" showRuler="0" topLeftCell="A13">
      <selection activeCell="F20" sqref="F20:F24"/>
      <pageMargins left="0.9" right="0.4" top="0.3" bottom="0.3" header="0" footer="0"/>
      <printOptions horizontalCentered="1" verticalCentered="1"/>
      <pageSetup scale="48" orientation="portrait" r:id="rId4"/>
      <headerFooter alignWithMargins="0"/>
    </customSheetView>
    <customSheetView guid="{044CF00C-469F-44B3-B2C4-9B4049CE70CB}" scale="75" colorId="22" fitToPage="1" showRuler="0">
      <selection activeCell="A2" sqref="A2"/>
      <pageMargins left="0.9" right="0.4" top="0.3" bottom="0.3" header="0" footer="0"/>
      <printOptions horizontalCentered="1" verticalCentered="1"/>
      <pageSetup scale="63" orientation="portrait" r:id="rId5"/>
      <headerFooter alignWithMargins="0"/>
    </customSheetView>
    <customSheetView guid="{4826FCC0-BDD6-4B2C-ACC6-ACE271DDF0E3}" scale="60" colorId="22" showPageBreaks="1" fitToPage="1" printArea="1" view="pageBreakPreview" showRuler="0">
      <selection activeCell="F23" sqref="F23"/>
      <pageMargins left="0.9" right="0.4" top="0.3" bottom="0.3" header="0" footer="0"/>
      <printOptions horizontalCentered="1" verticalCentered="1"/>
      <pageSetup scale="58" orientation="portrait" r:id="rId6"/>
      <headerFooter alignWithMargins="0"/>
    </customSheetView>
    <customSheetView guid="{EF376D10-23D6-4FE2-AB5B-4460D52CC93F}" scale="60" colorId="22" showPageBreaks="1" fitToPage="1" printArea="1" view="pageBreakPreview" showRuler="0">
      <selection activeCell="D20" sqref="D20:D24"/>
      <pageMargins left="0.9" right="0.4" top="0.3" bottom="0.3" header="0" footer="0"/>
      <printOptions horizontalCentered="1" verticalCentered="1"/>
      <pageSetup scale="58" orientation="portrait" r:id="rId7"/>
      <headerFooter alignWithMargins="0"/>
    </customSheetView>
    <customSheetView guid="{1C046605-15CE-44F1-BFCD-2CA8588E7ACF}" scale="60" colorId="22" showPageBreaks="1" fitToPage="1" printArea="1" view="pageBreakPreview" showRuler="0" topLeftCell="A13">
      <selection activeCell="I9" sqref="I9"/>
      <pageMargins left="0.9" right="0.4" top="0.3" bottom="0.3" header="0" footer="0"/>
      <printOptions horizontalCentered="1" verticalCentered="1"/>
      <pageSetup scale="60" orientation="portrait" r:id="rId8"/>
      <headerFooter alignWithMargins="0"/>
    </customSheetView>
    <customSheetView guid="{3911D713-188C-46A1-A299-F21DD3B7A146}" scale="60" colorId="22" showPageBreaks="1" fitToPage="1" printArea="1" view="pageBreakPreview" showRuler="0" topLeftCell="A13">
      <selection activeCell="I9" sqref="I9"/>
      <pageMargins left="0.9" right="0.4" top="0.3" bottom="0.3" header="0" footer="0"/>
      <printOptions horizontalCentered="1" verticalCentered="1"/>
      <pageSetup scale="60" orientation="portrait" r:id="rId9"/>
      <headerFooter alignWithMargins="0"/>
    </customSheetView>
    <customSheetView guid="{78BB1E60-60BE-4F56-9763-075185EFEFAB}" colorId="22" fitToPage="1">
      <selection activeCell="A2" sqref="A2"/>
      <pageMargins left="0.9" right="0.4" top="0.3" bottom="0.3" header="0" footer="0"/>
      <printOptions horizontalCentered="1" verticalCentered="1"/>
      <pageSetup scale="60" orientation="portrait" r:id="rId10"/>
      <headerFooter alignWithMargins="0"/>
    </customSheetView>
    <customSheetView guid="{9C30803E-1E2D-4850-B0A5-591CA6F246A1}" colorId="22" fitToPage="1">
      <selection activeCell="A2" sqref="A2"/>
      <pageMargins left="0.9" right="0.4" top="0.3" bottom="0.3" header="0" footer="0"/>
      <printOptions horizontalCentered="1" verticalCentered="1"/>
      <pageSetup scale="60" orientation="portrait" r:id="rId11"/>
      <headerFooter alignWithMargins="0"/>
    </customSheetView>
    <customSheetView guid="{3B1006FF-A2CA-49E7-9B25-DAC8815279AF}" colorId="22" fitToPage="1">
      <selection activeCell="A2" sqref="A2"/>
      <pageMargins left="0.9" right="0.4" top="0.3" bottom="0.3" header="0" footer="0"/>
      <printOptions horizontalCentered="1" verticalCentered="1"/>
      <pageSetup scale="60" orientation="portrait" r:id="rId12"/>
      <headerFooter alignWithMargins="0"/>
    </customSheetView>
    <customSheetView guid="{FB1A60C8-E1F9-4DF0-8E0E-1C965F86027F}" colorId="22" fitToPage="1">
      <selection activeCell="A2" sqref="A2"/>
      <pageMargins left="0.9" right="0.4" top="0.3" bottom="0.3" header="0" footer="0"/>
      <printOptions horizontalCentered="1" verticalCentered="1"/>
      <pageSetup scale="60" orientation="portrait" r:id="rId13"/>
      <headerFooter alignWithMargins="0"/>
    </customSheetView>
    <customSheetView guid="{C5B6D812-CBE6-46AA-99F7-02494E9802B4}" scale="70" colorId="22" fitToPage="1">
      <selection activeCell="C1" sqref="C1"/>
      <pageMargins left="0.9" right="0.4" top="0.3" bottom="0.3" header="0" footer="0"/>
      <printOptions horizontalCentered="1" verticalCentered="1"/>
      <pageSetup scale="60" orientation="portrait" r:id="rId14"/>
      <headerFooter alignWithMargins="0"/>
    </customSheetView>
  </customSheetViews>
  <phoneticPr fontId="0" type="noConversion"/>
  <printOptions horizontalCentered="1" verticalCentered="1"/>
  <pageMargins left="0.9" right="0.4" top="0.3" bottom="0.3" header="0" footer="0"/>
  <pageSetup scale="60" orientation="portrait" r:id="rId15"/>
  <headerFooter alignWithMargins="0"/>
  <customProperties>
    <customPr name="_pios_id" r:id="rId16"/>
  </customProperties>
</worksheet>
</file>

<file path=xl/worksheets/sheet27.xml><?xml version="1.0" encoding="utf-8"?>
<worksheet xmlns="http://schemas.openxmlformats.org/spreadsheetml/2006/main" xmlns:r="http://schemas.openxmlformats.org/officeDocument/2006/relationships">
  <sheetPr transitionEvaluation="1" codeName="Sheet27" enableFormatConditionsCalculation="0">
    <pageSetUpPr fitToPage="1"/>
  </sheetPr>
  <dimension ref="A1:C84"/>
  <sheetViews>
    <sheetView defaultGridColor="0" colorId="22" zoomScale="70" zoomScaleNormal="70" workbookViewId="0"/>
  </sheetViews>
  <sheetFormatPr defaultColWidth="9.77734375" defaultRowHeight="18"/>
  <cols>
    <col min="1" max="1" width="5.77734375" style="763" customWidth="1"/>
    <col min="2" max="2" width="79.6640625" style="763" customWidth="1"/>
    <col min="3" max="3" width="33.88671875" style="763" customWidth="1"/>
    <col min="4" max="16384" width="9.77734375" style="763"/>
  </cols>
  <sheetData>
    <row r="1" spans="1:3" ht="18.75" thickBot="1">
      <c r="A1" s="186" t="str">
        <f>'Data sheet'!$A$63</f>
        <v>Annual Report of New York American Water Company, Inc. (f/k/a Long Island Water Corp)                                    Year Ended  December 31, 2013</v>
      </c>
      <c r="B1" s="1670"/>
      <c r="C1" s="1671"/>
    </row>
    <row r="2" spans="1:3">
      <c r="A2" s="1036"/>
      <c r="B2" s="1037"/>
      <c r="C2" s="1038"/>
    </row>
    <row r="3" spans="1:3">
      <c r="A3" s="247" t="s">
        <v>3541</v>
      </c>
      <c r="B3" s="1"/>
      <c r="C3" s="1039"/>
    </row>
    <row r="4" spans="1:3">
      <c r="A4" s="247" t="s">
        <v>3542</v>
      </c>
      <c r="B4" s="1"/>
      <c r="C4" s="1039"/>
    </row>
    <row r="5" spans="1:3">
      <c r="A5" s="1040"/>
      <c r="C5" s="1041"/>
    </row>
    <row r="6" spans="1:3">
      <c r="A6" s="1040"/>
      <c r="B6" s="1002" t="s">
        <v>3543</v>
      </c>
      <c r="C6" s="1041"/>
    </row>
    <row r="7" spans="1:3">
      <c r="A7" s="1040"/>
      <c r="B7" s="1002" t="s">
        <v>3544</v>
      </c>
      <c r="C7" s="1041"/>
    </row>
    <row r="8" spans="1:3">
      <c r="A8" s="1040"/>
      <c r="B8" s="1002"/>
      <c r="C8" s="1041"/>
    </row>
    <row r="9" spans="1:3">
      <c r="A9" s="1040"/>
      <c r="B9" s="1002" t="s">
        <v>3547</v>
      </c>
      <c r="C9" s="1041"/>
    </row>
    <row r="10" spans="1:3">
      <c r="A10" s="1040"/>
      <c r="B10" s="1002"/>
      <c r="C10" s="1041"/>
    </row>
    <row r="11" spans="1:3">
      <c r="A11" s="1040"/>
      <c r="B11" s="1002" t="s">
        <v>3548</v>
      </c>
      <c r="C11" s="1041"/>
    </row>
    <row r="12" spans="1:3">
      <c r="A12" s="1040"/>
      <c r="B12" s="1002"/>
      <c r="C12" s="1041"/>
    </row>
    <row r="13" spans="1:3">
      <c r="A13" s="1040"/>
      <c r="B13" s="1002" t="s">
        <v>791</v>
      </c>
      <c r="C13" s="1041"/>
    </row>
    <row r="14" spans="1:3">
      <c r="A14" s="1040"/>
      <c r="B14" s="1002" t="s">
        <v>2941</v>
      </c>
      <c r="C14" s="1041"/>
    </row>
    <row r="15" spans="1:3">
      <c r="A15" s="1042"/>
      <c r="B15" s="1035"/>
      <c r="C15" s="1043"/>
    </row>
    <row r="16" spans="1:3">
      <c r="A16" s="1044"/>
      <c r="C16" s="1045" t="s">
        <v>2942</v>
      </c>
    </row>
    <row r="17" spans="1:3">
      <c r="A17" s="1044" t="s">
        <v>1129</v>
      </c>
      <c r="B17" s="1046" t="s">
        <v>4477</v>
      </c>
      <c r="C17" s="1045" t="s">
        <v>2423</v>
      </c>
    </row>
    <row r="18" spans="1:3">
      <c r="A18" s="1047" t="s">
        <v>3324</v>
      </c>
      <c r="B18" s="1048" t="s">
        <v>4032</v>
      </c>
      <c r="C18" s="1049" t="s">
        <v>4033</v>
      </c>
    </row>
    <row r="19" spans="1:3">
      <c r="A19" s="1044">
        <v>1</v>
      </c>
      <c r="B19" s="763" t="s">
        <v>177</v>
      </c>
      <c r="C19" s="1050"/>
    </row>
    <row r="20" spans="1:3">
      <c r="A20" s="1044">
        <v>2</v>
      </c>
      <c r="C20" s="1051"/>
    </row>
    <row r="21" spans="1:3">
      <c r="A21" s="1044">
        <v>3</v>
      </c>
      <c r="C21" s="1051"/>
    </row>
    <row r="22" spans="1:3">
      <c r="A22" s="1044">
        <v>4</v>
      </c>
      <c r="C22" s="1051"/>
    </row>
    <row r="23" spans="1:3">
      <c r="A23" s="1044">
        <v>5</v>
      </c>
      <c r="B23" s="1035"/>
      <c r="C23" s="1052"/>
    </row>
    <row r="24" spans="1:3">
      <c r="A24" s="1044">
        <v>6</v>
      </c>
      <c r="B24" s="1035" t="s">
        <v>951</v>
      </c>
      <c r="C24" s="1050">
        <f>SUM(C19:C23)</f>
        <v>0</v>
      </c>
    </row>
    <row r="25" spans="1:3">
      <c r="A25" s="1044">
        <v>7</v>
      </c>
      <c r="B25" s="763" t="s">
        <v>177</v>
      </c>
      <c r="C25" s="1054"/>
    </row>
    <row r="26" spans="1:3">
      <c r="A26" s="1044">
        <v>8</v>
      </c>
      <c r="C26" s="1051"/>
    </row>
    <row r="27" spans="1:3">
      <c r="A27" s="1044">
        <v>9</v>
      </c>
      <c r="C27" s="1051"/>
    </row>
    <row r="28" spans="1:3">
      <c r="A28" s="1044">
        <v>10</v>
      </c>
      <c r="C28" s="1051"/>
    </row>
    <row r="29" spans="1:3">
      <c r="A29" s="1044">
        <v>11</v>
      </c>
      <c r="C29" s="1051"/>
    </row>
    <row r="30" spans="1:3">
      <c r="A30" s="1044">
        <v>12</v>
      </c>
      <c r="B30" s="1035"/>
      <c r="C30" s="1052"/>
    </row>
    <row r="31" spans="1:3">
      <c r="A31" s="1044">
        <v>13</v>
      </c>
      <c r="B31" s="1035" t="s">
        <v>1345</v>
      </c>
      <c r="C31" s="1050">
        <f>SUM(C25:C30)</f>
        <v>0</v>
      </c>
    </row>
    <row r="32" spans="1:3">
      <c r="A32" s="1044">
        <v>14</v>
      </c>
      <c r="B32" s="763" t="s">
        <v>177</v>
      </c>
      <c r="C32" s="1054"/>
    </row>
    <row r="33" spans="1:3">
      <c r="A33" s="1044">
        <v>15</v>
      </c>
      <c r="C33" s="1051"/>
    </row>
    <row r="34" spans="1:3">
      <c r="A34" s="1044">
        <v>16</v>
      </c>
      <c r="C34" s="1051"/>
    </row>
    <row r="35" spans="1:3">
      <c r="A35" s="1044">
        <v>17</v>
      </c>
      <c r="C35" s="1051"/>
    </row>
    <row r="36" spans="1:3">
      <c r="A36" s="1044">
        <v>18</v>
      </c>
      <c r="C36" s="1051"/>
    </row>
    <row r="37" spans="1:3">
      <c r="A37" s="1044">
        <v>19</v>
      </c>
      <c r="B37" s="1035"/>
      <c r="C37" s="1052"/>
    </row>
    <row r="38" spans="1:3">
      <c r="A38" s="1047">
        <v>20</v>
      </c>
      <c r="B38" s="1035" t="s">
        <v>713</v>
      </c>
      <c r="C38" s="1050">
        <f>SUM(C32:C37)</f>
        <v>0</v>
      </c>
    </row>
    <row r="39" spans="1:3">
      <c r="A39" s="1055"/>
      <c r="C39" s="1056"/>
    </row>
    <row r="40" spans="1:3">
      <c r="A40" s="247" t="s">
        <v>714</v>
      </c>
      <c r="B40" s="1"/>
      <c r="C40" s="1039"/>
    </row>
    <row r="41" spans="1:3">
      <c r="A41" s="1055"/>
      <c r="C41" s="1041"/>
    </row>
    <row r="42" spans="1:3">
      <c r="A42" s="1055"/>
      <c r="B42" s="1002" t="s">
        <v>1082</v>
      </c>
      <c r="C42" s="1041"/>
    </row>
    <row r="43" spans="1:3">
      <c r="A43" s="1055"/>
      <c r="B43" s="1002" t="s">
        <v>584</v>
      </c>
      <c r="C43" s="1041"/>
    </row>
    <row r="44" spans="1:3">
      <c r="A44" s="1055"/>
      <c r="B44" s="1002" t="s">
        <v>1284</v>
      </c>
      <c r="C44" s="1041"/>
    </row>
    <row r="45" spans="1:3">
      <c r="A45" s="1055"/>
      <c r="B45" s="1002" t="s">
        <v>2202</v>
      </c>
      <c r="C45" s="1041"/>
    </row>
    <row r="46" spans="1:3">
      <c r="A46" s="1057"/>
      <c r="B46" s="1035"/>
      <c r="C46" s="1043"/>
    </row>
    <row r="47" spans="1:3">
      <c r="A47" s="1044"/>
      <c r="C47" s="1045" t="s">
        <v>2942</v>
      </c>
    </row>
    <row r="48" spans="1:3">
      <c r="A48" s="1044" t="s">
        <v>2203</v>
      </c>
      <c r="B48" s="1046" t="s">
        <v>726</v>
      </c>
      <c r="C48" s="1045" t="s">
        <v>2423</v>
      </c>
    </row>
    <row r="49" spans="1:3">
      <c r="A49" s="1047" t="s">
        <v>727</v>
      </c>
      <c r="B49" s="1048" t="s">
        <v>4032</v>
      </c>
      <c r="C49" s="1049" t="s">
        <v>4033</v>
      </c>
    </row>
    <row r="50" spans="1:3">
      <c r="A50" s="1058">
        <v>21</v>
      </c>
      <c r="B50" s="1002" t="s">
        <v>728</v>
      </c>
      <c r="C50" s="1050"/>
    </row>
    <row r="51" spans="1:3">
      <c r="A51" s="1058">
        <v>22</v>
      </c>
      <c r="B51" s="1002" t="s">
        <v>3469</v>
      </c>
      <c r="C51" s="1051"/>
    </row>
    <row r="52" spans="1:3">
      <c r="A52" s="1058">
        <v>23</v>
      </c>
      <c r="B52" s="1002" t="s">
        <v>3470</v>
      </c>
      <c r="C52" s="1051"/>
    </row>
    <row r="53" spans="1:3">
      <c r="A53" s="1058">
        <v>24</v>
      </c>
      <c r="B53" s="1002" t="s">
        <v>3471</v>
      </c>
      <c r="C53" s="1051"/>
    </row>
    <row r="54" spans="1:3">
      <c r="A54" s="1058">
        <v>25</v>
      </c>
      <c r="C54" s="1051"/>
    </row>
    <row r="55" spans="1:3">
      <c r="A55" s="1058">
        <v>26</v>
      </c>
      <c r="C55" s="1051"/>
    </row>
    <row r="56" spans="1:3">
      <c r="A56" s="1058">
        <v>27</v>
      </c>
      <c r="B56" s="763" t="s">
        <v>4373</v>
      </c>
      <c r="C56" s="1051"/>
    </row>
    <row r="57" spans="1:3">
      <c r="A57" s="1058">
        <v>28</v>
      </c>
      <c r="C57" s="1051"/>
    </row>
    <row r="58" spans="1:3">
      <c r="A58" s="1058">
        <v>29</v>
      </c>
      <c r="C58" s="1051"/>
    </row>
    <row r="59" spans="1:3">
      <c r="A59" s="1058">
        <v>30</v>
      </c>
      <c r="C59" s="1051"/>
    </row>
    <row r="60" spans="1:3">
      <c r="A60" s="1058">
        <v>31</v>
      </c>
      <c r="C60" s="1051"/>
    </row>
    <row r="61" spans="1:3">
      <c r="A61" s="1058">
        <v>32</v>
      </c>
      <c r="C61" s="1051"/>
    </row>
    <row r="62" spans="1:3">
      <c r="A62" s="1058">
        <v>33</v>
      </c>
      <c r="C62" s="1051"/>
    </row>
    <row r="63" spans="1:3">
      <c r="A63" s="1058">
        <v>34</v>
      </c>
      <c r="C63" s="1051"/>
    </row>
    <row r="64" spans="1:3">
      <c r="A64" s="1058">
        <v>35</v>
      </c>
      <c r="C64" s="1051"/>
    </row>
    <row r="65" spans="1:3">
      <c r="A65" s="1058">
        <v>36</v>
      </c>
      <c r="B65" s="1035"/>
      <c r="C65" s="1051"/>
    </row>
    <row r="66" spans="1:3" ht="18.75" thickBot="1">
      <c r="A66" s="1059">
        <v>37</v>
      </c>
      <c r="B66" s="1060" t="s">
        <v>2737</v>
      </c>
      <c r="C66" s="1061">
        <f>SUM(C54:C65)</f>
        <v>0</v>
      </c>
    </row>
    <row r="67" spans="1:3">
      <c r="A67" s="566"/>
      <c r="B67" s="566"/>
      <c r="C67" s="763" t="s">
        <v>4066</v>
      </c>
    </row>
    <row r="68" spans="1:3">
      <c r="A68" s="1062" t="s">
        <v>2738</v>
      </c>
      <c r="B68" s="18"/>
      <c r="C68" s="18"/>
    </row>
    <row r="71" spans="1:3">
      <c r="A71" s="566"/>
      <c r="B71" s="566"/>
      <c r="C71" s="566"/>
    </row>
    <row r="72" spans="1:3">
      <c r="A72" s="566"/>
      <c r="B72" s="566"/>
      <c r="C72" s="566"/>
    </row>
    <row r="73" spans="1:3">
      <c r="A73" s="566"/>
      <c r="B73" s="566"/>
      <c r="C73" s="566"/>
    </row>
    <row r="74" spans="1:3">
      <c r="A74" s="566"/>
      <c r="B74" s="566"/>
      <c r="C74" s="566"/>
    </row>
    <row r="75" spans="1:3">
      <c r="C75" s="566"/>
    </row>
    <row r="76" spans="1:3">
      <c r="C76" s="566"/>
    </row>
    <row r="77" spans="1:3">
      <c r="C77" s="566"/>
    </row>
    <row r="78" spans="1:3">
      <c r="C78" s="566"/>
    </row>
    <row r="79" spans="1:3">
      <c r="C79" s="566"/>
    </row>
    <row r="80" spans="1:3">
      <c r="C80" s="566"/>
    </row>
    <row r="81" spans="1:3">
      <c r="C81" s="566"/>
    </row>
    <row r="82" spans="1:3">
      <c r="C82" s="566"/>
    </row>
    <row r="83" spans="1:3">
      <c r="C83" s="566"/>
    </row>
    <row r="84" spans="1:3">
      <c r="A84" s="566"/>
      <c r="C84" s="566"/>
    </row>
  </sheetData>
  <customSheetViews>
    <customSheetView guid="{1BA452AD-1A45-4D9C-9666-ADFFA6F2F567}" scale="60" colorId="22" showPageBreaks="1" fitToPage="1" printArea="1" view="pageBreakPreview">
      <selection activeCell="D55" sqref="D55"/>
      <pageMargins left="0.75" right="0.4" top="0.3" bottom="0.3" header="0" footer="0"/>
      <printOptions horizontalCentered="1" verticalCentered="1"/>
      <pageSetup scale="60" orientation="portrait" r:id="rId1"/>
      <headerFooter alignWithMargins="0"/>
    </customSheetView>
    <customSheetView guid="{EEF7ABD6-0F96-4791-B749-C06F707E7673}" scale="60" colorId="22" showPageBreaks="1" fitToPage="1" printArea="1" view="pageBreakPreview" showRuler="0">
      <selection activeCell="C104" sqref="C104"/>
      <pageMargins left="0.75" right="0.4" top="0.3" bottom="0.3" header="0" footer="0"/>
      <printOptions horizontalCentered="1" verticalCentered="1"/>
      <pageSetup scale="60" orientation="portrait" r:id="rId2"/>
      <headerFooter alignWithMargins="0"/>
    </customSheetView>
    <customSheetView guid="{A7D7DB3C-AFE6-468E-8C6B-9531F6711497}" scale="60" colorId="22" showPageBreaks="1" fitToPage="1" view="pageBreakPreview" showRuler="0">
      <selection activeCell="H5" sqref="H5"/>
      <pageMargins left="0.75" right="0.4" top="0.3" bottom="0.3" header="0" footer="0"/>
      <printOptions horizontalCentered="1" verticalCentered="1"/>
      <pageSetup scale="49" orientation="portrait" r:id="rId3"/>
      <headerFooter alignWithMargins="0"/>
    </customSheetView>
    <customSheetView guid="{4436FEB5-BFEC-4348-9286-CB706802873E}" scale="60" colorId="22" showPageBreaks="1" fitToPage="1" view="pageBreakPreview" showRuler="0">
      <selection activeCell="H5" sqref="H5"/>
      <pageMargins left="0.75" right="0.4" top="0.3" bottom="0.3" header="0" footer="0"/>
      <printOptions horizontalCentered="1" verticalCentered="1"/>
      <pageSetup scale="49" orientation="portrait" r:id="rId4"/>
      <headerFooter alignWithMargins="0"/>
    </customSheetView>
    <customSheetView guid="{044CF00C-469F-44B3-B2C4-9B4049CE70CB}" scale="75" colorId="22" fitToPage="1" showRuler="0">
      <selection activeCell="C13" sqref="C13"/>
      <pageMargins left="0.75" right="0.4" top="0.3" bottom="0.3" header="0" footer="0"/>
      <printOptions horizontalCentered="1" verticalCentered="1"/>
      <pageSetup scale="62" orientation="portrait" r:id="rId5"/>
      <headerFooter alignWithMargins="0"/>
    </customSheetView>
    <customSheetView guid="{4826FCC0-BDD6-4B2C-ACC6-ACE271DDF0E3}" scale="60" colorId="22" showPageBreaks="1" fitToPage="1" printArea="1" view="pageBreakPreview" showRuler="0">
      <selection activeCell="C104" sqref="C104"/>
      <pageMargins left="0.75" right="0.4" top="0.3" bottom="0.3" header="0" footer="0"/>
      <printOptions horizontalCentered="1" verticalCentered="1"/>
      <pageSetup scale="60" orientation="portrait" r:id="rId6"/>
      <headerFooter alignWithMargins="0"/>
    </customSheetView>
    <customSheetView guid="{EF376D10-23D6-4FE2-AB5B-4460D52CC93F}" scale="60" colorId="22" showPageBreaks="1" fitToPage="1" printArea="1" view="pageBreakPreview" showRuler="0">
      <selection activeCell="C104" sqref="C104"/>
      <pageMargins left="0.75" right="0.4" top="0.3" bottom="0.3" header="0" footer="0"/>
      <printOptions horizontalCentered="1" verticalCentered="1"/>
      <pageSetup scale="60" orientation="portrait" r:id="rId7"/>
      <headerFooter alignWithMargins="0"/>
    </customSheetView>
    <customSheetView guid="{1C046605-15CE-44F1-BFCD-2CA8588E7ACF}" scale="60" colorId="22" showPageBreaks="1" fitToPage="1" printArea="1" view="pageBreakPreview" showRuler="0">
      <selection activeCell="C104" sqref="C104"/>
      <pageMargins left="0.75" right="0.4" top="0.3" bottom="0.3" header="0" footer="0"/>
      <printOptions horizontalCentered="1" verticalCentered="1"/>
      <pageSetup scale="60" orientation="portrait" r:id="rId8"/>
      <headerFooter alignWithMargins="0"/>
    </customSheetView>
    <customSheetView guid="{3911D713-188C-46A1-A299-F21DD3B7A146}" scale="60" colorId="22" showPageBreaks="1" fitToPage="1" printArea="1" view="pageBreakPreview" showRuler="0">
      <selection activeCell="C104" sqref="C104"/>
      <pageMargins left="0.75" right="0.4" top="0.3" bottom="0.3" header="0" footer="0"/>
      <printOptions horizontalCentered="1" verticalCentered="1"/>
      <pageSetup scale="60" orientation="portrait" r:id="rId9"/>
      <headerFooter alignWithMargins="0"/>
    </customSheetView>
    <customSheetView guid="{78BB1E60-60BE-4F56-9763-075185EFEFAB}" scale="60" colorId="22" showPageBreaks="1" fitToPage="1" printArea="1" view="pageBreakPreview">
      <selection activeCell="D55" sqref="D55"/>
      <pageMargins left="0.75" right="0.4" top="0.3" bottom="0.3" header="0" footer="0"/>
      <printOptions horizontalCentered="1" verticalCentered="1"/>
      <pageSetup scale="60" orientation="portrait" r:id="rId10"/>
      <headerFooter alignWithMargins="0"/>
    </customSheetView>
    <customSheetView guid="{9C30803E-1E2D-4850-B0A5-591CA6F246A1}" colorId="22" fitToPage="1" topLeftCell="A23">
      <selection activeCell="D55" sqref="D55"/>
      <pageMargins left="0.75" right="0.4" top="0.3" bottom="0.3" header="0" footer="0"/>
      <printOptions horizontalCentered="1" verticalCentered="1"/>
      <pageSetup scale="60" orientation="portrait" r:id="rId11"/>
      <headerFooter alignWithMargins="0"/>
    </customSheetView>
    <customSheetView guid="{3B1006FF-A2CA-49E7-9B25-DAC8815279AF}" colorId="22" fitToPage="1" topLeftCell="A23">
      <selection activeCell="D55" sqref="D55"/>
      <pageMargins left="0.75" right="0.4" top="0.3" bottom="0.3" header="0" footer="0"/>
      <printOptions horizontalCentered="1" verticalCentered="1"/>
      <pageSetup scale="60" orientation="portrait" r:id="rId12"/>
      <headerFooter alignWithMargins="0"/>
    </customSheetView>
    <customSheetView guid="{FB1A60C8-E1F9-4DF0-8E0E-1C965F86027F}" colorId="22" fitToPage="1" topLeftCell="A23">
      <selection activeCell="D55" sqref="D55"/>
      <pageMargins left="0.75" right="0.4" top="0.3" bottom="0.3" header="0" footer="0"/>
      <printOptions horizontalCentered="1" verticalCentered="1"/>
      <pageSetup scale="60" orientation="portrait" r:id="rId13"/>
      <headerFooter alignWithMargins="0"/>
    </customSheetView>
    <customSheetView guid="{C5B6D812-CBE6-46AA-99F7-02494E9802B4}" scale="70" colorId="22" fitToPage="1" topLeftCell="A31">
      <selection activeCell="C37" sqref="C37"/>
      <pageMargins left="0.75" right="0.4" top="0.3" bottom="0.3" header="0" footer="0"/>
      <printOptions horizontalCentered="1" verticalCentered="1"/>
      <pageSetup scale="60" orientation="portrait" r:id="rId14"/>
      <headerFooter alignWithMargins="0"/>
    </customSheetView>
  </customSheetViews>
  <phoneticPr fontId="0" type="noConversion"/>
  <printOptions horizontalCentered="1" verticalCentered="1"/>
  <pageMargins left="0.75" right="0.4" top="0.3" bottom="0.3" header="0" footer="0"/>
  <pageSetup scale="60" orientation="portrait" r:id="rId15"/>
  <headerFooter alignWithMargins="0"/>
  <customProperties>
    <customPr name="_pios_id" r:id="rId16"/>
  </customProperties>
</worksheet>
</file>

<file path=xl/worksheets/sheet28.xml><?xml version="1.0" encoding="utf-8"?>
<worksheet xmlns="http://schemas.openxmlformats.org/spreadsheetml/2006/main" xmlns:r="http://schemas.openxmlformats.org/officeDocument/2006/relationships">
  <sheetPr transitionEvaluation="1" codeName="Sheet28" enableFormatConditionsCalculation="0">
    <pageSetUpPr fitToPage="1"/>
  </sheetPr>
  <dimension ref="A1:I78"/>
  <sheetViews>
    <sheetView defaultGridColor="0" colorId="22" zoomScale="70" zoomScaleNormal="70" zoomScaleSheetLayoutView="100" workbookViewId="0"/>
  </sheetViews>
  <sheetFormatPr defaultColWidth="9.77734375" defaultRowHeight="15"/>
  <cols>
    <col min="1" max="1" width="4.77734375" customWidth="1"/>
    <col min="2" max="2" width="29.33203125" customWidth="1"/>
    <col min="3" max="5" width="12.77734375" customWidth="1"/>
    <col min="6" max="6" width="16.33203125" customWidth="1"/>
    <col min="7" max="7" width="19.21875" customWidth="1"/>
  </cols>
  <sheetData>
    <row r="1" spans="1:7" ht="15.75" thickBot="1">
      <c r="A1" s="186" t="str">
        <f>'Data sheet'!$A$59</f>
        <v>Annual Report of New York American Water Company, Inc. (f/k/a Long Island Water Corp)                                   Year Ended  December 31, 2013</v>
      </c>
      <c r="B1" s="230"/>
      <c r="C1" s="230"/>
      <c r="D1" s="230"/>
      <c r="E1" s="239"/>
      <c r="F1" s="1672"/>
      <c r="G1" s="1673"/>
    </row>
    <row r="2" spans="1:7">
      <c r="A2" s="530"/>
      <c r="B2" s="233"/>
      <c r="C2" s="233"/>
      <c r="D2" s="233"/>
      <c r="E2" s="233"/>
      <c r="F2" s="233"/>
      <c r="G2" s="531"/>
    </row>
    <row r="3" spans="1:7" ht="15.75">
      <c r="A3" s="235" t="s">
        <v>2739</v>
      </c>
      <c r="B3" s="6"/>
      <c r="C3" s="6"/>
      <c r="D3" s="6"/>
      <c r="E3" s="6"/>
      <c r="F3" s="6"/>
      <c r="G3" s="248"/>
    </row>
    <row r="4" spans="1:7">
      <c r="A4" s="551"/>
      <c r="B4" s="552"/>
      <c r="C4" s="552"/>
      <c r="D4" s="552"/>
      <c r="E4" s="552"/>
      <c r="F4" s="552"/>
      <c r="G4" s="553"/>
    </row>
    <row r="5" spans="1:7">
      <c r="A5" s="238"/>
      <c r="B5" s="230"/>
      <c r="C5" s="230"/>
      <c r="D5" s="230"/>
      <c r="E5" s="230"/>
      <c r="F5" s="230"/>
      <c r="G5" s="532"/>
    </row>
    <row r="6" spans="1:7">
      <c r="A6" s="238"/>
      <c r="B6" s="260" t="s">
        <v>441</v>
      </c>
      <c r="C6" s="230"/>
      <c r="D6" s="230"/>
      <c r="E6" s="230"/>
      <c r="F6" s="230"/>
      <c r="G6" s="532"/>
    </row>
    <row r="7" spans="1:7">
      <c r="A7" s="238"/>
      <c r="B7" s="260" t="s">
        <v>515</v>
      </c>
      <c r="C7" s="230"/>
      <c r="D7" s="230"/>
      <c r="E7" s="230"/>
      <c r="F7" s="230"/>
      <c r="G7" s="532"/>
    </row>
    <row r="8" spans="1:7">
      <c r="A8" s="238"/>
      <c r="B8" s="13" t="s">
        <v>526</v>
      </c>
      <c r="C8" s="230"/>
      <c r="D8" s="230"/>
      <c r="E8" s="230"/>
      <c r="F8" s="230"/>
      <c r="G8" s="532"/>
    </row>
    <row r="9" spans="1:7">
      <c r="A9" s="238"/>
      <c r="B9" s="13" t="s">
        <v>527</v>
      </c>
      <c r="C9" s="230"/>
      <c r="D9" s="230"/>
      <c r="E9" s="230"/>
      <c r="F9" s="230"/>
      <c r="G9" s="532"/>
    </row>
    <row r="10" spans="1:7">
      <c r="A10" s="238"/>
      <c r="B10" s="230"/>
      <c r="C10" s="230"/>
      <c r="D10" s="230"/>
      <c r="E10" s="230"/>
      <c r="F10" s="230"/>
      <c r="G10" s="532"/>
    </row>
    <row r="11" spans="1:7">
      <c r="A11" s="554"/>
      <c r="B11" s="280"/>
      <c r="C11" s="280"/>
      <c r="D11" s="280"/>
      <c r="E11" s="280"/>
      <c r="F11" s="825" t="s">
        <v>2942</v>
      </c>
      <c r="G11" s="826" t="s">
        <v>2942</v>
      </c>
    </row>
    <row r="12" spans="1:7">
      <c r="A12" s="251"/>
      <c r="B12" s="230"/>
      <c r="C12" s="230"/>
      <c r="D12" s="230"/>
      <c r="E12" s="230"/>
      <c r="F12" s="821" t="s">
        <v>1938</v>
      </c>
      <c r="G12" s="772" t="s">
        <v>1031</v>
      </c>
    </row>
    <row r="13" spans="1:7">
      <c r="A13" s="270" t="s">
        <v>1939</v>
      </c>
      <c r="B13" s="13"/>
      <c r="C13" s="13"/>
      <c r="D13" s="13"/>
      <c r="E13" s="13"/>
      <c r="F13" s="821" t="s">
        <v>1940</v>
      </c>
      <c r="G13" s="822" t="s">
        <v>1940</v>
      </c>
    </row>
    <row r="14" spans="1:7">
      <c r="A14" s="277" t="s">
        <v>1941</v>
      </c>
      <c r="B14" s="552"/>
      <c r="C14" s="552"/>
      <c r="D14" s="552"/>
      <c r="E14" s="552"/>
      <c r="F14" s="827" t="s">
        <v>415</v>
      </c>
      <c r="G14" s="773" t="s">
        <v>416</v>
      </c>
    </row>
    <row r="15" spans="1:7">
      <c r="A15" s="270">
        <v>1</v>
      </c>
      <c r="B15" s="230" t="s">
        <v>417</v>
      </c>
      <c r="C15" s="230"/>
      <c r="D15" s="230"/>
      <c r="E15" s="230"/>
      <c r="F15" s="890">
        <v>0</v>
      </c>
      <c r="G15" s="890">
        <v>0</v>
      </c>
    </row>
    <row r="16" spans="1:7">
      <c r="A16" s="270">
        <v>2</v>
      </c>
      <c r="B16" s="230" t="s">
        <v>418</v>
      </c>
      <c r="C16" s="230"/>
      <c r="D16" s="230"/>
      <c r="E16" s="230"/>
      <c r="F16" s="555"/>
      <c r="G16" s="556"/>
    </row>
    <row r="17" spans="1:9">
      <c r="A17" s="270">
        <v>3</v>
      </c>
      <c r="B17" s="230" t="s">
        <v>419</v>
      </c>
      <c r="C17" s="230"/>
      <c r="D17" s="230"/>
      <c r="E17" s="252"/>
      <c r="F17" s="162">
        <v>3064286.36</v>
      </c>
      <c r="G17" s="2677">
        <v>3885083.3774728309</v>
      </c>
    </row>
    <row r="18" spans="1:9">
      <c r="A18" s="270">
        <v>4</v>
      </c>
      <c r="B18" s="230" t="s">
        <v>420</v>
      </c>
      <c r="C18" s="230"/>
      <c r="D18" s="230"/>
      <c r="E18" s="252"/>
      <c r="F18" s="162"/>
      <c r="G18" s="162"/>
    </row>
    <row r="19" spans="1:9">
      <c r="A19" s="270">
        <v>5</v>
      </c>
      <c r="B19" s="230" t="s">
        <v>378</v>
      </c>
      <c r="C19" s="230"/>
      <c r="D19" s="230"/>
      <c r="E19" s="252"/>
      <c r="F19" s="162"/>
      <c r="G19" s="162"/>
    </row>
    <row r="20" spans="1:9">
      <c r="A20" s="270">
        <v>6</v>
      </c>
      <c r="B20" s="230" t="s">
        <v>95</v>
      </c>
      <c r="C20" s="230"/>
      <c r="D20" s="230"/>
      <c r="E20" s="252"/>
      <c r="F20" s="162"/>
      <c r="G20" s="162"/>
    </row>
    <row r="21" spans="1:9">
      <c r="A21" s="270">
        <v>7</v>
      </c>
      <c r="B21" s="230" t="s">
        <v>96</v>
      </c>
      <c r="C21" s="230"/>
      <c r="D21" s="230"/>
      <c r="E21" s="252"/>
      <c r="F21" s="162"/>
      <c r="G21" s="162"/>
    </row>
    <row r="22" spans="1:9">
      <c r="A22" s="270">
        <v>8</v>
      </c>
      <c r="B22" s="230" t="s">
        <v>4105</v>
      </c>
      <c r="C22" s="230"/>
      <c r="D22" s="230"/>
      <c r="E22" s="252"/>
      <c r="F22" s="890">
        <v>133404.73000000001</v>
      </c>
      <c r="G22" s="890">
        <v>473470.5325127758</v>
      </c>
    </row>
    <row r="23" spans="1:9">
      <c r="A23" s="270">
        <v>9</v>
      </c>
      <c r="B23" s="687" t="s">
        <v>4106</v>
      </c>
      <c r="C23" s="230"/>
      <c r="D23" s="230"/>
      <c r="E23" s="252"/>
      <c r="F23" s="890">
        <f>+F22+F17</f>
        <v>3197691.09</v>
      </c>
      <c r="G23" s="890">
        <f>+G22+G17</f>
        <v>4358553.9099856066</v>
      </c>
    </row>
    <row r="24" spans="1:9">
      <c r="A24" s="270">
        <v>10</v>
      </c>
      <c r="B24" s="230" t="s">
        <v>4107</v>
      </c>
      <c r="C24" s="230"/>
      <c r="D24" s="230"/>
      <c r="E24" s="252"/>
      <c r="F24" s="890">
        <v>331458.36</v>
      </c>
      <c r="G24" s="890">
        <v>368369.16420677269</v>
      </c>
    </row>
    <row r="25" spans="1:9" ht="16.5" thickBot="1">
      <c r="A25" s="270">
        <v>11</v>
      </c>
      <c r="B25" s="230" t="s">
        <v>4108</v>
      </c>
      <c r="C25" s="230"/>
      <c r="D25" s="230"/>
      <c r="E25" s="252"/>
      <c r="F25" s="558">
        <f>F23-F24</f>
        <v>2866232.73</v>
      </c>
      <c r="G25" s="558">
        <f>G23-G24+H25</f>
        <v>3990184.745778834</v>
      </c>
      <c r="H25" s="261"/>
      <c r="I25" s="261"/>
    </row>
    <row r="26" spans="1:9" ht="15.75" thickTop="1">
      <c r="A26" s="270">
        <v>12</v>
      </c>
      <c r="B26" s="230"/>
      <c r="C26" s="230"/>
      <c r="D26" s="230"/>
      <c r="E26" s="252"/>
      <c r="F26" s="620"/>
      <c r="G26" s="461"/>
    </row>
    <row r="27" spans="1:9">
      <c r="A27" s="270">
        <v>13</v>
      </c>
      <c r="B27" s="230"/>
      <c r="C27" s="441"/>
      <c r="D27" s="230"/>
      <c r="E27" s="230"/>
      <c r="F27" s="161"/>
      <c r="G27" s="162"/>
    </row>
    <row r="28" spans="1:9">
      <c r="A28" s="270">
        <v>14</v>
      </c>
      <c r="B28" s="230"/>
      <c r="C28" s="441"/>
      <c r="D28" s="230"/>
      <c r="E28" s="230"/>
      <c r="F28" s="161"/>
      <c r="G28" s="162"/>
    </row>
    <row r="29" spans="1:9">
      <c r="A29" s="270">
        <v>15</v>
      </c>
      <c r="B29" s="230"/>
      <c r="C29" s="441"/>
      <c r="D29" s="230"/>
      <c r="E29" s="230"/>
      <c r="F29" s="161"/>
      <c r="G29" s="162"/>
    </row>
    <row r="30" spans="1:9">
      <c r="A30" s="559"/>
      <c r="B30" s="280"/>
      <c r="C30" s="280"/>
      <c r="D30" s="280"/>
      <c r="E30" s="280"/>
      <c r="F30" s="280"/>
      <c r="G30" s="548"/>
    </row>
    <row r="31" spans="1:9" ht="15.75">
      <c r="A31" s="235" t="s">
        <v>1529</v>
      </c>
      <c r="B31" s="6"/>
      <c r="C31" s="6"/>
      <c r="D31" s="6"/>
      <c r="E31" s="6"/>
      <c r="F31" s="6"/>
      <c r="G31" s="248"/>
    </row>
    <row r="32" spans="1:9">
      <c r="A32" s="547"/>
      <c r="B32" s="230"/>
      <c r="C32" s="230"/>
      <c r="D32" s="230"/>
      <c r="E32" s="230"/>
      <c r="F32" s="230"/>
      <c r="G32" s="532"/>
    </row>
    <row r="33" spans="1:9">
      <c r="A33" s="547"/>
      <c r="B33" s="230" t="s">
        <v>3721</v>
      </c>
      <c r="C33" s="230"/>
      <c r="D33" s="230"/>
      <c r="E33" s="230"/>
      <c r="F33" s="230"/>
      <c r="G33" s="532"/>
    </row>
    <row r="34" spans="1:9">
      <c r="A34" s="547"/>
      <c r="B34" s="230" t="s">
        <v>3434</v>
      </c>
      <c r="C34" s="230"/>
      <c r="D34" s="230"/>
      <c r="E34" s="230"/>
      <c r="F34" s="230"/>
      <c r="G34" s="532"/>
    </row>
    <row r="35" spans="1:9">
      <c r="A35" s="547"/>
      <c r="B35" s="230" t="s">
        <v>408</v>
      </c>
      <c r="C35" s="230"/>
      <c r="D35" s="230"/>
      <c r="E35" s="230"/>
      <c r="F35" s="230"/>
      <c r="G35" s="532"/>
    </row>
    <row r="36" spans="1:9" s="1633" customFormat="1">
      <c r="A36" s="1628"/>
      <c r="B36" s="1629"/>
      <c r="C36" s="1630"/>
      <c r="D36" s="1631" t="s">
        <v>4215</v>
      </c>
      <c r="E36" s="1631" t="s">
        <v>150</v>
      </c>
      <c r="F36" s="1630"/>
      <c r="G36" s="1632"/>
    </row>
    <row r="37" spans="1:9" s="1633" customFormat="1">
      <c r="A37" s="1634"/>
      <c r="B37" s="1635"/>
      <c r="C37" s="1636" t="s">
        <v>151</v>
      </c>
      <c r="D37" s="1636" t="s">
        <v>2731</v>
      </c>
      <c r="E37" s="1636" t="s">
        <v>2380</v>
      </c>
      <c r="F37" s="1637"/>
      <c r="G37" s="891"/>
    </row>
    <row r="38" spans="1:9" s="1633" customFormat="1">
      <c r="A38" s="1634" t="s">
        <v>1939</v>
      </c>
      <c r="B38" s="1638" t="s">
        <v>429</v>
      </c>
      <c r="C38" s="1636" t="s">
        <v>2381</v>
      </c>
      <c r="D38" s="1636" t="s">
        <v>2382</v>
      </c>
      <c r="E38" s="1636" t="s">
        <v>4124</v>
      </c>
      <c r="F38" s="1636" t="s">
        <v>3322</v>
      </c>
      <c r="G38" s="888" t="s">
        <v>3323</v>
      </c>
    </row>
    <row r="39" spans="1:9" s="1633" customFormat="1">
      <c r="A39" s="1639" t="s">
        <v>1941</v>
      </c>
      <c r="B39" s="1640" t="s">
        <v>4032</v>
      </c>
      <c r="C39" s="1641" t="s">
        <v>415</v>
      </c>
      <c r="D39" s="1641" t="s">
        <v>416</v>
      </c>
      <c r="E39" s="1641" t="s">
        <v>4125</v>
      </c>
      <c r="F39" s="1641" t="s">
        <v>4126</v>
      </c>
      <c r="G39" s="1642" t="s">
        <v>4127</v>
      </c>
    </row>
    <row r="40" spans="1:9" s="1633" customFormat="1">
      <c r="A40" s="1634">
        <v>16</v>
      </c>
      <c r="B40" s="1635" t="s">
        <v>594</v>
      </c>
      <c r="C40" s="1643">
        <f>-F24</f>
        <v>-331458.36</v>
      </c>
      <c r="D40" s="1643"/>
      <c r="E40" s="1643"/>
      <c r="F40" s="1643"/>
      <c r="G40" s="1644">
        <f t="shared" ref="G40:G45" si="0">SUM(C40:F40)</f>
        <v>-331458.36</v>
      </c>
    </row>
    <row r="41" spans="1:9" s="1633" customFormat="1">
      <c r="A41" s="1634">
        <v>17</v>
      </c>
      <c r="B41" s="1635" t="s">
        <v>4128</v>
      </c>
      <c r="C41" s="1643">
        <v>-284170</v>
      </c>
      <c r="D41" s="1645"/>
      <c r="E41" s="1645"/>
      <c r="F41" s="1645"/>
      <c r="G41" s="1624">
        <f t="shared" si="0"/>
        <v>-284170</v>
      </c>
    </row>
    <row r="42" spans="1:9" s="1633" customFormat="1">
      <c r="A42" s="1634">
        <v>18</v>
      </c>
      <c r="B42" s="1635" t="s">
        <v>3135</v>
      </c>
      <c r="C42" s="1643">
        <v>295335</v>
      </c>
      <c r="D42" s="1645"/>
      <c r="E42" s="1645"/>
      <c r="F42" s="1645"/>
      <c r="G42" s="1624">
        <f t="shared" si="0"/>
        <v>295335</v>
      </c>
    </row>
    <row r="43" spans="1:9" s="1633" customFormat="1">
      <c r="A43" s="1634">
        <f t="shared" ref="A43:A58" si="1">A42+1</f>
        <v>19</v>
      </c>
      <c r="B43" s="1635" t="s">
        <v>3136</v>
      </c>
      <c r="C43" s="1643">
        <f>-53112+5036</f>
        <v>-48076</v>
      </c>
      <c r="D43" s="1645"/>
      <c r="E43" s="1645"/>
      <c r="F43" s="1645"/>
      <c r="G43" s="1624">
        <f t="shared" si="0"/>
        <v>-48076</v>
      </c>
    </row>
    <row r="44" spans="1:9" s="1633" customFormat="1">
      <c r="A44" s="1634">
        <f t="shared" si="1"/>
        <v>20</v>
      </c>
      <c r="B44" s="1646" t="s">
        <v>1310</v>
      </c>
      <c r="C44" s="1643"/>
      <c r="D44" s="1645"/>
      <c r="E44" s="1645"/>
      <c r="F44" s="1645"/>
      <c r="G44" s="1624">
        <f t="shared" si="0"/>
        <v>0</v>
      </c>
    </row>
    <row r="45" spans="1:9" s="1633" customFormat="1">
      <c r="A45" s="1634">
        <f t="shared" si="1"/>
        <v>21</v>
      </c>
      <c r="B45" s="1635"/>
      <c r="C45" s="2042"/>
      <c r="D45" s="1623"/>
      <c r="E45" s="1623"/>
      <c r="F45" s="1623"/>
      <c r="G45" s="1624">
        <f t="shared" si="0"/>
        <v>0</v>
      </c>
    </row>
    <row r="46" spans="1:9" s="1633" customFormat="1" ht="16.5" thickBot="1">
      <c r="A46" s="1634">
        <f t="shared" si="1"/>
        <v>22</v>
      </c>
      <c r="B46" s="1635" t="s">
        <v>3137</v>
      </c>
      <c r="C46" s="1647">
        <f>SUM(C40:C45)</f>
        <v>-368369.36</v>
      </c>
      <c r="D46" s="1647">
        <f>D40+D41-D42+SUM(D43:D45)</f>
        <v>0</v>
      </c>
      <c r="E46" s="1647">
        <f>E40+E41-E42+SUM(E43:E45)</f>
        <v>0</v>
      </c>
      <c r="F46" s="1647">
        <f>F40+F41-F42+SUM(F43:F45)</f>
        <v>0</v>
      </c>
      <c r="G46" s="1648">
        <f>SUM(G40:G45)</f>
        <v>-368369.36</v>
      </c>
      <c r="I46" s="1675"/>
    </row>
    <row r="47" spans="1:9" s="1633" customFormat="1" ht="15.75" thickTop="1">
      <c r="A47" s="1634">
        <f t="shared" si="1"/>
        <v>23</v>
      </c>
      <c r="B47" s="1635"/>
      <c r="C47" s="1635"/>
      <c r="D47" s="1635"/>
      <c r="E47" s="1635"/>
      <c r="F47" s="1635"/>
      <c r="G47" s="891"/>
    </row>
    <row r="48" spans="1:9">
      <c r="A48" s="270">
        <f t="shared" si="1"/>
        <v>24</v>
      </c>
      <c r="B48" s="230" t="s">
        <v>2294</v>
      </c>
      <c r="C48" s="230"/>
      <c r="D48" s="230"/>
      <c r="E48" s="230"/>
      <c r="F48" s="230"/>
      <c r="G48" s="469"/>
    </row>
    <row r="49" spans="1:7">
      <c r="A49" s="270">
        <f t="shared" si="1"/>
        <v>25</v>
      </c>
      <c r="B49" s="230"/>
      <c r="C49" s="230" t="s">
        <v>2306</v>
      </c>
      <c r="D49" s="230"/>
      <c r="E49" s="230"/>
      <c r="F49" s="230"/>
      <c r="G49" s="532"/>
    </row>
    <row r="50" spans="1:7">
      <c r="A50" s="270">
        <f t="shared" si="1"/>
        <v>26</v>
      </c>
      <c r="B50" s="230"/>
      <c r="C50" s="230" t="s">
        <v>949</v>
      </c>
      <c r="D50" s="230"/>
      <c r="E50" s="230"/>
      <c r="F50" s="230"/>
      <c r="G50" s="532"/>
    </row>
    <row r="51" spans="1:7">
      <c r="A51" s="270">
        <f t="shared" si="1"/>
        <v>27</v>
      </c>
      <c r="B51" s="230"/>
      <c r="C51" s="230" t="s">
        <v>950</v>
      </c>
      <c r="D51" s="230"/>
      <c r="E51" s="230"/>
      <c r="F51" s="230"/>
      <c r="G51" s="532"/>
    </row>
    <row r="52" spans="1:7">
      <c r="A52" s="270">
        <f t="shared" si="1"/>
        <v>28</v>
      </c>
      <c r="B52" s="230"/>
      <c r="C52" s="230" t="s">
        <v>4196</v>
      </c>
      <c r="D52" s="230"/>
      <c r="E52" s="230"/>
      <c r="F52" s="230"/>
      <c r="G52" s="532"/>
    </row>
    <row r="53" spans="1:7">
      <c r="A53" s="270">
        <f t="shared" si="1"/>
        <v>29</v>
      </c>
      <c r="B53" s="230"/>
      <c r="C53" s="230" t="s">
        <v>2458</v>
      </c>
      <c r="D53" s="230"/>
      <c r="E53" s="230"/>
      <c r="F53" s="230"/>
      <c r="G53" s="532"/>
    </row>
    <row r="54" spans="1:7">
      <c r="A54" s="270">
        <f t="shared" si="1"/>
        <v>30</v>
      </c>
      <c r="B54" s="230"/>
      <c r="C54" s="230" t="s">
        <v>1717</v>
      </c>
      <c r="D54" s="230"/>
      <c r="E54" s="230"/>
      <c r="F54" s="230"/>
      <c r="G54" s="532"/>
    </row>
    <row r="55" spans="1:7">
      <c r="A55" s="270">
        <f t="shared" si="1"/>
        <v>31</v>
      </c>
      <c r="B55" s="230"/>
      <c r="C55" s="1030" t="s">
        <v>1830</v>
      </c>
      <c r="D55" s="230"/>
      <c r="E55" s="230"/>
      <c r="F55" s="230"/>
      <c r="G55" s="532"/>
    </row>
    <row r="56" spans="1:7">
      <c r="A56" s="270">
        <f t="shared" si="1"/>
        <v>32</v>
      </c>
      <c r="B56" s="230"/>
      <c r="C56" s="230" t="s">
        <v>1680</v>
      </c>
      <c r="D56" s="230"/>
      <c r="E56" s="230"/>
      <c r="F56" s="230"/>
      <c r="G56" s="532"/>
    </row>
    <row r="57" spans="1:7">
      <c r="A57" s="270">
        <f t="shared" si="1"/>
        <v>33</v>
      </c>
      <c r="B57" s="230"/>
      <c r="C57" s="230"/>
      <c r="D57" s="230"/>
      <c r="E57" s="230"/>
      <c r="F57" s="230"/>
      <c r="G57" s="532"/>
    </row>
    <row r="58" spans="1:7">
      <c r="A58" s="270">
        <f t="shared" si="1"/>
        <v>34</v>
      </c>
      <c r="B58" s="230"/>
      <c r="C58" s="230"/>
      <c r="D58" s="230"/>
      <c r="E58" s="230"/>
      <c r="F58" s="230"/>
      <c r="G58" s="532"/>
    </row>
    <row r="59" spans="1:7" ht="15.75" thickBot="1">
      <c r="A59" s="563">
        <v>35</v>
      </c>
      <c r="B59" s="550"/>
      <c r="C59" s="550"/>
      <c r="D59" s="550"/>
      <c r="E59" s="550"/>
      <c r="F59" s="550"/>
      <c r="G59" s="564"/>
    </row>
    <row r="60" spans="1:7">
      <c r="A60" s="280"/>
      <c r="B60" s="280"/>
      <c r="C60" s="280"/>
      <c r="D60" s="280"/>
      <c r="E60" s="280"/>
      <c r="F60" s="280"/>
      <c r="G60" s="565" t="s">
        <v>4066</v>
      </c>
    </row>
    <row r="61" spans="1:7">
      <c r="A61" s="284" t="s">
        <v>2295</v>
      </c>
      <c r="B61" s="284"/>
      <c r="C61" s="284"/>
      <c r="D61" s="284"/>
      <c r="E61" s="284"/>
      <c r="F61" s="284"/>
      <c r="G61" s="284"/>
    </row>
    <row r="69" spans="2:2">
      <c r="B69" s="260"/>
    </row>
    <row r="71" spans="2:2">
      <c r="B71" s="260"/>
    </row>
    <row r="72" spans="2:2">
      <c r="B72" s="260"/>
    </row>
    <row r="73" spans="2:2">
      <c r="B73" s="260"/>
    </row>
    <row r="74" spans="2:2">
      <c r="B74" s="260"/>
    </row>
    <row r="75" spans="2:2">
      <c r="B75" s="260"/>
    </row>
    <row r="76" spans="2:2">
      <c r="B76" s="230"/>
    </row>
    <row r="77" spans="2:2">
      <c r="B77" s="260"/>
    </row>
    <row r="78" spans="2:2">
      <c r="B78" s="260"/>
    </row>
  </sheetData>
  <customSheetViews>
    <customSheetView guid="{1BA452AD-1A45-4D9C-9666-ADFFA6F2F567}" colorId="22" showPageBreaks="1" fitToPage="1" printArea="1" view="pageBreakPreview">
      <selection activeCell="C42" sqref="C42"/>
      <pageMargins left="0.65" right="0.4" top="0.3" bottom="0.3" header="0" footer="0"/>
      <printOptions horizontalCentered="1" verticalCentered="1"/>
      <pageSetup scale="73" orientation="portrait" r:id="rId1"/>
      <headerFooter alignWithMargins="0"/>
    </customSheetView>
    <customSheetView guid="{EEF7ABD6-0F96-4791-B749-C06F707E7673}" colorId="22" showPageBreaks="1" fitToPage="1" printArea="1" view="pageBreakPreview" showRuler="0">
      <selection sqref="A1:G61"/>
      <pageMargins left="0.65" right="0.4" top="0.3" bottom="0.3" header="0" footer="0"/>
      <printOptions horizontalCentered="1" verticalCentered="1"/>
      <pageSetup scale="73" orientation="portrait" r:id="rId2"/>
      <headerFooter alignWithMargins="0"/>
    </customSheetView>
    <customSheetView guid="{A7D7DB3C-AFE6-468E-8C6B-9531F6711497}" scale="60" colorId="22" showPageBreaks="1" fitToPage="1" printArea="1" view="pageBreakPreview" showRuler="0" topLeftCell="B1">
      <selection activeCell="G50" sqref="G50"/>
      <pageMargins left="0.65" right="0.4" top="0.3" bottom="0.3" header="0" footer="0"/>
      <printOptions horizontalCentered="1" verticalCentered="1"/>
      <pageSetup scale="73" orientation="portrait" r:id="rId3"/>
      <headerFooter alignWithMargins="0"/>
    </customSheetView>
    <customSheetView guid="{4436FEB5-BFEC-4348-9286-CB706802873E}" scale="60" colorId="22" showPageBreaks="1" fitToPage="1" printArea="1" view="pageBreakPreview" showRuler="0" topLeftCell="B1">
      <selection activeCell="G50" sqref="G50"/>
      <pageMargins left="0.65" right="0.4" top="0.3" bottom="0.3" header="0" footer="0"/>
      <printOptions horizontalCentered="1" verticalCentered="1"/>
      <pageSetup scale="73" orientation="portrait" r:id="rId4"/>
      <headerFooter alignWithMargins="0"/>
    </customSheetView>
    <customSheetView guid="{044CF00C-469F-44B3-B2C4-9B4049CE70CB}" scale="75" colorId="22" fitToPage="1" showRuler="0">
      <selection activeCell="C44" sqref="C44"/>
      <pageMargins left="0.65" right="0.4" top="0.3" bottom="0.3" header="0" footer="0"/>
      <printOptions horizontalCentered="1" verticalCentered="1"/>
      <pageSetup scale="73" orientation="portrait" r:id="rId5"/>
      <headerFooter alignWithMargins="0"/>
    </customSheetView>
    <customSheetView guid="{4826FCC0-BDD6-4B2C-ACC6-ACE271DDF0E3}" colorId="22" showPageBreaks="1" fitToPage="1" printArea="1" view="pageBreakPreview" showRuler="0" topLeftCell="A13">
      <selection activeCell="C46" sqref="C46"/>
      <pageMargins left="0.65" right="0.4" top="0.3" bottom="0.3" header="0" footer="0"/>
      <printOptions horizontalCentered="1" verticalCentered="1"/>
      <pageSetup scale="73" orientation="portrait" r:id="rId6"/>
      <headerFooter alignWithMargins="0"/>
    </customSheetView>
    <customSheetView guid="{EF376D10-23D6-4FE2-AB5B-4460D52CC93F}" colorId="22" showPageBreaks="1" fitToPage="1" printArea="1" view="pageBreakPreview" showRuler="0">
      <selection activeCell="G23" sqref="G23"/>
      <pageMargins left="0.65" right="0.4" top="0.3" bottom="0.3" header="0" footer="0"/>
      <printOptions horizontalCentered="1" verticalCentered="1"/>
      <pageSetup scale="73" orientation="portrait" r:id="rId7"/>
      <headerFooter alignWithMargins="0"/>
    </customSheetView>
    <customSheetView guid="{1C046605-15CE-44F1-BFCD-2CA8588E7ACF}" colorId="22" showPageBreaks="1" fitToPage="1" printArea="1" view="pageBreakPreview" showRuler="0" topLeftCell="A31">
      <selection activeCell="I46" sqref="I46"/>
      <pageMargins left="0.65" right="0.4" top="0.3" bottom="0.3" header="0" footer="0"/>
      <printOptions horizontalCentered="1" verticalCentered="1"/>
      <pageSetup scale="73" orientation="portrait" r:id="rId8"/>
      <headerFooter alignWithMargins="0"/>
    </customSheetView>
    <customSheetView guid="{3911D713-188C-46A1-A299-F21DD3B7A146}" colorId="22" showPageBreaks="1" fitToPage="1" printArea="1" view="pageBreakPreview" showRuler="0" topLeftCell="A31">
      <selection activeCell="I46" sqref="I46"/>
      <pageMargins left="0.65" right="0.4" top="0.3" bottom="0.3" header="0" footer="0"/>
      <printOptions horizontalCentered="1" verticalCentered="1"/>
      <pageSetup scale="73" orientation="portrait" r:id="rId9"/>
      <headerFooter alignWithMargins="0"/>
    </customSheetView>
    <customSheetView guid="{78BB1E60-60BE-4F56-9763-075185EFEFAB}" colorId="22" showPageBreaks="1" fitToPage="1" printArea="1" view="pageBreakPreview">
      <selection activeCell="C42" sqref="C42"/>
      <pageMargins left="0.65" right="0.4" top="0.3" bottom="0.3" header="0" footer="0"/>
      <printOptions horizontalCentered="1" verticalCentered="1"/>
      <pageSetup scale="73" orientation="portrait" r:id="rId10"/>
      <headerFooter alignWithMargins="0"/>
    </customSheetView>
    <customSheetView guid="{9C30803E-1E2D-4850-B0A5-591CA6F246A1}" colorId="22" fitToPage="1">
      <selection activeCell="D55" sqref="D55"/>
      <pageMargins left="0.65" right="0.4" top="0.3" bottom="0.3" header="0" footer="0"/>
      <printOptions horizontalCentered="1" verticalCentered="1"/>
      <pageSetup scale="73" orientation="portrait" r:id="rId11"/>
      <headerFooter alignWithMargins="0"/>
    </customSheetView>
    <customSheetView guid="{3B1006FF-A2CA-49E7-9B25-DAC8815279AF}" colorId="22" fitToPage="1">
      <selection activeCell="D55" sqref="D55"/>
      <pageMargins left="0.65" right="0.4" top="0.3" bottom="0.3" header="0" footer="0"/>
      <printOptions horizontalCentered="1" verticalCentered="1"/>
      <pageSetup scale="73" orientation="portrait" r:id="rId12"/>
      <headerFooter alignWithMargins="0"/>
    </customSheetView>
    <customSheetView guid="{FB1A60C8-E1F9-4DF0-8E0E-1C965F86027F}" colorId="22" fitToPage="1">
      <selection activeCell="D55" sqref="D55"/>
      <pageMargins left="0.65" right="0.4" top="0.3" bottom="0.3" header="0" footer="0"/>
      <printOptions horizontalCentered="1" verticalCentered="1"/>
      <pageSetup scale="73" orientation="portrait" r:id="rId13"/>
      <headerFooter alignWithMargins="0"/>
    </customSheetView>
    <customSheetView guid="{C5B6D812-CBE6-46AA-99F7-02494E9802B4}" scale="70" colorId="22" fitToPage="1" topLeftCell="A20">
      <selection activeCell="G49" sqref="G49"/>
      <pageMargins left="0.65" right="0.4" top="0.3" bottom="0.3" header="0" footer="0"/>
      <printOptions horizontalCentered="1" verticalCentered="1"/>
      <pageSetup scale="73" orientation="portrait" r:id="rId14"/>
      <headerFooter alignWithMargins="0"/>
    </customSheetView>
  </customSheetViews>
  <phoneticPr fontId="0" type="noConversion"/>
  <printOptions horizontalCentered="1" verticalCentered="1"/>
  <pageMargins left="0.65" right="0.4" top="0.3" bottom="0.3" header="0" footer="0"/>
  <pageSetup scale="73" orientation="portrait" r:id="rId15"/>
  <headerFooter alignWithMargins="0"/>
  <customProperties>
    <customPr name="_pios_id" r:id="rId16"/>
  </customProperties>
</worksheet>
</file>

<file path=xl/worksheets/sheet29.xml><?xml version="1.0" encoding="utf-8"?>
<worksheet xmlns="http://schemas.openxmlformats.org/spreadsheetml/2006/main" xmlns:r="http://schemas.openxmlformats.org/officeDocument/2006/relationships">
  <sheetPr transitionEvaluation="1" codeName="Sheet29" enableFormatConditionsCalculation="0">
    <pageSetUpPr fitToPage="1"/>
  </sheetPr>
  <dimension ref="A1:I83"/>
  <sheetViews>
    <sheetView defaultGridColor="0" colorId="22" zoomScale="70" zoomScaleNormal="70" workbookViewId="0"/>
  </sheetViews>
  <sheetFormatPr defaultColWidth="9.77734375" defaultRowHeight="15"/>
  <cols>
    <col min="1" max="1" width="4.77734375" customWidth="1"/>
    <col min="2" max="2" width="31.44140625" customWidth="1"/>
    <col min="3" max="6" width="15.77734375" customWidth="1"/>
    <col min="7" max="7" width="14.77734375" customWidth="1"/>
  </cols>
  <sheetData>
    <row r="1" spans="1:8" ht="15.75" thickBot="1">
      <c r="A1" s="186" t="str">
        <f>'Data sheet'!$A$63</f>
        <v>Annual Report of New York American Water Company, Inc. (f/k/a Long Island Water Corp)                                    Year Ended  December 31, 2013</v>
      </c>
      <c r="B1" s="534"/>
      <c r="C1" s="534"/>
      <c r="D1" s="534"/>
      <c r="E1" s="534"/>
      <c r="F1" s="1672"/>
      <c r="G1" s="13"/>
      <c r="H1" s="1070"/>
    </row>
    <row r="2" spans="1:8" ht="15.75">
      <c r="A2" s="1071"/>
      <c r="B2" s="1072"/>
      <c r="C2" s="1072"/>
      <c r="D2" s="1072"/>
      <c r="E2" s="1072"/>
      <c r="F2" s="1072"/>
      <c r="G2" s="1073"/>
      <c r="H2" s="1070"/>
    </row>
    <row r="3" spans="1:8" ht="15.75">
      <c r="A3" s="235" t="s">
        <v>2296</v>
      </c>
      <c r="B3" s="13"/>
      <c r="C3" s="13"/>
      <c r="D3" s="13"/>
      <c r="E3" s="13"/>
      <c r="F3" s="13"/>
      <c r="G3" s="545"/>
      <c r="H3" s="1070"/>
    </row>
    <row r="4" spans="1:8">
      <c r="A4" s="238"/>
      <c r="B4" s="230"/>
      <c r="C4" s="230"/>
      <c r="D4" s="230"/>
      <c r="E4" s="230"/>
      <c r="F4" s="230"/>
      <c r="G4" s="532"/>
      <c r="H4" s="1070"/>
    </row>
    <row r="5" spans="1:8">
      <c r="A5" s="547" t="s">
        <v>479</v>
      </c>
      <c r="B5" s="319" t="s">
        <v>4380</v>
      </c>
      <c r="C5" s="319"/>
      <c r="D5" s="319"/>
      <c r="E5" s="319"/>
      <c r="F5" s="319"/>
      <c r="G5" s="1074"/>
      <c r="H5" s="1070"/>
    </row>
    <row r="6" spans="1:8">
      <c r="A6" s="547" t="s">
        <v>2916</v>
      </c>
      <c r="B6" s="319" t="s">
        <v>3427</v>
      </c>
      <c r="C6" s="319"/>
      <c r="D6" s="319"/>
      <c r="E6" s="319"/>
      <c r="F6" s="319"/>
      <c r="G6" s="1074"/>
      <c r="H6" s="1070"/>
    </row>
    <row r="7" spans="1:8">
      <c r="A7" s="547"/>
      <c r="B7" s="319" t="s">
        <v>268</v>
      </c>
      <c r="C7" s="319"/>
      <c r="D7" s="319"/>
      <c r="E7" s="319"/>
      <c r="F7" s="319"/>
      <c r="G7" s="1074"/>
      <c r="H7" s="1070"/>
    </row>
    <row r="8" spans="1:8">
      <c r="A8" s="547" t="s">
        <v>3164</v>
      </c>
      <c r="B8" s="319" t="s">
        <v>1607</v>
      </c>
      <c r="C8" s="319"/>
      <c r="D8" s="319"/>
      <c r="E8" s="319"/>
      <c r="F8" s="319"/>
      <c r="G8" s="1074"/>
      <c r="H8" s="1070"/>
    </row>
    <row r="9" spans="1:8">
      <c r="A9" s="547"/>
      <c r="B9" s="319" t="s">
        <v>2629</v>
      </c>
      <c r="C9" s="319"/>
      <c r="D9" s="319"/>
      <c r="E9" s="319"/>
      <c r="F9" s="319"/>
      <c r="G9" s="1074"/>
      <c r="H9" s="1070"/>
    </row>
    <row r="10" spans="1:8">
      <c r="A10" s="547" t="s">
        <v>2630</v>
      </c>
      <c r="B10" s="319" t="s">
        <v>1074</v>
      </c>
      <c r="C10" s="319"/>
      <c r="D10" s="319"/>
      <c r="E10" s="319"/>
      <c r="F10" s="319"/>
      <c r="G10" s="1074"/>
      <c r="H10" s="1070"/>
    </row>
    <row r="11" spans="1:8">
      <c r="A11" s="547" t="s">
        <v>1075</v>
      </c>
      <c r="B11" s="319" t="s">
        <v>518</v>
      </c>
      <c r="C11" s="319"/>
      <c r="D11" s="319"/>
      <c r="E11" s="319"/>
      <c r="F11" s="319"/>
      <c r="G11" s="1074"/>
      <c r="H11" s="1070"/>
    </row>
    <row r="12" spans="1:8">
      <c r="A12" s="547"/>
      <c r="B12" s="319" t="s">
        <v>519</v>
      </c>
      <c r="C12" s="319"/>
      <c r="D12" s="319"/>
      <c r="E12" s="319"/>
      <c r="F12" s="319"/>
      <c r="G12" s="1074"/>
      <c r="H12" s="1070"/>
    </row>
    <row r="13" spans="1:8">
      <c r="A13" s="547" t="s">
        <v>520</v>
      </c>
      <c r="B13" s="319" t="s">
        <v>521</v>
      </c>
      <c r="C13" s="319"/>
      <c r="D13" s="319"/>
      <c r="E13" s="319"/>
      <c r="F13" s="319"/>
      <c r="G13" s="1074"/>
      <c r="H13" s="1070"/>
    </row>
    <row r="14" spans="1:8">
      <c r="A14" s="549"/>
      <c r="B14" s="534"/>
      <c r="C14" s="534"/>
      <c r="D14" s="534"/>
      <c r="E14" s="534"/>
      <c r="F14" s="534"/>
      <c r="G14" s="535"/>
      <c r="H14" s="1070"/>
    </row>
    <row r="15" spans="1:8">
      <c r="A15" s="547"/>
      <c r="B15" s="536"/>
      <c r="C15" s="682" t="s">
        <v>2942</v>
      </c>
      <c r="D15" s="1075"/>
      <c r="E15" s="534"/>
      <c r="F15" s="682" t="s">
        <v>2942</v>
      </c>
      <c r="G15" s="1076"/>
      <c r="H15" s="1070"/>
    </row>
    <row r="16" spans="1:8">
      <c r="A16" s="547"/>
      <c r="B16" s="536"/>
      <c r="C16" s="682" t="s">
        <v>1938</v>
      </c>
      <c r="D16" s="536"/>
      <c r="E16" s="536"/>
      <c r="F16" s="682" t="s">
        <v>522</v>
      </c>
      <c r="G16" s="822" t="s">
        <v>523</v>
      </c>
      <c r="H16" s="1070"/>
    </row>
    <row r="17" spans="1:8">
      <c r="A17" s="547" t="s">
        <v>1129</v>
      </c>
      <c r="B17" s="682" t="s">
        <v>524</v>
      </c>
      <c r="C17" s="682" t="s">
        <v>1940</v>
      </c>
      <c r="D17" s="682" t="s">
        <v>525</v>
      </c>
      <c r="E17" s="682" t="s">
        <v>3990</v>
      </c>
      <c r="F17" s="682" t="s">
        <v>2268</v>
      </c>
      <c r="G17" s="822" t="s">
        <v>3991</v>
      </c>
      <c r="H17" s="1070"/>
    </row>
    <row r="18" spans="1:8">
      <c r="A18" s="549" t="s">
        <v>3992</v>
      </c>
      <c r="B18" s="828" t="s">
        <v>4032</v>
      </c>
      <c r="C18" s="828" t="s">
        <v>4033</v>
      </c>
      <c r="D18" s="828" t="s">
        <v>4034</v>
      </c>
      <c r="E18" s="828" t="s">
        <v>4035</v>
      </c>
      <c r="F18" s="828" t="s">
        <v>2277</v>
      </c>
      <c r="G18" s="681" t="s">
        <v>2278</v>
      </c>
      <c r="H18" s="1070"/>
    </row>
    <row r="19" spans="1:8">
      <c r="A19" s="547">
        <v>1</v>
      </c>
      <c r="B19" s="536" t="s">
        <v>177</v>
      </c>
      <c r="C19" s="544"/>
      <c r="D19" s="544"/>
      <c r="E19" s="544"/>
      <c r="F19" s="544">
        <f t="shared" ref="F19:F31" si="0">C19+D19-E19</f>
        <v>0</v>
      </c>
      <c r="G19" s="478"/>
      <c r="H19" s="1070"/>
    </row>
    <row r="20" spans="1:8">
      <c r="A20" s="547">
        <v>2</v>
      </c>
      <c r="B20" s="536"/>
      <c r="C20" s="526"/>
      <c r="D20" s="526"/>
      <c r="E20" s="526"/>
      <c r="F20" s="526">
        <f t="shared" si="0"/>
        <v>0</v>
      </c>
      <c r="G20" s="479"/>
      <c r="H20" s="1070"/>
    </row>
    <row r="21" spans="1:8">
      <c r="A21" s="547">
        <v>3</v>
      </c>
      <c r="B21" s="536"/>
      <c r="C21" s="526"/>
      <c r="D21" s="526"/>
      <c r="E21" s="526"/>
      <c r="F21" s="526">
        <f t="shared" si="0"/>
        <v>0</v>
      </c>
      <c r="G21" s="479"/>
      <c r="H21" s="1070"/>
    </row>
    <row r="22" spans="1:8">
      <c r="A22" s="547">
        <v>4</v>
      </c>
      <c r="B22" s="536"/>
      <c r="C22" s="526"/>
      <c r="D22" s="526"/>
      <c r="E22" s="526"/>
      <c r="F22" s="526">
        <f t="shared" si="0"/>
        <v>0</v>
      </c>
      <c r="G22" s="479"/>
      <c r="H22" s="1070"/>
    </row>
    <row r="23" spans="1:8">
      <c r="A23" s="547">
        <v>5</v>
      </c>
      <c r="B23" s="536"/>
      <c r="C23" s="526"/>
      <c r="D23" s="526"/>
      <c r="E23" s="526"/>
      <c r="F23" s="526">
        <f t="shared" si="0"/>
        <v>0</v>
      </c>
      <c r="G23" s="479"/>
      <c r="H23" s="1070"/>
    </row>
    <row r="24" spans="1:8">
      <c r="A24" s="547">
        <v>6</v>
      </c>
      <c r="B24" s="536"/>
      <c r="C24" s="526"/>
      <c r="D24" s="526"/>
      <c r="E24" s="526"/>
      <c r="F24" s="526">
        <f t="shared" si="0"/>
        <v>0</v>
      </c>
      <c r="G24" s="479"/>
      <c r="H24" s="1070"/>
    </row>
    <row r="25" spans="1:8">
      <c r="A25" s="547">
        <v>7</v>
      </c>
      <c r="B25" s="536"/>
      <c r="C25" s="526"/>
      <c r="D25" s="526"/>
      <c r="E25" s="526"/>
      <c r="F25" s="526">
        <f t="shared" si="0"/>
        <v>0</v>
      </c>
      <c r="G25" s="479"/>
      <c r="H25" s="1070"/>
    </row>
    <row r="26" spans="1:8">
      <c r="A26" s="547">
        <v>8</v>
      </c>
      <c r="B26" s="536"/>
      <c r="C26" s="526"/>
      <c r="D26" s="526"/>
      <c r="E26" s="526"/>
      <c r="F26" s="526">
        <f t="shared" si="0"/>
        <v>0</v>
      </c>
      <c r="G26" s="479"/>
      <c r="H26" s="1070"/>
    </row>
    <row r="27" spans="1:8">
      <c r="A27" s="547">
        <v>9</v>
      </c>
      <c r="B27" s="536"/>
      <c r="C27" s="526"/>
      <c r="D27" s="526"/>
      <c r="E27" s="526"/>
      <c r="F27" s="526">
        <f t="shared" si="0"/>
        <v>0</v>
      </c>
      <c r="G27" s="479"/>
      <c r="H27" s="1070"/>
    </row>
    <row r="28" spans="1:8">
      <c r="A28" s="547">
        <v>10</v>
      </c>
      <c r="B28" s="536"/>
      <c r="C28" s="526"/>
      <c r="D28" s="526"/>
      <c r="E28" s="526"/>
      <c r="F28" s="526">
        <f t="shared" si="0"/>
        <v>0</v>
      </c>
      <c r="G28" s="479"/>
      <c r="H28" s="1070"/>
    </row>
    <row r="29" spans="1:8">
      <c r="A29" s="547">
        <v>11</v>
      </c>
      <c r="B29" s="536"/>
      <c r="C29" s="526"/>
      <c r="D29" s="526"/>
      <c r="E29" s="526"/>
      <c r="F29" s="526">
        <f t="shared" si="0"/>
        <v>0</v>
      </c>
      <c r="G29" s="479"/>
      <c r="H29" s="1070"/>
    </row>
    <row r="30" spans="1:8">
      <c r="A30" s="547">
        <v>12</v>
      </c>
      <c r="B30" s="536"/>
      <c r="C30" s="526"/>
      <c r="D30" s="526"/>
      <c r="E30" s="526"/>
      <c r="F30" s="526">
        <f t="shared" si="0"/>
        <v>0</v>
      </c>
      <c r="G30" s="479"/>
      <c r="H30" s="1070"/>
    </row>
    <row r="31" spans="1:8">
      <c r="A31" s="547">
        <v>13</v>
      </c>
      <c r="B31" s="536"/>
      <c r="C31" s="526"/>
      <c r="D31" s="526"/>
      <c r="E31" s="526"/>
      <c r="F31" s="526">
        <f t="shared" si="0"/>
        <v>0</v>
      </c>
      <c r="G31" s="479"/>
      <c r="H31" s="1070"/>
    </row>
    <row r="32" spans="1:8">
      <c r="A32" s="547">
        <v>14</v>
      </c>
      <c r="B32" s="1077" t="s">
        <v>3993</v>
      </c>
      <c r="C32" s="450">
        <f>SUM(C19:C31)</f>
        <v>0</v>
      </c>
      <c r="D32" s="450">
        <f>SUM(D19:D31)</f>
        <v>0</v>
      </c>
      <c r="E32" s="450">
        <f>SUM(E19:E31)</f>
        <v>0</v>
      </c>
      <c r="F32" s="450">
        <f>SUM(F19:F31)</f>
        <v>0</v>
      </c>
      <c r="G32" s="541">
        <f>SUM(G19:G31)</f>
        <v>0</v>
      </c>
      <c r="H32" s="1070"/>
    </row>
    <row r="33" spans="1:9">
      <c r="A33" s="547">
        <v>15</v>
      </c>
      <c r="B33" s="536" t="s">
        <v>1385</v>
      </c>
      <c r="C33" s="544">
        <v>5002</v>
      </c>
      <c r="D33" s="544">
        <v>2580</v>
      </c>
      <c r="E33" s="544">
        <v>2085</v>
      </c>
      <c r="F33" s="544">
        <f>C33+D33-E33</f>
        <v>5497</v>
      </c>
      <c r="G33" s="478"/>
      <c r="H33" s="1070"/>
    </row>
    <row r="34" spans="1:9">
      <c r="A34" s="547">
        <v>16</v>
      </c>
      <c r="B34" s="1790" t="s">
        <v>5170</v>
      </c>
      <c r="C34" s="544">
        <v>707416.24</v>
      </c>
      <c r="D34" s="1065">
        <f>817315+15462807</f>
        <v>16280122</v>
      </c>
      <c r="E34" s="526">
        <f>1523161+15257937+82950</f>
        <v>16864048</v>
      </c>
      <c r="F34" s="544">
        <f>C34+D34-E34</f>
        <v>123490.23999999836</v>
      </c>
      <c r="G34" s="479"/>
      <c r="H34" s="1070"/>
      <c r="I34" s="230"/>
    </row>
    <row r="35" spans="1:9">
      <c r="A35" s="547">
        <v>17</v>
      </c>
      <c r="B35" s="1790" t="s">
        <v>4898</v>
      </c>
      <c r="C35" s="544">
        <v>58613.62</v>
      </c>
      <c r="D35" s="526">
        <v>658825</v>
      </c>
      <c r="E35" s="526">
        <f>699491+7267</f>
        <v>706758</v>
      </c>
      <c r="F35" s="544">
        <f>C35+D35-E35</f>
        <v>10680.619999999995</v>
      </c>
      <c r="G35" s="479"/>
      <c r="H35" s="1070"/>
    </row>
    <row r="36" spans="1:9">
      <c r="A36" s="547">
        <v>18</v>
      </c>
      <c r="B36" s="536"/>
      <c r="C36" s="1078"/>
      <c r="D36" s="1078"/>
      <c r="E36" s="1078"/>
      <c r="F36" s="526">
        <f t="shared" ref="F36:F65" si="1">C36+D36-E36</f>
        <v>0</v>
      </c>
      <c r="G36" s="479" t="s">
        <v>4373</v>
      </c>
      <c r="H36" s="1070"/>
    </row>
    <row r="37" spans="1:9">
      <c r="A37" s="547">
        <v>19</v>
      </c>
      <c r="B37" s="536" t="s">
        <v>4373</v>
      </c>
      <c r="C37" s="526"/>
      <c r="D37" s="526" t="s">
        <v>4373</v>
      </c>
      <c r="E37" s="526" t="s">
        <v>4373</v>
      </c>
      <c r="F37" s="526">
        <f t="shared" si="1"/>
        <v>0</v>
      </c>
      <c r="G37" s="479"/>
      <c r="H37" s="1070"/>
    </row>
    <row r="38" spans="1:9">
      <c r="A38" s="547">
        <v>20</v>
      </c>
      <c r="B38" s="536" t="s">
        <v>4373</v>
      </c>
      <c r="C38" s="526"/>
      <c r="D38" s="526" t="s">
        <v>4373</v>
      </c>
      <c r="E38" s="526" t="s">
        <v>4373</v>
      </c>
      <c r="F38" s="526">
        <f t="shared" si="1"/>
        <v>0</v>
      </c>
      <c r="G38" s="479"/>
      <c r="H38" s="1070"/>
    </row>
    <row r="39" spans="1:9">
      <c r="A39" s="547">
        <v>21</v>
      </c>
      <c r="B39" s="536" t="s">
        <v>4373</v>
      </c>
      <c r="C39" s="526"/>
      <c r="D39" s="526" t="s">
        <v>4373</v>
      </c>
      <c r="E39" s="526" t="s">
        <v>4373</v>
      </c>
      <c r="F39" s="526">
        <f t="shared" si="1"/>
        <v>0</v>
      </c>
      <c r="G39" s="479"/>
      <c r="H39" s="1070"/>
    </row>
    <row r="40" spans="1:9">
      <c r="A40" s="547">
        <v>22</v>
      </c>
      <c r="B40" s="536" t="s">
        <v>4373</v>
      </c>
      <c r="C40" s="526"/>
      <c r="D40" s="526" t="s">
        <v>4373</v>
      </c>
      <c r="E40" s="526" t="s">
        <v>4373</v>
      </c>
      <c r="F40" s="526">
        <f t="shared" si="1"/>
        <v>0</v>
      </c>
      <c r="G40" s="479"/>
      <c r="H40" s="1070"/>
    </row>
    <row r="41" spans="1:9">
      <c r="A41" s="547">
        <v>23</v>
      </c>
      <c r="B41" s="536" t="s">
        <v>4373</v>
      </c>
      <c r="C41" s="526"/>
      <c r="D41" s="526"/>
      <c r="E41" s="526" t="s">
        <v>4373</v>
      </c>
      <c r="F41" s="526">
        <f t="shared" si="1"/>
        <v>0</v>
      </c>
      <c r="G41" s="479"/>
      <c r="H41" s="1070"/>
    </row>
    <row r="42" spans="1:9">
      <c r="A42" s="547">
        <v>24</v>
      </c>
      <c r="B42" s="536"/>
      <c r="C42" s="526"/>
      <c r="D42" s="526"/>
      <c r="E42" s="526"/>
      <c r="F42" s="526">
        <f t="shared" si="1"/>
        <v>0</v>
      </c>
      <c r="G42" s="479"/>
      <c r="H42" s="1070"/>
    </row>
    <row r="43" spans="1:9">
      <c r="A43" s="547">
        <v>25</v>
      </c>
      <c r="B43" s="536"/>
      <c r="C43" s="526"/>
      <c r="D43" s="526"/>
      <c r="E43" s="526"/>
      <c r="F43" s="526">
        <f t="shared" si="1"/>
        <v>0</v>
      </c>
      <c r="G43" s="479" t="s">
        <v>4373</v>
      </c>
      <c r="H43" s="1070"/>
    </row>
    <row r="44" spans="1:9">
      <c r="A44" s="547">
        <v>26</v>
      </c>
      <c r="B44" s="536"/>
      <c r="C44" s="526"/>
      <c r="D44" s="526"/>
      <c r="E44" s="526"/>
      <c r="F44" s="526">
        <f t="shared" si="1"/>
        <v>0</v>
      </c>
      <c r="G44" s="479"/>
      <c r="H44" s="1070"/>
    </row>
    <row r="45" spans="1:9">
      <c r="A45" s="547">
        <v>27</v>
      </c>
      <c r="B45" s="536"/>
      <c r="C45" s="526"/>
      <c r="D45" s="526"/>
      <c r="E45" s="526"/>
      <c r="F45" s="526">
        <f t="shared" si="1"/>
        <v>0</v>
      </c>
      <c r="G45" s="479"/>
      <c r="H45" s="1070"/>
    </row>
    <row r="46" spans="1:9">
      <c r="A46" s="547">
        <v>28</v>
      </c>
      <c r="B46" s="536"/>
      <c r="C46" s="526"/>
      <c r="D46" s="526"/>
      <c r="E46" s="526"/>
      <c r="F46" s="526">
        <f t="shared" si="1"/>
        <v>0</v>
      </c>
      <c r="G46" s="479"/>
      <c r="H46" s="1070"/>
    </row>
    <row r="47" spans="1:9">
      <c r="A47" s="547">
        <v>29</v>
      </c>
      <c r="B47" s="536"/>
      <c r="C47" s="526"/>
      <c r="D47" s="526"/>
      <c r="E47" s="526"/>
      <c r="F47" s="526">
        <f t="shared" si="1"/>
        <v>0</v>
      </c>
      <c r="G47" s="479"/>
      <c r="H47" s="1070"/>
    </row>
    <row r="48" spans="1:9">
      <c r="A48" s="547">
        <v>30</v>
      </c>
      <c r="B48" s="536"/>
      <c r="C48" s="526"/>
      <c r="D48" s="526" t="s">
        <v>4373</v>
      </c>
      <c r="E48" s="526" t="s">
        <v>4373</v>
      </c>
      <c r="F48" s="526">
        <f t="shared" si="1"/>
        <v>0</v>
      </c>
      <c r="G48" s="479"/>
      <c r="H48" s="1070"/>
    </row>
    <row r="49" spans="1:8">
      <c r="A49" s="547">
        <v>31</v>
      </c>
      <c r="B49" s="536"/>
      <c r="C49" s="526"/>
      <c r="D49" s="526"/>
      <c r="E49" s="526"/>
      <c r="F49" s="526">
        <f t="shared" si="1"/>
        <v>0</v>
      </c>
      <c r="G49" s="479"/>
      <c r="H49" s="1070"/>
    </row>
    <row r="50" spans="1:8">
      <c r="A50" s="547">
        <v>32</v>
      </c>
      <c r="B50" s="536"/>
      <c r="C50" s="526"/>
      <c r="D50" s="526"/>
      <c r="E50" s="526"/>
      <c r="F50" s="526">
        <f t="shared" si="1"/>
        <v>0</v>
      </c>
      <c r="G50" s="479"/>
      <c r="H50" s="1070"/>
    </row>
    <row r="51" spans="1:8">
      <c r="A51" s="547">
        <v>33</v>
      </c>
      <c r="B51" s="536"/>
      <c r="C51" s="526"/>
      <c r="D51" s="526"/>
      <c r="E51" s="526"/>
      <c r="F51" s="526">
        <f t="shared" si="1"/>
        <v>0</v>
      </c>
      <c r="G51" s="479"/>
      <c r="H51" s="1070"/>
    </row>
    <row r="52" spans="1:8">
      <c r="A52" s="547">
        <v>34</v>
      </c>
      <c r="B52" s="536"/>
      <c r="C52" s="526"/>
      <c r="D52" s="526"/>
      <c r="E52" s="526"/>
      <c r="F52" s="526">
        <f t="shared" si="1"/>
        <v>0</v>
      </c>
      <c r="G52" s="479"/>
      <c r="H52" s="1070"/>
    </row>
    <row r="53" spans="1:8">
      <c r="A53" s="547">
        <v>35</v>
      </c>
      <c r="B53" s="536"/>
      <c r="C53" s="526"/>
      <c r="D53" s="526"/>
      <c r="E53" s="526"/>
      <c r="F53" s="526">
        <f t="shared" si="1"/>
        <v>0</v>
      </c>
      <c r="G53" s="479"/>
      <c r="H53" s="1070"/>
    </row>
    <row r="54" spans="1:8">
      <c r="A54" s="547">
        <v>36</v>
      </c>
      <c r="B54" s="536"/>
      <c r="C54" s="526"/>
      <c r="D54" s="526"/>
      <c r="E54" s="526"/>
      <c r="F54" s="526">
        <f t="shared" si="1"/>
        <v>0</v>
      </c>
      <c r="G54" s="479"/>
      <c r="H54" s="1070"/>
    </row>
    <row r="55" spans="1:8">
      <c r="A55" s="547">
        <v>37</v>
      </c>
      <c r="B55" s="536"/>
      <c r="C55" s="526"/>
      <c r="D55" s="526"/>
      <c r="E55" s="526"/>
      <c r="F55" s="526">
        <f t="shared" si="1"/>
        <v>0</v>
      </c>
      <c r="G55" s="479"/>
      <c r="H55" s="1070"/>
    </row>
    <row r="56" spans="1:8">
      <c r="A56" s="547">
        <v>38</v>
      </c>
      <c r="B56" s="536"/>
      <c r="C56" s="526"/>
      <c r="D56" s="526"/>
      <c r="E56" s="526"/>
      <c r="F56" s="526">
        <f t="shared" si="1"/>
        <v>0</v>
      </c>
      <c r="G56" s="479"/>
      <c r="H56" s="1070"/>
    </row>
    <row r="57" spans="1:8">
      <c r="A57" s="547">
        <v>39</v>
      </c>
      <c r="B57" s="536"/>
      <c r="C57" s="526"/>
      <c r="D57" s="526"/>
      <c r="E57" s="526"/>
      <c r="F57" s="526">
        <f t="shared" si="1"/>
        <v>0</v>
      </c>
      <c r="G57" s="479"/>
      <c r="H57" s="1070"/>
    </row>
    <row r="58" spans="1:8">
      <c r="A58" s="547">
        <v>40</v>
      </c>
      <c r="B58" s="536"/>
      <c r="C58" s="526"/>
      <c r="D58" s="526"/>
      <c r="E58" s="526"/>
      <c r="F58" s="526">
        <f t="shared" si="1"/>
        <v>0</v>
      </c>
      <c r="G58" s="479"/>
      <c r="H58" s="1070"/>
    </row>
    <row r="59" spans="1:8">
      <c r="A59" s="547">
        <v>41</v>
      </c>
      <c r="B59" s="536"/>
      <c r="C59" s="526"/>
      <c r="D59" s="526"/>
      <c r="E59" s="526"/>
      <c r="F59" s="526">
        <f t="shared" si="1"/>
        <v>0</v>
      </c>
      <c r="G59" s="479"/>
      <c r="H59" s="1070"/>
    </row>
    <row r="60" spans="1:8">
      <c r="A60" s="547">
        <v>42</v>
      </c>
      <c r="B60" s="536"/>
      <c r="C60" s="526"/>
      <c r="D60" s="526"/>
      <c r="E60" s="526"/>
      <c r="F60" s="526">
        <f t="shared" si="1"/>
        <v>0</v>
      </c>
      <c r="G60" s="479"/>
      <c r="H60" s="1070"/>
    </row>
    <row r="61" spans="1:8">
      <c r="A61" s="547">
        <v>43</v>
      </c>
      <c r="B61" s="536"/>
      <c r="C61" s="526"/>
      <c r="D61" s="526"/>
      <c r="E61" s="526"/>
      <c r="F61" s="526">
        <f t="shared" si="1"/>
        <v>0</v>
      </c>
      <c r="G61" s="479"/>
      <c r="H61" s="1070"/>
    </row>
    <row r="62" spans="1:8">
      <c r="A62" s="547">
        <v>44</v>
      </c>
      <c r="B62" s="536"/>
      <c r="C62" s="526"/>
      <c r="D62" s="526"/>
      <c r="E62" s="526"/>
      <c r="F62" s="526">
        <f t="shared" si="1"/>
        <v>0</v>
      </c>
      <c r="G62" s="479"/>
      <c r="H62" s="1070"/>
    </row>
    <row r="63" spans="1:8">
      <c r="A63" s="547">
        <v>45</v>
      </c>
      <c r="B63" s="536"/>
      <c r="C63" s="526"/>
      <c r="D63" s="526"/>
      <c r="E63" s="526"/>
      <c r="F63" s="526">
        <f t="shared" si="1"/>
        <v>0</v>
      </c>
      <c r="G63" s="479"/>
      <c r="H63" s="1070"/>
    </row>
    <row r="64" spans="1:8">
      <c r="A64" s="547">
        <v>46</v>
      </c>
      <c r="B64" s="536"/>
      <c r="C64" s="526"/>
      <c r="D64" s="526"/>
      <c r="E64" s="526"/>
      <c r="F64" s="526">
        <f t="shared" si="1"/>
        <v>0</v>
      </c>
      <c r="G64" s="479"/>
      <c r="H64" s="1070"/>
    </row>
    <row r="65" spans="1:8">
      <c r="A65" s="547">
        <v>47</v>
      </c>
      <c r="B65" s="536"/>
      <c r="C65" s="526"/>
      <c r="D65" s="526"/>
      <c r="E65" s="526"/>
      <c r="F65" s="526">
        <f t="shared" si="1"/>
        <v>0</v>
      </c>
      <c r="G65" s="479"/>
      <c r="H65" s="1070"/>
    </row>
    <row r="66" spans="1:8" ht="15.75" thickBot="1">
      <c r="A66" s="1079">
        <v>48</v>
      </c>
      <c r="B66" s="1080" t="s">
        <v>369</v>
      </c>
      <c r="C66" s="528">
        <f>SUM(C33:C65)</f>
        <v>771031.86</v>
      </c>
      <c r="D66" s="528">
        <f>SUM(D33:D65)</f>
        <v>16941527</v>
      </c>
      <c r="E66" s="528">
        <f>SUM(E33:E65)</f>
        <v>17572891</v>
      </c>
      <c r="F66" s="528">
        <f>SUM(F33:F65)</f>
        <v>139667.85999999836</v>
      </c>
      <c r="G66" s="439">
        <f>SUM(G33:G65)</f>
        <v>0</v>
      </c>
      <c r="H66" s="1070"/>
    </row>
    <row r="67" spans="1:8">
      <c r="A67" s="230" t="s">
        <v>4066</v>
      </c>
      <c r="B67" s="230"/>
      <c r="C67" s="230"/>
      <c r="D67" s="230"/>
      <c r="E67" s="230"/>
      <c r="F67" s="230"/>
      <c r="G67" s="230"/>
      <c r="H67" s="1070"/>
    </row>
    <row r="68" spans="1:8" ht="18">
      <c r="A68" s="18" t="s">
        <v>370</v>
      </c>
      <c r="B68" s="18"/>
      <c r="C68" s="18"/>
      <c r="D68" s="18"/>
      <c r="E68" s="18"/>
      <c r="F68" s="18"/>
      <c r="G68" s="18"/>
      <c r="H68" s="1053"/>
    </row>
    <row r="69" spans="1:8" ht="18">
      <c r="A69" s="566"/>
      <c r="B69" s="566"/>
      <c r="C69" s="566"/>
      <c r="D69" s="566"/>
      <c r="E69" s="566"/>
      <c r="F69" s="566"/>
      <c r="G69" s="566"/>
    </row>
    <row r="70" spans="1:8" ht="18">
      <c r="A70" s="566"/>
      <c r="B70" s="566"/>
      <c r="C70" s="566"/>
      <c r="D70" s="566"/>
      <c r="E70" s="566"/>
      <c r="F70" s="566"/>
      <c r="G70" s="566"/>
    </row>
    <row r="71" spans="1:8" ht="18">
      <c r="A71" s="566"/>
      <c r="B71" s="566"/>
      <c r="C71" s="566"/>
      <c r="D71" s="566"/>
      <c r="E71" s="566"/>
      <c r="F71" s="566"/>
      <c r="G71" s="566"/>
    </row>
    <row r="72" spans="1:8" ht="18">
      <c r="A72" s="566"/>
      <c r="B72" s="566"/>
      <c r="C72" s="566"/>
      <c r="D72" s="566"/>
      <c r="E72" s="566"/>
      <c r="F72" s="566"/>
      <c r="G72" s="566"/>
    </row>
    <row r="73" spans="1:8" ht="18">
      <c r="A73" s="566"/>
      <c r="C73" s="566"/>
      <c r="D73" s="566"/>
      <c r="E73" s="566"/>
      <c r="F73" s="566"/>
      <c r="G73" s="566"/>
    </row>
    <row r="74" spans="1:8" ht="18">
      <c r="A74" s="566"/>
      <c r="C74" s="566"/>
      <c r="D74" s="566"/>
      <c r="E74" s="566"/>
      <c r="F74" s="566"/>
      <c r="G74" s="566"/>
    </row>
    <row r="75" spans="1:8" ht="18">
      <c r="A75" s="566"/>
      <c r="B75" s="260"/>
      <c r="C75" s="566"/>
      <c r="E75" s="566"/>
      <c r="F75" s="566"/>
      <c r="G75" s="566"/>
    </row>
    <row r="76" spans="1:8" ht="18">
      <c r="A76" s="566"/>
      <c r="C76" s="566"/>
      <c r="E76" s="566"/>
      <c r="F76" s="566"/>
      <c r="G76" s="566"/>
    </row>
    <row r="77" spans="1:8" ht="18">
      <c r="A77" s="566"/>
      <c r="B77" s="260"/>
      <c r="C77" s="566"/>
      <c r="E77" s="566"/>
      <c r="F77" s="566"/>
      <c r="G77" s="566"/>
    </row>
    <row r="78" spans="1:8" ht="18">
      <c r="A78" s="566"/>
      <c r="B78" s="260"/>
      <c r="C78" s="566"/>
      <c r="E78" s="566"/>
      <c r="F78" s="566"/>
      <c r="G78" s="566"/>
    </row>
    <row r="79" spans="1:8" ht="18">
      <c r="A79" s="566"/>
      <c r="B79" s="260"/>
      <c r="C79" s="566"/>
      <c r="E79" s="566"/>
      <c r="F79" s="566"/>
      <c r="G79" s="566"/>
    </row>
    <row r="80" spans="1:8" ht="18">
      <c r="A80" s="566"/>
      <c r="B80" s="260"/>
      <c r="C80" s="566"/>
      <c r="E80" s="566"/>
      <c r="F80" s="566"/>
      <c r="G80" s="566"/>
    </row>
    <row r="81" spans="1:7" ht="18">
      <c r="A81" s="566"/>
      <c r="B81" s="260"/>
      <c r="C81" s="566"/>
      <c r="E81" s="566"/>
      <c r="F81" s="566"/>
      <c r="G81" s="566"/>
    </row>
    <row r="82" spans="1:7" ht="18">
      <c r="A82" s="566"/>
      <c r="B82" s="230"/>
      <c r="C82" s="566"/>
      <c r="E82" s="566"/>
      <c r="F82" s="566"/>
      <c r="G82" s="566"/>
    </row>
    <row r="83" spans="1:7" ht="18">
      <c r="A83" s="566"/>
      <c r="B83" s="260"/>
      <c r="C83" s="566"/>
      <c r="E83" s="566"/>
      <c r="F83" s="566"/>
      <c r="G83" s="566"/>
    </row>
  </sheetData>
  <customSheetViews>
    <customSheetView guid="{1BA452AD-1A45-4D9C-9666-ADFFA6F2F567}" scale="75" colorId="22" fitToPage="1" topLeftCell="A13">
      <selection activeCell="E33" sqref="E33"/>
      <pageMargins left="0.9" right="0.4" top="0.3" bottom="0.3" header="0" footer="0"/>
      <printOptions horizontalCentered="1" verticalCentered="1"/>
      <pageSetup scale="62" orientation="portrait" r:id="rId1"/>
      <headerFooter alignWithMargins="0"/>
    </customSheetView>
    <customSheetView guid="{EEF7ABD6-0F96-4791-B749-C06F707E7673}" scale="75" colorId="22" fitToPage="1" showRuler="0">
      <selection activeCell="I33" sqref="I33"/>
      <pageMargins left="0.9" right="0.4" top="0.3" bottom="0.3" header="0" footer="0"/>
      <printOptions horizontalCentered="1" verticalCentered="1"/>
      <pageSetup scale="62" orientation="portrait" r:id="rId2"/>
      <headerFooter alignWithMargins="0"/>
    </customSheetView>
    <customSheetView guid="{A7D7DB3C-AFE6-468E-8C6B-9531F6711497}" scale="60" colorId="22" showPageBreaks="1" fitToPage="1" view="pageBreakPreview" showRuler="0">
      <selection activeCell="H5" sqref="H5"/>
      <pageMargins left="0.9" right="0.4" top="0.3" bottom="0.3" header="0" footer="0"/>
      <printOptions horizontalCentered="1" verticalCentered="1"/>
      <pageSetup scale="68" orientation="portrait" r:id="rId3"/>
      <headerFooter alignWithMargins="0"/>
    </customSheetView>
    <customSheetView guid="{4436FEB5-BFEC-4348-9286-CB706802873E}" scale="60" colorId="22" showPageBreaks="1" fitToPage="1" view="pageBreakPreview" showRuler="0">
      <selection activeCell="H5" sqref="H5"/>
      <pageMargins left="0.9" right="0.4" top="0.3" bottom="0.3" header="0" footer="0"/>
      <printOptions horizontalCentered="1" verticalCentered="1"/>
      <pageSetup scale="68" orientation="portrait" r:id="rId4"/>
      <headerFooter alignWithMargins="0"/>
    </customSheetView>
    <customSheetView guid="{044CF00C-469F-44B3-B2C4-9B4049CE70CB}" scale="75" colorId="22" fitToPage="1" showRuler="0">
      <pageMargins left="0.9" right="0.4" top="0.3" bottom="0.3" header="0" footer="0"/>
      <printOptions horizontalCentered="1" verticalCentered="1"/>
      <pageSetup scale="68" orientation="portrait" r:id="rId5"/>
      <headerFooter alignWithMargins="0"/>
    </customSheetView>
    <customSheetView guid="{4826FCC0-BDD6-4B2C-ACC6-ACE271DDF0E3}" scale="75" colorId="22" fitToPage="1" showRuler="0">
      <selection activeCell="D39" sqref="D39"/>
      <pageMargins left="0.9" right="0.4" top="0.3" bottom="0.3" header="0" footer="0"/>
      <printOptions horizontalCentered="1" verticalCentered="1"/>
      <pageSetup scale="62" orientation="portrait" r:id="rId6"/>
      <headerFooter alignWithMargins="0"/>
    </customSheetView>
    <customSheetView guid="{EF376D10-23D6-4FE2-AB5B-4460D52CC93F}" scale="75" colorId="22" fitToPage="1" showRuler="0">
      <selection activeCell="I33" sqref="I33"/>
      <pageMargins left="0.9" right="0.4" top="0.3" bottom="0.3" header="0" footer="0"/>
      <printOptions horizontalCentered="1" verticalCentered="1"/>
      <pageSetup scale="62" orientation="portrait" r:id="rId7"/>
      <headerFooter alignWithMargins="0"/>
    </customSheetView>
    <customSheetView guid="{1C046605-15CE-44F1-BFCD-2CA8588E7ACF}" scale="75" colorId="22" fitToPage="1" showRuler="0" topLeftCell="A28">
      <selection activeCell="F33" sqref="F33"/>
      <pageMargins left="0.9" right="0.4" top="0.3" bottom="0.3" header="0" footer="0"/>
      <printOptions horizontalCentered="1" verticalCentered="1"/>
      <pageSetup scale="62" orientation="portrait" r:id="rId8"/>
      <headerFooter alignWithMargins="0"/>
    </customSheetView>
    <customSheetView guid="{3911D713-188C-46A1-A299-F21DD3B7A146}" scale="75" colorId="22" fitToPage="1" showRuler="0" topLeftCell="A28">
      <selection activeCell="F33" sqref="F33"/>
      <pageMargins left="0.9" right="0.4" top="0.3" bottom="0.3" header="0" footer="0"/>
      <printOptions horizontalCentered="1" verticalCentered="1"/>
      <pageSetup scale="62" orientation="portrait" r:id="rId9"/>
      <headerFooter alignWithMargins="0"/>
    </customSheetView>
    <customSheetView guid="{78BB1E60-60BE-4F56-9763-075185EFEFAB}" scale="75" colorId="22" fitToPage="1" topLeftCell="A13">
      <selection activeCell="E33" sqref="E33"/>
      <pageMargins left="0.9" right="0.4" top="0.3" bottom="0.3" header="0" footer="0"/>
      <printOptions horizontalCentered="1" verticalCentered="1"/>
      <pageSetup scale="62" orientation="portrait" r:id="rId10"/>
      <headerFooter alignWithMargins="0"/>
    </customSheetView>
    <customSheetView guid="{9C30803E-1E2D-4850-B0A5-591CA6F246A1}" scale="75" colorId="22" fitToPage="1" topLeftCell="A7">
      <selection activeCell="D55" sqref="D55"/>
      <pageMargins left="0.9" right="0.4" top="0.3" bottom="0.3" header="0" footer="0"/>
      <printOptions horizontalCentered="1" verticalCentered="1"/>
      <pageSetup scale="62" orientation="portrait" r:id="rId11"/>
      <headerFooter alignWithMargins="0"/>
    </customSheetView>
    <customSheetView guid="{3B1006FF-A2CA-49E7-9B25-DAC8815279AF}" scale="75" colorId="22" fitToPage="1" topLeftCell="A7">
      <selection activeCell="D55" sqref="D55"/>
      <pageMargins left="0.9" right="0.4" top="0.3" bottom="0.3" header="0" footer="0"/>
      <printOptions horizontalCentered="1" verticalCentered="1"/>
      <pageSetup scale="62" orientation="portrait" r:id="rId12"/>
      <headerFooter alignWithMargins="0"/>
    </customSheetView>
    <customSheetView guid="{FB1A60C8-E1F9-4DF0-8E0E-1C965F86027F}" scale="75" colorId="22" fitToPage="1" topLeftCell="A7">
      <selection activeCell="D55" sqref="D55"/>
      <pageMargins left="0.9" right="0.4" top="0.3" bottom="0.3" header="0" footer="0"/>
      <printOptions horizontalCentered="1" verticalCentered="1"/>
      <pageSetup scale="62" orientation="portrait" r:id="rId13"/>
      <headerFooter alignWithMargins="0"/>
    </customSheetView>
    <customSheetView guid="{C5B6D812-CBE6-46AA-99F7-02494E9802B4}" scale="70" colorId="22" fitToPage="1" topLeftCell="A10">
      <selection activeCell="C9" sqref="C9"/>
      <pageMargins left="0.9" right="0.4" top="0.3" bottom="0.3" header="0" footer="0"/>
      <printOptions horizontalCentered="1" verticalCentered="1"/>
      <pageSetup scale="62" orientation="portrait" r:id="rId14"/>
      <headerFooter alignWithMargins="0"/>
    </customSheetView>
  </customSheetViews>
  <phoneticPr fontId="0" type="noConversion"/>
  <printOptions horizontalCentered="1" verticalCentered="1"/>
  <pageMargins left="0.9" right="0.4" top="0.3" bottom="0.3" header="0" footer="0"/>
  <pageSetup scale="62" orientation="portrait" r:id="rId15"/>
  <headerFooter alignWithMargins="0"/>
  <customProperties>
    <customPr name="_pios_id" r:id="rId16"/>
  </customProperties>
</worksheet>
</file>

<file path=xl/worksheets/sheet3.xml><?xml version="1.0" encoding="utf-8"?>
<worksheet xmlns="http://schemas.openxmlformats.org/spreadsheetml/2006/main" xmlns:r="http://schemas.openxmlformats.org/officeDocument/2006/relationships">
  <sheetPr transitionEvaluation="1" codeName="Sheet2" enableFormatConditionsCalculation="0"/>
  <dimension ref="A1:H129"/>
  <sheetViews>
    <sheetView defaultGridColor="0" colorId="22" zoomScale="70" zoomScaleNormal="70" workbookViewId="0"/>
  </sheetViews>
  <sheetFormatPr defaultColWidth="9.77734375" defaultRowHeight="15"/>
  <cols>
    <col min="1" max="1" width="40.77734375" customWidth="1"/>
    <col min="2" max="2" width="2.77734375" customWidth="1"/>
    <col min="3" max="3" width="20.77734375" customWidth="1"/>
    <col min="4" max="4" width="30.77734375" customWidth="1"/>
    <col min="5" max="5" width="4.77734375" customWidth="1"/>
    <col min="6" max="6" width="20.77734375" customWidth="1"/>
  </cols>
  <sheetData>
    <row r="1" spans="1:8" ht="30">
      <c r="A1" s="14" t="s">
        <v>5267</v>
      </c>
      <c r="B1" s="8"/>
      <c r="C1" s="8"/>
      <c r="D1" s="8"/>
      <c r="E1" s="8"/>
      <c r="F1" s="8"/>
      <c r="G1" s="8"/>
    </row>
    <row r="2" spans="1:8" ht="30">
      <c r="A2" s="14" t="s">
        <v>1831</v>
      </c>
      <c r="B2" s="8"/>
      <c r="C2" s="8"/>
      <c r="D2" s="8"/>
      <c r="E2" s="8"/>
      <c r="F2" s="8"/>
      <c r="G2" s="8"/>
    </row>
    <row r="3" spans="1:8" ht="30">
      <c r="A3" s="15"/>
      <c r="B3" s="8"/>
      <c r="C3" s="8"/>
      <c r="D3" s="8"/>
      <c r="E3" s="8"/>
      <c r="F3" s="8"/>
    </row>
    <row r="4" spans="1:8" ht="23.25">
      <c r="A4" s="16" t="s">
        <v>1832</v>
      </c>
      <c r="B4" s="8"/>
      <c r="C4" s="8"/>
      <c r="D4" s="8"/>
      <c r="E4" s="8"/>
      <c r="F4" s="8"/>
    </row>
    <row r="5" spans="1:8" ht="23.25">
      <c r="A5" s="16" t="s">
        <v>1833</v>
      </c>
      <c r="B5" s="8"/>
      <c r="C5" s="8"/>
      <c r="D5" s="8"/>
      <c r="E5" s="8"/>
      <c r="F5" s="8"/>
    </row>
    <row r="6" spans="1:8" ht="23.25">
      <c r="A6" s="17" t="str">
        <f>A47</f>
        <v>Year Ended  December 31, 2013</v>
      </c>
      <c r="B6" s="8"/>
      <c r="C6" s="8"/>
      <c r="D6" s="8"/>
      <c r="E6" s="8"/>
      <c r="F6" s="8"/>
    </row>
    <row r="8" spans="1:8" ht="18">
      <c r="A8" s="18"/>
      <c r="B8" s="18"/>
      <c r="C8" s="18"/>
      <c r="D8" s="18"/>
      <c r="E8" s="18"/>
      <c r="F8" s="18"/>
      <c r="G8" s="18"/>
    </row>
    <row r="9" spans="1:8" ht="23.25">
      <c r="D9" s="19"/>
    </row>
    <row r="10" spans="1:8" ht="23.25">
      <c r="A10" s="20" t="s">
        <v>1834</v>
      </c>
      <c r="D10" s="19"/>
    </row>
    <row r="11" spans="1:8">
      <c r="B11">
        <v>1</v>
      </c>
      <c r="C11" s="1000" t="s">
        <v>61</v>
      </c>
      <c r="D11" s="8"/>
      <c r="E11" s="21"/>
      <c r="F11" s="21"/>
    </row>
    <row r="12" spans="1:8" ht="23.25">
      <c r="C12" s="1003" t="s">
        <v>715</v>
      </c>
      <c r="G12" s="8"/>
      <c r="H12" s="16"/>
    </row>
    <row r="13" spans="1:8" ht="23.25">
      <c r="D13" s="19"/>
      <c r="E13" s="22"/>
      <c r="H13" s="16"/>
    </row>
    <row r="14" spans="1:8" ht="23.25">
      <c r="B14" s="23">
        <v>2</v>
      </c>
      <c r="C14" s="1003" t="s">
        <v>1155</v>
      </c>
      <c r="D14" s="8"/>
      <c r="E14" s="8"/>
      <c r="F14" s="8"/>
      <c r="G14" s="8"/>
      <c r="H14" s="17"/>
    </row>
    <row r="15" spans="1:8" ht="23.25">
      <c r="C15" s="1003" t="s">
        <v>4336</v>
      </c>
      <c r="D15" s="19"/>
    </row>
    <row r="16" spans="1:8" ht="23.25">
      <c r="C16" s="1003" t="s">
        <v>284</v>
      </c>
      <c r="D16" s="19"/>
    </row>
    <row r="18" spans="1:8">
      <c r="F18" s="21"/>
    </row>
    <row r="19" spans="1:8" ht="22.5">
      <c r="A19" s="992"/>
      <c r="B19" s="25"/>
      <c r="C19" s="25"/>
    </row>
    <row r="21" spans="1:8" ht="23.25">
      <c r="D21" s="19"/>
    </row>
    <row r="22" spans="1:8" ht="23.25">
      <c r="D22" s="19"/>
    </row>
    <row r="24" spans="1:8" ht="22.5">
      <c r="A24" s="26"/>
      <c r="B24" s="26"/>
      <c r="C24" s="27"/>
      <c r="D24" s="794" t="s">
        <v>285</v>
      </c>
      <c r="E24" s="27"/>
      <c r="F24" s="28"/>
      <c r="G24" s="28"/>
      <c r="H24" s="28"/>
    </row>
    <row r="25" spans="1:8" ht="18">
      <c r="A25" s="29"/>
      <c r="B25" s="29"/>
      <c r="C25" s="29"/>
      <c r="D25" s="29"/>
      <c r="E25" s="29"/>
      <c r="F25" s="28"/>
      <c r="G25" s="28"/>
      <c r="H25" s="28"/>
    </row>
    <row r="26" spans="1:8" ht="18">
      <c r="A26" s="29"/>
      <c r="B26" s="29"/>
      <c r="C26" s="29"/>
      <c r="D26" s="29"/>
      <c r="E26" s="29"/>
      <c r="F26" s="28"/>
      <c r="G26" s="28"/>
      <c r="H26" s="28"/>
    </row>
    <row r="27" spans="1:8" ht="18">
      <c r="A27" s="31" t="s">
        <v>4372</v>
      </c>
      <c r="B27" s="32"/>
      <c r="C27" s="31"/>
      <c r="D27" s="33" t="s">
        <v>4566</v>
      </c>
      <c r="E27" s="34"/>
      <c r="F27" s="28"/>
      <c r="G27" s="28"/>
      <c r="H27" s="28"/>
    </row>
    <row r="28" spans="1:8" ht="18">
      <c r="A28" s="31"/>
      <c r="B28" s="31"/>
      <c r="C28" s="31"/>
      <c r="D28" s="35"/>
      <c r="E28" s="29"/>
      <c r="F28" s="28"/>
      <c r="G28" s="28"/>
      <c r="H28" s="28"/>
    </row>
    <row r="29" spans="1:8" ht="18">
      <c r="A29" s="31" t="s">
        <v>4374</v>
      </c>
      <c r="B29" s="32"/>
      <c r="C29" s="31"/>
      <c r="D29" s="33" t="s">
        <v>5320</v>
      </c>
      <c r="E29" s="34"/>
      <c r="F29" s="28"/>
      <c r="G29" s="28"/>
      <c r="H29" s="28"/>
    </row>
    <row r="30" spans="1:8" ht="18">
      <c r="A30" s="31"/>
      <c r="B30" s="31"/>
      <c r="C30" s="31"/>
      <c r="D30" s="34"/>
      <c r="E30" s="29"/>
      <c r="F30" s="28"/>
      <c r="G30" s="28"/>
      <c r="H30" s="28"/>
    </row>
    <row r="31" spans="1:8" ht="18">
      <c r="A31" s="31" t="s">
        <v>4376</v>
      </c>
      <c r="B31" s="32"/>
      <c r="C31" s="31"/>
      <c r="D31" s="33" t="s">
        <v>5321</v>
      </c>
      <c r="E31" s="34"/>
      <c r="F31" s="28"/>
      <c r="G31" s="28"/>
      <c r="H31" s="28"/>
    </row>
    <row r="32" spans="1:8" ht="18">
      <c r="A32" s="29"/>
      <c r="B32" s="29"/>
      <c r="C32" s="29"/>
      <c r="D32" s="35"/>
      <c r="E32" s="29"/>
      <c r="F32" s="36" t="s">
        <v>4377</v>
      </c>
      <c r="G32" s="28"/>
      <c r="H32" s="28"/>
    </row>
    <row r="33" spans="1:8" ht="23.25">
      <c r="A33" s="37" t="s">
        <v>4378</v>
      </c>
      <c r="B33" s="38"/>
      <c r="C33" s="795" t="s">
        <v>4379</v>
      </c>
      <c r="D33" s="1004">
        <v>41729</v>
      </c>
      <c r="E33" s="39"/>
      <c r="F33" s="796" t="s">
        <v>1838</v>
      </c>
      <c r="G33" s="40"/>
      <c r="H33" s="40"/>
    </row>
    <row r="34" spans="1:8" ht="23.25">
      <c r="A34" s="41"/>
      <c r="B34" s="41"/>
      <c r="C34" s="41"/>
      <c r="D34" s="41"/>
      <c r="E34" s="39"/>
      <c r="F34" s="42"/>
      <c r="G34" s="40"/>
      <c r="H34" s="40"/>
    </row>
    <row r="35" spans="1:8" ht="18">
      <c r="A35" s="43" t="s">
        <v>3393</v>
      </c>
      <c r="B35" s="43"/>
      <c r="C35" s="43"/>
      <c r="D35" s="1937" t="s">
        <v>5163</v>
      </c>
      <c r="E35" s="34"/>
      <c r="F35" s="44" t="s">
        <v>3394</v>
      </c>
    </row>
    <row r="36" spans="1:8">
      <c r="A36" s="45"/>
      <c r="B36" s="45"/>
      <c r="C36" s="45"/>
      <c r="D36" s="45"/>
      <c r="E36" s="34"/>
      <c r="F36" s="42"/>
    </row>
    <row r="37" spans="1:8">
      <c r="A37" s="34"/>
      <c r="B37" s="34"/>
      <c r="C37" s="34"/>
      <c r="D37" s="46"/>
      <c r="E37" s="34"/>
      <c r="F37" s="42"/>
    </row>
    <row r="38" spans="1:8" ht="18">
      <c r="A38" s="31" t="s">
        <v>2385</v>
      </c>
      <c r="B38" s="31"/>
      <c r="C38" s="32"/>
      <c r="D38" s="1012" t="s">
        <v>5164</v>
      </c>
      <c r="E38" s="34"/>
      <c r="F38" s="44" t="s">
        <v>2386</v>
      </c>
    </row>
    <row r="39" spans="1:8">
      <c r="A39" s="32"/>
      <c r="B39" s="32"/>
      <c r="C39" s="32"/>
      <c r="D39" s="1005" t="s">
        <v>4373</v>
      </c>
      <c r="E39" s="34"/>
      <c r="F39" s="34"/>
    </row>
    <row r="40" spans="1:8" ht="18">
      <c r="A40" s="31" t="s">
        <v>2387</v>
      </c>
      <c r="B40" s="31"/>
      <c r="C40" s="32"/>
      <c r="D40" s="1012" t="s">
        <v>5163</v>
      </c>
      <c r="E40" s="34"/>
      <c r="F40" s="44" t="s">
        <v>3394</v>
      </c>
    </row>
    <row r="41" spans="1:8">
      <c r="A41" s="32"/>
      <c r="B41" s="32"/>
      <c r="C41" s="32"/>
      <c r="D41" s="46" t="s">
        <v>4373</v>
      </c>
      <c r="E41" s="34"/>
      <c r="F41" s="34"/>
    </row>
    <row r="42" spans="1:8" ht="18">
      <c r="A42" s="31" t="s">
        <v>2388</v>
      </c>
      <c r="B42" s="31"/>
      <c r="C42" s="32"/>
      <c r="D42" s="1006">
        <v>41779</v>
      </c>
      <c r="E42" s="34"/>
      <c r="F42" s="44" t="s">
        <v>2389</v>
      </c>
    </row>
    <row r="43" spans="1:8">
      <c r="A43" s="34"/>
      <c r="B43" s="34"/>
      <c r="C43" s="34"/>
      <c r="D43" s="34"/>
      <c r="E43" s="34"/>
    </row>
    <row r="44" spans="1:8">
      <c r="A44" s="34"/>
      <c r="B44" s="34"/>
      <c r="C44" s="34"/>
      <c r="D44" s="34"/>
      <c r="E44" s="34"/>
    </row>
    <row r="45" spans="1:8" ht="18">
      <c r="A45" s="1007" t="str">
        <f>"For the period starting "&amp;D38</f>
        <v>For the period starting January 1, 2013</v>
      </c>
      <c r="B45" s="34"/>
      <c r="C45" s="34"/>
      <c r="D45" s="34"/>
      <c r="E45" s="34"/>
    </row>
    <row r="46" spans="1:8" ht="18">
      <c r="A46" s="1010" t="str">
        <f>"For the period ending "&amp;D40</f>
        <v>For the period ending December 31, 2013</v>
      </c>
      <c r="B46" s="34"/>
      <c r="C46" s="34"/>
      <c r="D46" s="34"/>
      <c r="E46" s="34"/>
    </row>
    <row r="47" spans="1:8" ht="18">
      <c r="A47" s="47" t="str">
        <f>"Year Ended  "&amp;D40</f>
        <v>Year Ended  December 31, 2013</v>
      </c>
      <c r="B47" s="34"/>
      <c r="C47" s="34"/>
      <c r="D47" s="34" t="s">
        <v>4373</v>
      </c>
      <c r="E47" s="34"/>
    </row>
    <row r="48" spans="1:8">
      <c r="A48" s="34"/>
      <c r="B48" s="34"/>
      <c r="C48" s="34"/>
      <c r="D48" s="34"/>
      <c r="E48" s="34"/>
    </row>
    <row r="49" spans="1:5">
      <c r="A49" s="34"/>
      <c r="B49" s="34"/>
      <c r="C49" s="34"/>
      <c r="D49" s="34"/>
      <c r="E49" s="34"/>
    </row>
    <row r="52" spans="1:5">
      <c r="D52" s="1008" t="s">
        <v>4373</v>
      </c>
    </row>
    <row r="53" spans="1:5">
      <c r="A53" s="48" t="str">
        <f>"Annual Report of "&amp;D27&amp;"                                   "&amp;A6</f>
        <v>Annual Report of New York American Water Company, Inc. (f/k/a Long Island Water Corp)                                   Year Ended  December 31, 2013</v>
      </c>
      <c r="B53" s="48"/>
    </row>
    <row r="55" spans="1:5">
      <c r="A55" s="48" t="str">
        <f>"Annual Report of "&amp;D27&amp;"                                   "&amp;A6</f>
        <v>Annual Report of New York American Water Company, Inc. (f/k/a Long Island Water Corp)                                   Year Ended  December 31, 2013</v>
      </c>
      <c r="B55" s="48"/>
    </row>
    <row r="57" spans="1:5">
      <c r="A57" s="48" t="str">
        <f>"Annual Report of "&amp;D27&amp;"                                   "&amp;A6</f>
        <v>Annual Report of New York American Water Company, Inc. (f/k/a Long Island Water Corp)                                   Year Ended  December 31, 2013</v>
      </c>
      <c r="B57" s="48"/>
    </row>
    <row r="59" spans="1:5">
      <c r="A59" s="48" t="str">
        <f>"Annual Report of "&amp;D27&amp;"                                   "&amp;A6</f>
        <v>Annual Report of New York American Water Company, Inc. (f/k/a Long Island Water Corp)                                   Year Ended  December 31, 2013</v>
      </c>
      <c r="B59" s="48"/>
      <c r="D59" s="851"/>
    </row>
    <row r="61" spans="1:5">
      <c r="A61" s="48" t="str">
        <f>"Annual Report of "&amp;D27&amp;"                                    "&amp;A6</f>
        <v>Annual Report of New York American Water Company, Inc. (f/k/a Long Island Water Corp)                                    Year Ended  December 31, 2013</v>
      </c>
      <c r="B61" s="48"/>
    </row>
    <row r="63" spans="1:5">
      <c r="A63" s="48" t="str">
        <f>"Annual Report of "&amp;D27&amp;"                                    "&amp;A6</f>
        <v>Annual Report of New York American Water Company, Inc. (f/k/a Long Island Water Corp)                                    Year Ended  December 31, 2013</v>
      </c>
      <c r="B63" s="48"/>
    </row>
    <row r="65" spans="1:2">
      <c r="A65" s="48" t="str">
        <f>"Annual Report of "&amp;D27&amp;"                                    "&amp;A6</f>
        <v>Annual Report of New York American Water Company, Inc. (f/k/a Long Island Water Corp)                                    Year Ended  December 31, 2013</v>
      </c>
      <c r="B65" s="48"/>
    </row>
    <row r="72" spans="1:2">
      <c r="A72" s="231" t="s">
        <v>4373</v>
      </c>
      <c r="B72" t="s">
        <v>4373</v>
      </c>
    </row>
    <row r="73" spans="1:2">
      <c r="A73" t="s">
        <v>4373</v>
      </c>
    </row>
    <row r="74" spans="1:2">
      <c r="A74" s="231" t="s">
        <v>4373</v>
      </c>
      <c r="B74" s="1009" t="s">
        <v>4373</v>
      </c>
    </row>
    <row r="75" spans="1:2">
      <c r="A75" t="s">
        <v>4373</v>
      </c>
    </row>
    <row r="76" spans="1:2">
      <c r="A76" t="s">
        <v>4373</v>
      </c>
    </row>
    <row r="77" spans="1:2">
      <c r="A77" t="s">
        <v>4373</v>
      </c>
    </row>
    <row r="78" spans="1:2">
      <c r="A78" t="s">
        <v>4373</v>
      </c>
    </row>
    <row r="79" spans="1:2">
      <c r="A79" t="s">
        <v>4373</v>
      </c>
    </row>
    <row r="80" spans="1:2">
      <c r="A80" t="s">
        <v>4373</v>
      </c>
    </row>
    <row r="81" spans="1:1">
      <c r="A81" t="s">
        <v>4373</v>
      </c>
    </row>
    <row r="82" spans="1:1">
      <c r="A82" t="s">
        <v>4373</v>
      </c>
    </row>
    <row r="83" spans="1:1">
      <c r="A83" t="s">
        <v>4373</v>
      </c>
    </row>
    <row r="84" spans="1:1">
      <c r="A84" t="s">
        <v>4373</v>
      </c>
    </row>
    <row r="85" spans="1:1">
      <c r="A85" t="s">
        <v>4373</v>
      </c>
    </row>
    <row r="86" spans="1:1">
      <c r="A86" t="s">
        <v>2390</v>
      </c>
    </row>
    <row r="87" spans="1:1">
      <c r="A87" t="s">
        <v>4373</v>
      </c>
    </row>
    <row r="88" spans="1:1">
      <c r="A88" t="s">
        <v>4373</v>
      </c>
    </row>
    <row r="89" spans="1:1">
      <c r="A89" t="s">
        <v>4373</v>
      </c>
    </row>
    <row r="90" spans="1:1">
      <c r="A90" t="s">
        <v>4373</v>
      </c>
    </row>
    <row r="91" spans="1:1">
      <c r="A91" t="s">
        <v>4373</v>
      </c>
    </row>
    <row r="92" spans="1:1">
      <c r="A92" t="s">
        <v>4373</v>
      </c>
    </row>
    <row r="93" spans="1:1">
      <c r="A93" t="s">
        <v>4373</v>
      </c>
    </row>
    <row r="94" spans="1:1">
      <c r="A94" t="s">
        <v>4373</v>
      </c>
    </row>
    <row r="95" spans="1:1">
      <c r="A95" t="s">
        <v>4373</v>
      </c>
    </row>
    <row r="96" spans="1:1">
      <c r="A96" t="s">
        <v>4373</v>
      </c>
    </row>
    <row r="100" spans="1:1">
      <c r="A100" t="s">
        <v>4373</v>
      </c>
    </row>
    <row r="101" spans="1:1">
      <c r="A101" t="s">
        <v>4373</v>
      </c>
    </row>
    <row r="102" spans="1:1">
      <c r="A102" t="s">
        <v>4373</v>
      </c>
    </row>
    <row r="103" spans="1:1">
      <c r="A103" t="s">
        <v>4373</v>
      </c>
    </row>
    <row r="105" spans="1:1">
      <c r="A105" t="s">
        <v>4373</v>
      </c>
    </row>
    <row r="107" spans="1:1">
      <c r="A107" t="s">
        <v>4373</v>
      </c>
    </row>
    <row r="108" spans="1:1">
      <c r="A108" t="s">
        <v>4373</v>
      </c>
    </row>
    <row r="110" spans="1:1">
      <c r="A110" t="s">
        <v>4373</v>
      </c>
    </row>
    <row r="111" spans="1:1">
      <c r="A111" t="s">
        <v>4373</v>
      </c>
    </row>
    <row r="113" spans="1:1">
      <c r="A113" t="s">
        <v>4373</v>
      </c>
    </row>
    <row r="114" spans="1:1">
      <c r="A114" t="s">
        <v>4373</v>
      </c>
    </row>
    <row r="115" spans="1:1">
      <c r="A115" t="s">
        <v>4373</v>
      </c>
    </row>
    <row r="116" spans="1:1">
      <c r="A116" t="s">
        <v>4373</v>
      </c>
    </row>
    <row r="117" spans="1:1">
      <c r="A117" t="s">
        <v>4373</v>
      </c>
    </row>
    <row r="118" spans="1:1">
      <c r="A118" t="s">
        <v>4373</v>
      </c>
    </row>
    <row r="119" spans="1:1">
      <c r="A119" t="s">
        <v>4373</v>
      </c>
    </row>
    <row r="120" spans="1:1">
      <c r="A120" t="s">
        <v>4373</v>
      </c>
    </row>
    <row r="121" spans="1:1">
      <c r="A121" t="s">
        <v>4373</v>
      </c>
    </row>
    <row r="122" spans="1:1">
      <c r="A122" t="s">
        <v>4373</v>
      </c>
    </row>
    <row r="123" spans="1:1">
      <c r="A123" t="s">
        <v>4373</v>
      </c>
    </row>
    <row r="124" spans="1:1">
      <c r="A124" t="s">
        <v>4373</v>
      </c>
    </row>
    <row r="125" spans="1:1">
      <c r="A125" t="s">
        <v>4373</v>
      </c>
    </row>
    <row r="126" spans="1:1">
      <c r="A126" t="s">
        <v>4373</v>
      </c>
    </row>
    <row r="127" spans="1:1">
      <c r="A127" t="s">
        <v>4373</v>
      </c>
    </row>
    <row r="128" spans="1:1">
      <c r="A128" t="s">
        <v>4373</v>
      </c>
    </row>
    <row r="129" spans="1:1">
      <c r="A129" t="s">
        <v>4373</v>
      </c>
    </row>
  </sheetData>
  <customSheetViews>
    <customSheetView guid="{1BA452AD-1A45-4D9C-9666-ADFFA6F2F567}" scale="75" colorId="22" topLeftCell="A28">
      <selection activeCell="J40" sqref="J40"/>
      <pageMargins left="0.4" right="0.4" top="0.3" bottom="0.3" header="0.5" footer="0.5"/>
      <pageSetup scale="58" orientation="portrait" r:id="rId1"/>
      <headerFooter alignWithMargins="0"/>
    </customSheetView>
    <customSheetView guid="{EEF7ABD6-0F96-4791-B749-C06F707E7673}" scale="87" colorId="22" showRuler="0" topLeftCell="A16">
      <selection activeCell="A2" sqref="A2"/>
      <pageMargins left="0.4" right="0.4" top="0.3" bottom="0.3" header="0.5" footer="0.5"/>
      <pageSetup scale="58" orientation="portrait" r:id="rId2"/>
      <headerFooter alignWithMargins="0"/>
    </customSheetView>
    <customSheetView guid="{A7D7DB3C-AFE6-468E-8C6B-9531F6711497}" scale="87" colorId="22" showPageBreaks="1" printArea="1" showRuler="0">
      <selection activeCell="B1" sqref="B1"/>
      <pageMargins left="0.4" right="0.4" top="0.3" bottom="0.3" header="0.5" footer="0.5"/>
      <pageSetup scale="58" orientation="portrait" r:id="rId3"/>
      <headerFooter alignWithMargins="0"/>
    </customSheetView>
    <customSheetView guid="{4436FEB5-BFEC-4348-9286-CB706802873E}" scale="87" colorId="22" showRuler="0">
      <selection activeCell="B1" sqref="B1"/>
      <pageMargins left="0.4" right="0.4" top="0.3" bottom="0.3" header="0.5" footer="0.5"/>
      <pageSetup scale="58" orientation="portrait" r:id="rId4"/>
      <headerFooter alignWithMargins="0"/>
    </customSheetView>
    <customSheetView guid="{044CF00C-469F-44B3-B2C4-9B4049CE70CB}" scale="87" colorId="22" showRuler="0" topLeftCell="A25">
      <pageMargins left="0.4" right="0.4" top="0.3" bottom="0.3" header="0.5" footer="0.5"/>
      <pageSetup scale="58" orientation="portrait" r:id="rId5"/>
      <headerFooter alignWithMargins="0"/>
    </customSheetView>
    <customSheetView guid="{4826FCC0-BDD6-4B2C-ACC6-ACE271DDF0E3}" scale="87" colorId="22" showRuler="0" topLeftCell="A16">
      <selection activeCell="A2" sqref="A2"/>
      <pageMargins left="0.4" right="0.4" top="0.3" bottom="0.3" header="0.5" footer="0.5"/>
      <pageSetup scale="58" orientation="portrait" r:id="rId6"/>
      <headerFooter alignWithMargins="0"/>
    </customSheetView>
    <customSheetView guid="{EF376D10-23D6-4FE2-AB5B-4460D52CC93F}" scale="87" colorId="22" showRuler="0" topLeftCell="A16">
      <selection activeCell="A2" sqref="A2"/>
      <pageMargins left="0.4" right="0.4" top="0.3" bottom="0.3" header="0.5" footer="0.5"/>
      <pageSetup scale="58" orientation="portrait" r:id="rId7"/>
      <headerFooter alignWithMargins="0"/>
    </customSheetView>
    <customSheetView guid="{1C046605-15CE-44F1-BFCD-2CA8588E7ACF}" scale="87" colorId="22" showRuler="0" topLeftCell="A39">
      <selection activeCell="D36" sqref="D36"/>
      <pageMargins left="0.4" right="0.4" top="0.3" bottom="0.3" header="0.5" footer="0.5"/>
      <pageSetup scale="58" orientation="portrait" r:id="rId8"/>
      <headerFooter alignWithMargins="0"/>
    </customSheetView>
    <customSheetView guid="{3911D713-188C-46A1-A299-F21DD3B7A146}" scale="87" colorId="22" showRuler="0" topLeftCell="A39">
      <selection activeCell="D36" sqref="D36"/>
      <pageMargins left="0.4" right="0.4" top="0.3" bottom="0.3" header="0.5" footer="0.5"/>
      <pageSetup scale="58" orientation="portrait" r:id="rId9"/>
      <headerFooter alignWithMargins="0"/>
    </customSheetView>
    <customSheetView guid="{78BB1E60-60BE-4F56-9763-075185EFEFAB}" scale="75" colorId="22" topLeftCell="A43">
      <selection activeCell="A65" sqref="A65"/>
      <pageMargins left="0.4" right="0.4" top="0.3" bottom="0.3" header="0.5" footer="0.5"/>
      <pageSetup scale="58" orientation="portrait" r:id="rId10"/>
      <headerFooter alignWithMargins="0"/>
    </customSheetView>
    <customSheetView guid="{9C30803E-1E2D-4850-B0A5-591CA6F246A1}" scale="75" colorId="22" topLeftCell="A43">
      <selection activeCell="A65" sqref="A65"/>
      <pageMargins left="0.4" right="0.4" top="0.3" bottom="0.3" header="0.5" footer="0.5"/>
      <pageSetup scale="58" orientation="portrait" r:id="rId11"/>
      <headerFooter alignWithMargins="0"/>
    </customSheetView>
    <customSheetView guid="{3B1006FF-A2CA-49E7-9B25-DAC8815279AF}" scale="75" colorId="22" topLeftCell="A43">
      <selection activeCell="A65" sqref="A65"/>
      <pageMargins left="0.4" right="0.4" top="0.3" bottom="0.3" header="0.5" footer="0.5"/>
      <pageSetup scale="58" orientation="portrait" r:id="rId12"/>
      <headerFooter alignWithMargins="0"/>
    </customSheetView>
    <customSheetView guid="{FB1A60C8-E1F9-4DF0-8E0E-1C965F86027F}" scale="75" colorId="22" topLeftCell="A43">
      <selection activeCell="A65" sqref="A65"/>
      <pageMargins left="0.4" right="0.4" top="0.3" bottom="0.3" header="0.5" footer="0.5"/>
      <pageSetup scale="58" orientation="portrait" r:id="rId13"/>
      <headerFooter alignWithMargins="0"/>
    </customSheetView>
    <customSheetView guid="{C5B6D812-CBE6-46AA-99F7-02494E9802B4}" scale="70" colorId="22" topLeftCell="A3">
      <selection activeCell="C10" sqref="C10"/>
      <pageMargins left="0.4" right="0.4" top="0.3" bottom="0.3" header="0.5" footer="0.5"/>
      <pageSetup scale="58" orientation="portrait" r:id="rId14"/>
      <headerFooter alignWithMargins="0"/>
    </customSheetView>
  </customSheetViews>
  <phoneticPr fontId="0" type="noConversion"/>
  <pageMargins left="0.4" right="0.4" top="0.3" bottom="0.3" header="0.5" footer="0.5"/>
  <pageSetup scale="58" orientation="portrait" r:id="rId15"/>
  <headerFooter alignWithMargins="0"/>
  <customProperties>
    <customPr name="_pios_id" r:id="rId16"/>
  </customProperties>
  <legacyDrawing r:id="rId17"/>
</worksheet>
</file>

<file path=xl/worksheets/sheet30.xml><?xml version="1.0" encoding="utf-8"?>
<worksheet xmlns="http://schemas.openxmlformats.org/spreadsheetml/2006/main" xmlns:r="http://schemas.openxmlformats.org/officeDocument/2006/relationships">
  <sheetPr transitionEvaluation="1" codeName="Sheet30" enableFormatConditionsCalculation="0">
    <pageSetUpPr fitToPage="1"/>
  </sheetPr>
  <dimension ref="A1:N69"/>
  <sheetViews>
    <sheetView defaultGridColor="0" colorId="22" zoomScale="75" zoomScaleNormal="75" zoomScaleSheetLayoutView="70" workbookViewId="0"/>
  </sheetViews>
  <sheetFormatPr defaultColWidth="9.77734375" defaultRowHeight="15"/>
  <cols>
    <col min="1" max="1" width="4.77734375" customWidth="1"/>
    <col min="2" max="2" width="53.5546875" customWidth="1"/>
    <col min="3" max="3" width="18.77734375" customWidth="1"/>
    <col min="4" max="4" width="0" hidden="1" customWidth="1"/>
    <col min="5" max="5" width="18.77734375" customWidth="1"/>
    <col min="6" max="6" width="19.33203125" customWidth="1"/>
    <col min="7" max="7" width="10.33203125" hidden="1" customWidth="1"/>
    <col min="8" max="8" width="0" hidden="1" customWidth="1"/>
    <col min="10" max="10" width="11.88671875" bestFit="1" customWidth="1"/>
    <col min="11" max="12" width="11.6640625" customWidth="1"/>
    <col min="14" max="14" width="11.33203125" bestFit="1" customWidth="1"/>
  </cols>
  <sheetData>
    <row r="1" spans="1:6" ht="15.75" thickBot="1">
      <c r="A1" s="186" t="str">
        <f>'Data sheet'!$A$63</f>
        <v>Annual Report of New York American Water Company, Inc. (f/k/a Long Island Water Corp)                                    Year Ended  December 31, 2013</v>
      </c>
      <c r="E1" s="1633"/>
    </row>
    <row r="2" spans="1:6">
      <c r="A2" s="90"/>
      <c r="B2" s="91"/>
      <c r="C2" s="91"/>
      <c r="D2" s="91"/>
      <c r="E2" s="91"/>
      <c r="F2" s="92"/>
    </row>
    <row r="3" spans="1:6" ht="15.75">
      <c r="A3" s="130" t="s">
        <v>2300</v>
      </c>
      <c r="B3" s="131"/>
      <c r="C3" s="131"/>
      <c r="D3" s="131"/>
      <c r="E3" s="131"/>
      <c r="F3" s="132"/>
    </row>
    <row r="4" spans="1:6">
      <c r="A4" s="136"/>
      <c r="B4" s="293"/>
      <c r="C4" s="293"/>
      <c r="D4" s="293"/>
      <c r="E4" s="141"/>
      <c r="F4" s="294"/>
    </row>
    <row r="5" spans="1:6">
      <c r="A5" s="93" t="s">
        <v>2301</v>
      </c>
      <c r="B5" s="11"/>
      <c r="C5" s="11"/>
      <c r="D5" s="11"/>
      <c r="E5" s="11"/>
      <c r="F5" s="338"/>
    </row>
    <row r="6" spans="1:6">
      <c r="A6" s="93" t="s">
        <v>1953</v>
      </c>
      <c r="B6" s="11"/>
      <c r="C6" s="11"/>
      <c r="D6" s="11"/>
      <c r="E6" s="11"/>
      <c r="F6" s="338"/>
    </row>
    <row r="7" spans="1:6">
      <c r="A7" s="93" t="s">
        <v>1214</v>
      </c>
      <c r="B7" s="11"/>
      <c r="C7" s="11"/>
      <c r="D7" s="11"/>
      <c r="E7" s="11"/>
      <c r="F7" s="338"/>
    </row>
    <row r="8" spans="1:6">
      <c r="A8" s="93" t="s">
        <v>2525</v>
      </c>
      <c r="B8" s="11"/>
      <c r="C8" s="11"/>
      <c r="D8" s="11"/>
      <c r="E8" s="11"/>
      <c r="F8" s="338"/>
    </row>
    <row r="9" spans="1:6">
      <c r="A9" s="93" t="s">
        <v>1039</v>
      </c>
      <c r="B9" s="11"/>
      <c r="C9" s="11"/>
      <c r="D9" s="11"/>
      <c r="E9" s="11"/>
      <c r="F9" s="338"/>
    </row>
    <row r="10" spans="1:6">
      <c r="A10" s="93" t="s">
        <v>1609</v>
      </c>
      <c r="B10" s="11"/>
      <c r="C10" s="11"/>
      <c r="D10" s="11"/>
      <c r="E10" s="11"/>
      <c r="F10" s="338"/>
    </row>
    <row r="11" spans="1:6">
      <c r="A11" s="93" t="s">
        <v>1610</v>
      </c>
      <c r="B11" s="11"/>
      <c r="C11" s="11"/>
      <c r="D11" s="11"/>
      <c r="E11" s="11"/>
      <c r="F11" s="338"/>
    </row>
    <row r="12" spans="1:6">
      <c r="A12" s="93"/>
      <c r="B12" s="11"/>
      <c r="C12" s="11"/>
      <c r="D12" s="11"/>
      <c r="E12" s="11"/>
      <c r="F12" s="338"/>
    </row>
    <row r="13" spans="1:6">
      <c r="A13" s="567"/>
      <c r="B13" s="568"/>
      <c r="C13" s="767" t="s">
        <v>2942</v>
      </c>
      <c r="D13" s="343"/>
      <c r="E13" s="343"/>
      <c r="F13" s="781" t="s">
        <v>1611</v>
      </c>
    </row>
    <row r="14" spans="1:6">
      <c r="A14" s="518" t="s">
        <v>1129</v>
      </c>
      <c r="B14" s="768" t="s">
        <v>1139</v>
      </c>
      <c r="C14" s="769" t="s">
        <v>1612</v>
      </c>
      <c r="D14" s="11"/>
      <c r="E14" s="771" t="s">
        <v>2942</v>
      </c>
      <c r="F14" s="784" t="s">
        <v>1613</v>
      </c>
    </row>
    <row r="15" spans="1:6">
      <c r="A15" s="518" t="s">
        <v>3324</v>
      </c>
      <c r="B15" s="570"/>
      <c r="C15" s="769" t="s">
        <v>2268</v>
      </c>
      <c r="D15" s="11"/>
      <c r="E15" s="771" t="s">
        <v>2423</v>
      </c>
      <c r="F15" s="784" t="s">
        <v>4394</v>
      </c>
    </row>
    <row r="16" spans="1:6">
      <c r="A16" s="571"/>
      <c r="B16" s="768" t="s">
        <v>4032</v>
      </c>
      <c r="C16" s="770" t="s">
        <v>4033</v>
      </c>
      <c r="D16" s="11"/>
      <c r="E16" s="771" t="s">
        <v>4034</v>
      </c>
      <c r="F16" s="782" t="s">
        <v>4035</v>
      </c>
    </row>
    <row r="17" spans="1:14">
      <c r="A17" s="572">
        <v>1</v>
      </c>
      <c r="B17" s="495" t="s">
        <v>2106</v>
      </c>
      <c r="C17" s="2678">
        <v>81870</v>
      </c>
      <c r="D17" s="2031"/>
      <c r="E17" s="2678">
        <v>46815.26</v>
      </c>
      <c r="F17" s="574"/>
    </row>
    <row r="18" spans="1:14">
      <c r="A18" s="572">
        <v>2</v>
      </c>
      <c r="B18" s="495" t="s">
        <v>901</v>
      </c>
      <c r="C18" s="1947"/>
      <c r="D18" s="1947"/>
      <c r="E18" s="1947"/>
      <c r="F18" s="574"/>
    </row>
    <row r="19" spans="1:14">
      <c r="A19" s="572">
        <v>3</v>
      </c>
      <c r="B19" s="495" t="s">
        <v>902</v>
      </c>
      <c r="C19" s="1948"/>
      <c r="D19" s="1948"/>
      <c r="E19" s="1948"/>
      <c r="F19" s="575"/>
    </row>
    <row r="20" spans="1:14">
      <c r="A20" s="572">
        <v>4</v>
      </c>
      <c r="B20" s="495" t="s">
        <v>700</v>
      </c>
      <c r="C20" s="1949"/>
      <c r="D20" s="1949"/>
      <c r="E20" s="1949"/>
      <c r="F20" s="574"/>
    </row>
    <row r="21" spans="1:14">
      <c r="A21" s="572">
        <v>5</v>
      </c>
      <c r="B21" s="495" t="s">
        <v>1679</v>
      </c>
      <c r="C21" s="1943">
        <v>361045.89561234316</v>
      </c>
      <c r="D21" s="1947"/>
      <c r="E21" s="1943">
        <v>219676.52000383142</v>
      </c>
      <c r="F21" s="574"/>
      <c r="H21">
        <f>+C21/G25</f>
        <v>0.56569737044441037</v>
      </c>
    </row>
    <row r="22" spans="1:14">
      <c r="A22" s="572">
        <v>6</v>
      </c>
      <c r="B22" s="495" t="s">
        <v>2874</v>
      </c>
      <c r="C22" s="1947"/>
      <c r="D22" s="1947"/>
      <c r="E22" s="1947"/>
      <c r="F22" s="574"/>
      <c r="J22" s="643"/>
    </row>
    <row r="23" spans="1:14">
      <c r="A23" s="572">
        <v>7</v>
      </c>
      <c r="B23" s="495" t="s">
        <v>761</v>
      </c>
      <c r="C23" s="1943">
        <v>50828.864672762757</v>
      </c>
      <c r="D23" s="1947"/>
      <c r="E23" s="1943">
        <v>30926.567164750963</v>
      </c>
      <c r="F23" s="574"/>
      <c r="G23">
        <v>551839.55000000005</v>
      </c>
      <c r="J23" s="3017"/>
      <c r="K23" s="3017"/>
      <c r="N23" s="1950"/>
    </row>
    <row r="24" spans="1:14">
      <c r="A24" s="572">
        <v>8</v>
      </c>
      <c r="B24" s="495" t="s">
        <v>762</v>
      </c>
      <c r="C24" s="1947"/>
      <c r="D24" s="1947"/>
      <c r="E24" s="1947"/>
      <c r="F24" s="574"/>
      <c r="N24" s="1950"/>
    </row>
    <row r="25" spans="1:14">
      <c r="A25" s="572">
        <v>9</v>
      </c>
      <c r="B25" s="495" t="s">
        <v>763</v>
      </c>
      <c r="C25" s="1943">
        <v>274826.24391313078</v>
      </c>
      <c r="D25" s="1947"/>
      <c r="E25" s="1943">
        <v>167216.64640229885</v>
      </c>
      <c r="F25" s="574"/>
      <c r="G25" s="1029">
        <f>+C21+C25+C26</f>
        <v>638231.52532723721</v>
      </c>
      <c r="H25">
        <f>+C25/G25</f>
        <v>0.43060587421190222</v>
      </c>
      <c r="N25" s="1950"/>
    </row>
    <row r="26" spans="1:14">
      <c r="A26" s="572">
        <v>10</v>
      </c>
      <c r="B26" s="495" t="s">
        <v>764</v>
      </c>
      <c r="C26" s="1943">
        <v>2359.3858017633065</v>
      </c>
      <c r="D26" s="1947"/>
      <c r="E26" s="1943">
        <v>1435.5564291187738</v>
      </c>
      <c r="F26" s="574"/>
      <c r="H26">
        <f>+C26/G25</f>
        <v>3.6967553436875289E-3</v>
      </c>
      <c r="N26" s="1726"/>
    </row>
    <row r="27" spans="1:14">
      <c r="A27" s="572">
        <v>11</v>
      </c>
      <c r="B27" s="495" t="s">
        <v>797</v>
      </c>
      <c r="C27" s="1949">
        <f>SUM(C21:C26)</f>
        <v>689060.3899999999</v>
      </c>
      <c r="D27" s="1949"/>
      <c r="E27" s="1949">
        <f>SUM(E21:E26)</f>
        <v>419255.29000000004</v>
      </c>
      <c r="F27" s="574"/>
    </row>
    <row r="28" spans="1:14">
      <c r="A28" s="572">
        <v>12</v>
      </c>
      <c r="B28" s="495" t="s">
        <v>798</v>
      </c>
      <c r="C28" s="1947"/>
      <c r="D28" s="1947"/>
      <c r="E28" s="1947"/>
      <c r="F28" s="574"/>
      <c r="N28" s="1726"/>
    </row>
    <row r="29" spans="1:14">
      <c r="A29" s="572">
        <v>13</v>
      </c>
      <c r="B29" s="495" t="s">
        <v>799</v>
      </c>
      <c r="C29" s="1793">
        <v>0</v>
      </c>
      <c r="D29" s="2032"/>
      <c r="E29" s="1793">
        <v>0</v>
      </c>
      <c r="F29" s="574"/>
      <c r="N29" s="1726"/>
    </row>
    <row r="30" spans="1:14">
      <c r="A30" s="567">
        <v>14</v>
      </c>
      <c r="B30" s="506"/>
      <c r="C30" s="577"/>
      <c r="D30" s="578"/>
      <c r="E30" s="577"/>
      <c r="F30" s="579"/>
    </row>
    <row r="31" spans="1:14">
      <c r="A31" s="572">
        <v>14</v>
      </c>
      <c r="B31" s="495" t="s">
        <v>810</v>
      </c>
      <c r="C31" s="502"/>
      <c r="D31" s="573"/>
      <c r="E31" s="502"/>
      <c r="F31" s="574"/>
    </row>
    <row r="32" spans="1:14">
      <c r="A32" s="572">
        <v>15</v>
      </c>
      <c r="B32" s="495"/>
      <c r="C32" s="502"/>
      <c r="D32" s="573"/>
      <c r="E32" s="502"/>
      <c r="F32" s="574"/>
    </row>
    <row r="33" spans="1:6">
      <c r="A33" s="572">
        <v>16</v>
      </c>
      <c r="B33" s="495"/>
      <c r="C33" s="502"/>
      <c r="D33" s="573"/>
      <c r="E33" s="502"/>
      <c r="F33" s="574"/>
    </row>
    <row r="34" spans="1:6">
      <c r="A34" s="572">
        <v>17</v>
      </c>
      <c r="B34" s="495"/>
      <c r="C34" s="502"/>
      <c r="D34" s="573"/>
      <c r="E34" s="502"/>
      <c r="F34" s="574"/>
    </row>
    <row r="35" spans="1:6">
      <c r="A35" s="572">
        <v>18</v>
      </c>
      <c r="B35" s="495"/>
      <c r="C35" s="502"/>
      <c r="D35" s="573"/>
      <c r="E35" s="502"/>
      <c r="F35" s="574"/>
    </row>
    <row r="36" spans="1:6" ht="15.75" thickBot="1">
      <c r="A36" s="580">
        <v>19</v>
      </c>
      <c r="B36" s="581" t="s">
        <v>811</v>
      </c>
      <c r="C36" s="582">
        <f>+C17+C27+C29</f>
        <v>770930.3899999999</v>
      </c>
      <c r="D36" s="581"/>
      <c r="E36" s="582">
        <f>SUM(E17:E19)+SUM(E27:E30)+SUM(E31:E35)</f>
        <v>466070.55000000005</v>
      </c>
      <c r="F36" s="583"/>
    </row>
    <row r="37" spans="1:6">
      <c r="A37" s="93"/>
      <c r="B37" s="11"/>
      <c r="C37" s="11"/>
      <c r="D37" s="11"/>
      <c r="E37" s="11"/>
      <c r="F37" s="338"/>
    </row>
    <row r="38" spans="1:6" ht="15.75">
      <c r="A38" s="130" t="s">
        <v>1767</v>
      </c>
      <c r="B38" s="131"/>
      <c r="C38" s="584"/>
      <c r="D38" s="131"/>
      <c r="E38" s="131"/>
      <c r="F38" s="132"/>
    </row>
    <row r="39" spans="1:6" ht="15.75">
      <c r="A39" s="585"/>
      <c r="B39" s="134"/>
      <c r="C39" s="586"/>
      <c r="D39" s="293"/>
      <c r="E39" s="293"/>
      <c r="F39" s="294"/>
    </row>
    <row r="40" spans="1:6">
      <c r="A40" s="400"/>
      <c r="B40" s="466" t="s">
        <v>1768</v>
      </c>
      <c r="C40" s="466"/>
      <c r="D40" s="11"/>
      <c r="E40" s="11"/>
      <c r="F40" s="338"/>
    </row>
    <row r="41" spans="1:6">
      <c r="A41" s="400"/>
      <c r="B41" s="466"/>
      <c r="C41" s="466"/>
      <c r="D41" s="11"/>
      <c r="E41" s="11"/>
      <c r="F41" s="338"/>
    </row>
    <row r="42" spans="1:6">
      <c r="A42" s="400"/>
      <c r="B42" s="11" t="s">
        <v>1052</v>
      </c>
      <c r="C42" s="466"/>
      <c r="D42" s="11"/>
      <c r="E42" s="11"/>
      <c r="F42" s="338"/>
    </row>
    <row r="43" spans="1:6">
      <c r="A43" s="93"/>
      <c r="B43" s="11"/>
      <c r="C43" s="466"/>
      <c r="D43" s="11"/>
      <c r="E43" s="11"/>
      <c r="F43" s="338"/>
    </row>
    <row r="44" spans="1:6">
      <c r="A44" s="587"/>
      <c r="B44" s="343"/>
      <c r="C44" s="588"/>
      <c r="D44" s="11"/>
      <c r="E44" s="343"/>
      <c r="F44" s="785" t="s">
        <v>1053</v>
      </c>
    </row>
    <row r="45" spans="1:6">
      <c r="A45" s="382" t="s">
        <v>2203</v>
      </c>
      <c r="B45" s="131" t="s">
        <v>1054</v>
      </c>
      <c r="C45" s="584"/>
      <c r="D45" s="131"/>
      <c r="E45" s="131"/>
      <c r="F45" s="786" t="s">
        <v>2942</v>
      </c>
    </row>
    <row r="46" spans="1:6">
      <c r="A46" s="589" t="s">
        <v>3992</v>
      </c>
      <c r="B46" s="586" t="s">
        <v>4032</v>
      </c>
      <c r="C46" s="586"/>
      <c r="D46" s="131"/>
      <c r="E46" s="134"/>
      <c r="F46" s="818" t="s">
        <v>4033</v>
      </c>
    </row>
    <row r="47" spans="1:6">
      <c r="A47" s="590">
        <v>1</v>
      </c>
      <c r="B47" s="591" t="s">
        <v>812</v>
      </c>
      <c r="C47" s="592"/>
      <c r="D47" s="293"/>
      <c r="E47" s="293"/>
      <c r="F47" s="2349">
        <v>1100097</v>
      </c>
    </row>
    <row r="48" spans="1:6">
      <c r="A48" s="590">
        <v>2</v>
      </c>
      <c r="B48" s="468" t="s">
        <v>3310</v>
      </c>
      <c r="C48" s="593"/>
      <c r="D48" s="293"/>
      <c r="E48" s="293"/>
      <c r="F48" s="2349">
        <v>-15755</v>
      </c>
    </row>
    <row r="49" spans="1:6">
      <c r="A49" s="590">
        <v>3</v>
      </c>
      <c r="B49" s="468" t="s">
        <v>3379</v>
      </c>
      <c r="C49" s="593"/>
      <c r="D49" s="293"/>
      <c r="E49" s="293"/>
      <c r="F49" s="2349">
        <f>19604+86861-1</f>
        <v>106464</v>
      </c>
    </row>
    <row r="50" spans="1:6">
      <c r="A50" s="590">
        <v>4</v>
      </c>
      <c r="B50" s="468" t="s">
        <v>3478</v>
      </c>
      <c r="C50" s="593"/>
      <c r="D50" s="293"/>
      <c r="E50" s="293"/>
      <c r="F50" s="2349">
        <v>-91342</v>
      </c>
    </row>
    <row r="51" spans="1:6">
      <c r="A51" s="590">
        <v>5</v>
      </c>
      <c r="B51" s="468" t="s">
        <v>1421</v>
      </c>
      <c r="C51" s="593"/>
      <c r="D51" s="293"/>
      <c r="E51" s="293"/>
      <c r="F51" s="2349">
        <v>8784</v>
      </c>
    </row>
    <row r="52" spans="1:6">
      <c r="A52" s="590">
        <v>6</v>
      </c>
      <c r="B52" s="468" t="s">
        <v>3009</v>
      </c>
      <c r="C52" s="593"/>
      <c r="D52" s="293"/>
      <c r="E52" s="293"/>
      <c r="F52" s="594"/>
    </row>
    <row r="53" spans="1:6">
      <c r="A53" s="590">
        <v>7</v>
      </c>
      <c r="B53" s="468"/>
      <c r="C53" s="593"/>
      <c r="D53" s="293"/>
      <c r="E53" s="293"/>
      <c r="F53" s="594"/>
    </row>
    <row r="54" spans="1:6">
      <c r="A54" s="590">
        <v>8</v>
      </c>
      <c r="B54" s="468"/>
      <c r="C54" s="593"/>
      <c r="D54" s="293"/>
      <c r="E54" s="293"/>
      <c r="F54" s="594"/>
    </row>
    <row r="55" spans="1:6">
      <c r="A55" s="590">
        <v>9</v>
      </c>
      <c r="B55" s="468"/>
      <c r="C55" s="593"/>
      <c r="D55" s="293"/>
      <c r="E55" s="293"/>
      <c r="F55" s="594"/>
    </row>
    <row r="56" spans="1:6">
      <c r="A56" s="590">
        <v>10</v>
      </c>
      <c r="B56" s="468"/>
      <c r="C56" s="593"/>
      <c r="D56" s="293"/>
      <c r="E56" s="293"/>
      <c r="F56" s="594"/>
    </row>
    <row r="57" spans="1:6">
      <c r="A57" s="590">
        <v>11</v>
      </c>
      <c r="B57" s="468"/>
      <c r="C57" s="593"/>
      <c r="D57" s="293"/>
      <c r="E57" s="293"/>
      <c r="F57" s="594"/>
    </row>
    <row r="58" spans="1:6">
      <c r="A58" s="590">
        <v>12</v>
      </c>
      <c r="B58" s="468"/>
      <c r="C58" s="593"/>
      <c r="D58" s="293"/>
      <c r="E58" s="293"/>
      <c r="F58" s="594"/>
    </row>
    <row r="59" spans="1:6">
      <c r="A59" s="590">
        <v>13</v>
      </c>
      <c r="B59" s="468" t="s">
        <v>4373</v>
      </c>
      <c r="C59" s="593"/>
      <c r="D59" s="293"/>
      <c r="E59" s="293"/>
      <c r="F59" s="594" t="s">
        <v>4373</v>
      </c>
    </row>
    <row r="60" spans="1:6" ht="15.75" thickBot="1">
      <c r="A60" s="595">
        <v>14</v>
      </c>
      <c r="B60" s="481" t="s">
        <v>4014</v>
      </c>
      <c r="C60" s="596"/>
      <c r="D60" s="138"/>
      <c r="E60" s="138"/>
      <c r="F60" s="597">
        <f>SUM(F47:F59)</f>
        <v>1108248</v>
      </c>
    </row>
    <row r="61" spans="1:6">
      <c r="F61" s="231" t="s">
        <v>4066</v>
      </c>
    </row>
    <row r="62" spans="1:6">
      <c r="A62" s="131" t="s">
        <v>3010</v>
      </c>
      <c r="B62" s="131"/>
      <c r="C62" s="131"/>
      <c r="D62" s="131"/>
      <c r="E62" s="131"/>
      <c r="F62" s="131"/>
    </row>
    <row r="63" spans="1:6">
      <c r="A63" s="131"/>
      <c r="B63" s="131"/>
      <c r="C63" s="131"/>
      <c r="D63" s="131"/>
      <c r="E63" s="131"/>
      <c r="F63" s="131"/>
    </row>
    <row r="64" spans="1:6">
      <c r="A64" s="131"/>
      <c r="B64" s="131"/>
      <c r="C64" s="131"/>
      <c r="D64" s="131"/>
      <c r="E64" s="131"/>
      <c r="F64" s="131"/>
    </row>
    <row r="65" spans="1:6">
      <c r="A65" s="131"/>
      <c r="B65" s="131"/>
      <c r="C65" s="131"/>
      <c r="D65" s="131"/>
      <c r="E65" s="131"/>
      <c r="F65" s="131"/>
    </row>
    <row r="66" spans="1:6">
      <c r="A66" s="131"/>
      <c r="B66" s="131"/>
      <c r="C66" s="131"/>
      <c r="D66" s="131"/>
      <c r="E66" s="131"/>
      <c r="F66" s="131"/>
    </row>
    <row r="67" spans="1:6">
      <c r="A67" s="131"/>
      <c r="B67" s="131"/>
      <c r="C67" s="131"/>
      <c r="D67" s="131"/>
      <c r="E67" s="131"/>
      <c r="F67" s="131"/>
    </row>
    <row r="68" spans="1:6">
      <c r="A68" s="131"/>
      <c r="B68" s="131"/>
      <c r="C68" s="131"/>
      <c r="D68" s="131"/>
      <c r="E68" s="131"/>
      <c r="F68" s="131"/>
    </row>
    <row r="69" spans="1:6">
      <c r="A69" s="131"/>
      <c r="B69" s="131"/>
      <c r="C69" s="131"/>
      <c r="D69" s="131"/>
      <c r="E69" s="131"/>
      <c r="F69" s="131"/>
    </row>
  </sheetData>
  <customSheetViews>
    <customSheetView guid="{1BA452AD-1A45-4D9C-9666-ADFFA6F2F567}" scale="85" colorId="22" showPageBreaks="1" fitToPage="1" printArea="1" hiddenColumns="1" view="pageBreakPreview" topLeftCell="B1">
      <selection activeCell="L37" sqref="L37"/>
      <pageMargins left="0.9" right="0.4" top="0.3" bottom="0.3" header="0" footer="0"/>
      <printOptions horizontalCentered="1" verticalCentered="1"/>
      <pageSetup scale="61" orientation="portrait" r:id="rId1"/>
      <headerFooter alignWithMargins="0"/>
    </customSheetView>
    <customSheetView guid="{EEF7ABD6-0F96-4791-B749-C06F707E7673}" scale="85" colorId="22" showPageBreaks="1" fitToPage="1" printArea="1" hiddenColumns="1" view="pageBreakPreview" showRuler="0" topLeftCell="A13">
      <selection activeCell="F48" sqref="F48"/>
      <pageMargins left="0.9" right="0.4" top="0.3" bottom="0.3" header="0" footer="0"/>
      <printOptions horizontalCentered="1" verticalCentered="1"/>
      <pageSetup scale="63" orientation="portrait" r:id="rId2"/>
      <headerFooter alignWithMargins="0"/>
    </customSheetView>
    <customSheetView guid="{A7D7DB3C-AFE6-468E-8C6B-9531F6711497}" scale="85" colorId="22" showPageBreaks="1" fitToPage="1" printArea="1" hiddenColumns="1" view="pageBreakPreview" showRuler="0">
      <selection activeCell="F51" sqref="F51"/>
      <pageMargins left="0.9" right="0.4" top="0.3" bottom="0.3" header="0" footer="0"/>
      <printOptions horizontalCentered="1" verticalCentered="1"/>
      <pageSetup scale="68" orientation="portrait" r:id="rId3"/>
      <headerFooter alignWithMargins="0"/>
    </customSheetView>
    <customSheetView guid="{4436FEB5-BFEC-4348-9286-CB706802873E}" scale="85" colorId="22" showPageBreaks="1" fitToPage="1" printArea="1" hiddenColumns="1" view="pageBreakPreview" showRuler="0">
      <selection activeCell="F51" sqref="F51"/>
      <pageMargins left="0.9" right="0.4" top="0.3" bottom="0.3" header="0" footer="0"/>
      <printOptions horizontalCentered="1" verticalCentered="1"/>
      <pageSetup scale="68" orientation="portrait" r:id="rId4"/>
      <headerFooter alignWithMargins="0"/>
    </customSheetView>
    <customSheetView guid="{044CF00C-469F-44B3-B2C4-9B4049CE70CB}" scale="75" colorId="22" fitToPage="1" hiddenColumns="1" showRuler="0" topLeftCell="B37">
      <selection activeCell="F50" sqref="F50"/>
      <pageMargins left="0.9" right="0.4" top="0.3" bottom="0.3" header="0" footer="0"/>
      <printOptions horizontalCentered="1" verticalCentered="1"/>
      <pageSetup scale="68" orientation="portrait" r:id="rId5"/>
      <headerFooter alignWithMargins="0"/>
    </customSheetView>
    <customSheetView guid="{4826FCC0-BDD6-4B2C-ACC6-ACE271DDF0E3}" scale="85" colorId="22" showPageBreaks="1" fitToPage="1" printArea="1" hiddenColumns="1" view="pageBreakPreview" showRuler="0" topLeftCell="A16">
      <selection activeCell="J60" sqref="J60"/>
      <pageMargins left="0.9" right="0.4" top="0.3" bottom="0.3" header="0" footer="0"/>
      <printOptions horizontalCentered="1" verticalCentered="1"/>
      <pageSetup scale="63" orientation="portrait" r:id="rId6"/>
      <headerFooter alignWithMargins="0"/>
    </customSheetView>
    <customSheetView guid="{EF376D10-23D6-4FE2-AB5B-4460D52CC93F}" scale="85" colorId="22" showPageBreaks="1" fitToPage="1" printArea="1" hiddenColumns="1" view="pageBreakPreview" showRuler="0" topLeftCell="A13">
      <selection activeCell="F48" sqref="F48"/>
      <pageMargins left="0.9" right="0.4" top="0.3" bottom="0.3" header="0" footer="0"/>
      <printOptions horizontalCentered="1" verticalCentered="1"/>
      <pageSetup scale="63" orientation="portrait" r:id="rId7"/>
      <headerFooter alignWithMargins="0"/>
    </customSheetView>
    <customSheetView guid="{1C046605-15CE-44F1-BFCD-2CA8588E7ACF}" scale="85" colorId="22" showPageBreaks="1" fitToPage="1" printArea="1" hiddenColumns="1" view="pageBreakPreview" showRuler="0" topLeftCell="A25">
      <selection activeCell="F60" sqref="F60"/>
      <pageMargins left="0.9" right="0.4" top="0.3" bottom="0.3" header="0" footer="0"/>
      <printOptions horizontalCentered="1" verticalCentered="1"/>
      <pageSetup scale="63" orientation="portrait" r:id="rId8"/>
      <headerFooter alignWithMargins="0"/>
    </customSheetView>
    <customSheetView guid="{3911D713-188C-46A1-A299-F21DD3B7A146}" scale="85" colorId="22" showPageBreaks="1" fitToPage="1" printArea="1" hiddenColumns="1" view="pageBreakPreview" showRuler="0" topLeftCell="A25">
      <selection activeCell="F60" sqref="F60"/>
      <pageMargins left="0.9" right="0.4" top="0.3" bottom="0.3" header="0" footer="0"/>
      <printOptions horizontalCentered="1" verticalCentered="1"/>
      <pageSetup scale="63" orientation="portrait" r:id="rId9"/>
      <headerFooter alignWithMargins="0"/>
    </customSheetView>
    <customSheetView guid="{78BB1E60-60BE-4F56-9763-075185EFEFAB}" scale="85" colorId="22" showPageBreaks="1" fitToPage="1" printArea="1" hiddenColumns="1" view="pageBreakPreview">
      <selection activeCell="E21" sqref="E21"/>
      <pageMargins left="0.3" right="0.23" top="0.3" bottom="0.3" header="0" footer="0"/>
      <printOptions horizontalCentered="1" verticalCentered="1"/>
      <pageSetup scale="68" orientation="portrait" r:id="rId10"/>
      <headerFooter alignWithMargins="0"/>
    </customSheetView>
    <customSheetView guid="{9C30803E-1E2D-4850-B0A5-591CA6F246A1}" scale="85" colorId="22" showPageBreaks="1" fitToPage="1" printArea="1" hiddenColumns="1" view="pageBreakPreview" topLeftCell="B1">
      <selection activeCell="E21" sqref="E21"/>
      <pageMargins left="0.3" right="0.23" top="0.3" bottom="0.3" header="0" footer="0"/>
      <printOptions horizontalCentered="1" verticalCentered="1"/>
      <pageSetup scale="68" orientation="portrait" r:id="rId11"/>
      <headerFooter alignWithMargins="0"/>
    </customSheetView>
    <customSheetView guid="{3B1006FF-A2CA-49E7-9B25-DAC8815279AF}" scale="85" colorId="22" showPageBreaks="1" fitToPage="1" printArea="1" hiddenColumns="1" view="pageBreakPreview" topLeftCell="B1">
      <selection activeCell="E21" sqref="E21"/>
      <pageMargins left="0.3" right="0.23" top="0.3" bottom="0.3" header="0" footer="0"/>
      <printOptions horizontalCentered="1" verticalCentered="1"/>
      <pageSetup scale="68" orientation="portrait" r:id="rId12"/>
      <headerFooter alignWithMargins="0"/>
    </customSheetView>
    <customSheetView guid="{FB1A60C8-E1F9-4DF0-8E0E-1C965F86027F}" scale="85" colorId="22" showPageBreaks="1" fitToPage="1" printArea="1" hiddenColumns="1" view="pageBreakPreview" topLeftCell="B1">
      <selection activeCell="E21" sqref="E21"/>
      <pageMargins left="0.3" right="0.23" top="0.3" bottom="0.3" header="0" footer="0"/>
      <printOptions horizontalCentered="1" verticalCentered="1"/>
      <pageSetup scale="68" orientation="portrait" r:id="rId13"/>
      <headerFooter alignWithMargins="0"/>
    </customSheetView>
    <customSheetView guid="{C5B6D812-CBE6-46AA-99F7-02494E9802B4}" scale="70" colorId="22" showPageBreaks="1" fitToPage="1" printArea="1" hiddenColumns="1" view="pageBreakPreview" topLeftCell="A34">
      <selection activeCell="C43" sqref="C43"/>
      <pageMargins left="0.3" right="0.23" top="0.3" bottom="0.3" header="0" footer="0"/>
      <printOptions horizontalCentered="1" verticalCentered="1"/>
      <pageSetup scale="68" orientation="portrait" r:id="rId14"/>
      <headerFooter alignWithMargins="0"/>
    </customSheetView>
  </customSheetViews>
  <phoneticPr fontId="0" type="noConversion"/>
  <printOptions horizontalCentered="1" verticalCentered="1"/>
  <pageMargins left="0.3" right="0.23" top="0.3" bottom="0.3" header="0" footer="0"/>
  <pageSetup scale="68" orientation="portrait" r:id="rId15"/>
  <headerFooter alignWithMargins="0"/>
  <customProperties>
    <customPr name="_pios_id" r:id="rId16"/>
  </customProperties>
</worksheet>
</file>

<file path=xl/worksheets/sheet31.xml><?xml version="1.0" encoding="utf-8"?>
<worksheet xmlns="http://schemas.openxmlformats.org/spreadsheetml/2006/main" xmlns:r="http://schemas.openxmlformats.org/officeDocument/2006/relationships">
  <sheetPr transitionEvaluation="1" codeName="Sheet31" enableFormatConditionsCalculation="0">
    <pageSetUpPr fitToPage="1"/>
  </sheetPr>
  <dimension ref="A1:I148"/>
  <sheetViews>
    <sheetView defaultGridColor="0" colorId="22" zoomScale="70" zoomScaleNormal="70" workbookViewId="0"/>
  </sheetViews>
  <sheetFormatPr defaultColWidth="9.77734375" defaultRowHeight="15"/>
  <cols>
    <col min="1" max="1" width="4.77734375" customWidth="1"/>
    <col min="2" max="2" width="45.77734375" customWidth="1"/>
    <col min="3" max="3" width="13.33203125" customWidth="1"/>
    <col min="4" max="4" width="12.77734375" customWidth="1"/>
    <col min="5" max="5" width="7.77734375" customWidth="1"/>
    <col min="6" max="6" width="13.44140625" customWidth="1"/>
    <col min="7" max="7" width="14.33203125" customWidth="1"/>
    <col min="9" max="9" width="15.6640625" style="851" customWidth="1"/>
    <col min="16" max="16" width="15.77734375" bestFit="1" customWidth="1"/>
  </cols>
  <sheetData>
    <row r="1" spans="1:7" ht="15.75" thickBot="1">
      <c r="A1" s="186" t="str">
        <f>'Data sheet'!$A$63</f>
        <v>Annual Report of New York American Water Company, Inc. (f/k/a Long Island Water Corp)                                    Year Ended  December 31, 2013</v>
      </c>
      <c r="E1" s="1633"/>
      <c r="F1" s="1633"/>
    </row>
    <row r="2" spans="1:7">
      <c r="A2" s="142"/>
      <c r="B2" s="143"/>
      <c r="C2" s="143"/>
      <c r="D2" s="143"/>
      <c r="E2" s="143"/>
      <c r="F2" s="91"/>
      <c r="G2" s="144"/>
    </row>
    <row r="3" spans="1:7" ht="15.75">
      <c r="A3" s="130" t="s">
        <v>3011</v>
      </c>
      <c r="B3" s="128"/>
      <c r="C3" s="128"/>
      <c r="D3" s="128"/>
      <c r="E3" s="128"/>
      <c r="F3" s="128"/>
      <c r="G3" s="145"/>
    </row>
    <row r="4" spans="1:7">
      <c r="A4" s="108"/>
      <c r="B4" s="109"/>
      <c r="C4" s="109"/>
      <c r="D4" s="109"/>
      <c r="E4" s="141"/>
      <c r="F4" s="109"/>
      <c r="G4" s="294"/>
    </row>
    <row r="5" spans="1:7">
      <c r="A5" s="96"/>
      <c r="B5" s="829" t="s">
        <v>3012</v>
      </c>
      <c r="C5" s="666" t="s">
        <v>3323</v>
      </c>
      <c r="D5" s="666" t="s">
        <v>3013</v>
      </c>
      <c r="E5" s="160" t="s">
        <v>3014</v>
      </c>
      <c r="F5" s="106"/>
      <c r="G5" s="98"/>
    </row>
    <row r="6" spans="1:7">
      <c r="A6" s="96"/>
      <c r="B6" s="829" t="s">
        <v>3015</v>
      </c>
      <c r="C6" s="666" t="s">
        <v>430</v>
      </c>
      <c r="D6" s="666" t="s">
        <v>1491</v>
      </c>
      <c r="E6" s="412" t="s">
        <v>1492</v>
      </c>
      <c r="F6" s="413"/>
      <c r="G6" s="98"/>
    </row>
    <row r="7" spans="1:7">
      <c r="A7" s="96"/>
      <c r="B7" s="829" t="s">
        <v>1493</v>
      </c>
      <c r="C7" s="666" t="s">
        <v>1494</v>
      </c>
      <c r="D7" s="666" t="s">
        <v>3531</v>
      </c>
      <c r="E7" s="666" t="s">
        <v>1139</v>
      </c>
      <c r="F7" s="107"/>
      <c r="G7" s="462" t="s">
        <v>1062</v>
      </c>
    </row>
    <row r="8" spans="1:7">
      <c r="A8" s="121" t="s">
        <v>1129</v>
      </c>
      <c r="B8" s="829" t="s">
        <v>2949</v>
      </c>
      <c r="C8" s="570"/>
      <c r="D8" s="570"/>
      <c r="E8" s="666" t="s">
        <v>2950</v>
      </c>
      <c r="F8" s="120" t="s">
        <v>430</v>
      </c>
      <c r="G8" s="462" t="s">
        <v>2423</v>
      </c>
    </row>
    <row r="9" spans="1:7">
      <c r="A9" s="411" t="s">
        <v>3324</v>
      </c>
      <c r="B9" s="830" t="s">
        <v>4032</v>
      </c>
      <c r="C9" s="667" t="s">
        <v>4033</v>
      </c>
      <c r="D9" s="667" t="s">
        <v>4034</v>
      </c>
      <c r="E9" s="667" t="s">
        <v>4035</v>
      </c>
      <c r="F9" s="800" t="s">
        <v>2277</v>
      </c>
      <c r="G9" s="458" t="s">
        <v>2278</v>
      </c>
    </row>
    <row r="10" spans="1:7">
      <c r="A10" s="96">
        <v>1</v>
      </c>
      <c r="B10" s="160" t="s">
        <v>177</v>
      </c>
      <c r="C10" s="544"/>
      <c r="D10" s="544"/>
      <c r="E10" s="160"/>
      <c r="F10" s="598"/>
      <c r="G10" s="469"/>
    </row>
    <row r="11" spans="1:7">
      <c r="A11" s="96">
        <v>2</v>
      </c>
      <c r="B11" s="160"/>
      <c r="C11" s="526"/>
      <c r="D11" s="526"/>
      <c r="E11" s="160"/>
      <c r="F11" s="557"/>
      <c r="G11" s="461"/>
    </row>
    <row r="12" spans="1:7">
      <c r="A12" s="96">
        <v>3</v>
      </c>
      <c r="B12" s="160"/>
      <c r="C12" s="526"/>
      <c r="D12" s="526"/>
      <c r="E12" s="160"/>
      <c r="F12" s="557"/>
      <c r="G12" s="461"/>
    </row>
    <row r="13" spans="1:7">
      <c r="A13" s="96">
        <v>4</v>
      </c>
      <c r="B13" s="160"/>
      <c r="C13" s="526"/>
      <c r="D13" s="526"/>
      <c r="E13" s="160"/>
      <c r="F13" s="557"/>
      <c r="G13" s="461"/>
    </row>
    <row r="14" spans="1:7">
      <c r="A14" s="96">
        <v>5</v>
      </c>
      <c r="B14" s="160"/>
      <c r="C14" s="526"/>
      <c r="D14" s="526"/>
      <c r="E14" s="160"/>
      <c r="F14" s="557"/>
      <c r="G14" s="461"/>
    </row>
    <row r="15" spans="1:7">
      <c r="A15" s="96">
        <v>6</v>
      </c>
      <c r="B15" s="160"/>
      <c r="C15" s="526"/>
      <c r="D15" s="526"/>
      <c r="E15" s="160"/>
      <c r="F15" s="557"/>
      <c r="G15" s="461"/>
    </row>
    <row r="16" spans="1:7">
      <c r="A16" s="96">
        <v>7</v>
      </c>
      <c r="B16" s="160"/>
      <c r="C16" s="526"/>
      <c r="D16" s="526"/>
      <c r="E16" s="160"/>
      <c r="F16" s="557"/>
      <c r="G16" s="461"/>
    </row>
    <row r="17" spans="1:9">
      <c r="A17" s="96">
        <v>8</v>
      </c>
      <c r="B17" s="160"/>
      <c r="C17" s="526"/>
      <c r="D17" s="526"/>
      <c r="E17" s="160"/>
      <c r="F17" s="557"/>
      <c r="G17" s="461"/>
    </row>
    <row r="18" spans="1:9">
      <c r="A18" s="96">
        <v>9</v>
      </c>
      <c r="B18" s="160"/>
      <c r="C18" s="526"/>
      <c r="D18" s="526"/>
      <c r="E18" s="160"/>
      <c r="F18" s="557"/>
      <c r="G18" s="461"/>
    </row>
    <row r="19" spans="1:9">
      <c r="A19" s="96">
        <v>10</v>
      </c>
      <c r="B19" s="160"/>
      <c r="C19" s="526"/>
      <c r="D19" s="526"/>
      <c r="E19" s="160"/>
      <c r="F19" s="557"/>
      <c r="G19" s="461"/>
    </row>
    <row r="20" spans="1:9">
      <c r="A20" s="96">
        <v>11</v>
      </c>
      <c r="B20" s="160"/>
      <c r="C20" s="526"/>
      <c r="D20" s="526"/>
      <c r="E20" s="160"/>
      <c r="F20" s="557"/>
      <c r="G20" s="461"/>
    </row>
    <row r="21" spans="1:9">
      <c r="A21" s="96">
        <v>12</v>
      </c>
      <c r="B21" s="160"/>
      <c r="C21" s="526"/>
      <c r="D21" s="526"/>
      <c r="E21" s="160"/>
      <c r="F21" s="557"/>
      <c r="G21" s="461"/>
    </row>
    <row r="22" spans="1:9">
      <c r="A22" s="96">
        <v>13</v>
      </c>
      <c r="B22" s="160"/>
      <c r="C22" s="526"/>
      <c r="D22" s="526"/>
      <c r="E22" s="160"/>
      <c r="F22" s="557"/>
      <c r="G22" s="461"/>
      <c r="I22" s="1938"/>
    </row>
    <row r="23" spans="1:9">
      <c r="A23" s="96">
        <v>14</v>
      </c>
      <c r="B23" s="160"/>
      <c r="C23" s="526"/>
      <c r="D23" s="526"/>
      <c r="E23" s="160"/>
      <c r="F23" s="557"/>
      <c r="G23" s="461"/>
    </row>
    <row r="24" spans="1:9">
      <c r="A24" s="96">
        <v>15</v>
      </c>
      <c r="B24" s="160"/>
      <c r="C24" s="526"/>
      <c r="D24" s="526"/>
      <c r="E24" s="160"/>
      <c r="F24" s="557"/>
      <c r="G24" s="461"/>
    </row>
    <row r="25" spans="1:9">
      <c r="A25" s="96">
        <v>16</v>
      </c>
      <c r="B25" s="167"/>
      <c r="C25" s="524"/>
      <c r="D25" s="524"/>
      <c r="E25" s="167"/>
      <c r="F25" s="599"/>
      <c r="G25" s="457"/>
    </row>
    <row r="26" spans="1:9" ht="15.75" thickBot="1">
      <c r="A26" s="172">
        <v>17</v>
      </c>
      <c r="B26" s="600" t="s">
        <v>2951</v>
      </c>
      <c r="C26" s="529">
        <f>SUM(C10:C25)</f>
        <v>0</v>
      </c>
      <c r="D26" s="529">
        <f>SUM(D10:D25)</f>
        <v>0</v>
      </c>
      <c r="E26" s="601"/>
      <c r="F26" s="602">
        <f>SUM(F10:F25)</f>
        <v>0</v>
      </c>
      <c r="G26" s="473">
        <f>SUM(G10:G25)</f>
        <v>0</v>
      </c>
    </row>
    <row r="27" spans="1:9">
      <c r="A27" s="96"/>
      <c r="B27" s="97"/>
      <c r="C27" s="441"/>
      <c r="D27" s="441"/>
      <c r="E27" s="97"/>
      <c r="F27" s="441"/>
      <c r="G27" s="469"/>
      <c r="I27"/>
    </row>
    <row r="28" spans="1:9" ht="15.75">
      <c r="A28" s="130" t="s">
        <v>2952</v>
      </c>
      <c r="B28" s="128"/>
      <c r="C28" s="128"/>
      <c r="D28" s="128"/>
      <c r="E28" s="128"/>
      <c r="F28" s="128"/>
      <c r="G28" s="145"/>
      <c r="I28"/>
    </row>
    <row r="29" spans="1:9" ht="15.75">
      <c r="A29" s="585"/>
      <c r="B29" s="146"/>
      <c r="C29" s="146"/>
      <c r="D29" s="146"/>
      <c r="E29" s="146"/>
      <c r="F29" s="146"/>
      <c r="G29" s="603"/>
      <c r="I29"/>
    </row>
    <row r="30" spans="1:9">
      <c r="A30" s="96"/>
      <c r="B30" s="829" t="s">
        <v>174</v>
      </c>
      <c r="C30" s="666" t="s">
        <v>175</v>
      </c>
      <c r="D30" s="666" t="s">
        <v>176</v>
      </c>
      <c r="E30" s="160" t="s">
        <v>3014</v>
      </c>
      <c r="F30" s="106"/>
      <c r="G30" s="98"/>
      <c r="I30"/>
    </row>
    <row r="31" spans="1:9">
      <c r="A31" s="96"/>
      <c r="B31" s="829" t="s">
        <v>2592</v>
      </c>
      <c r="C31" s="666" t="s">
        <v>2593</v>
      </c>
      <c r="D31" s="666" t="s">
        <v>1491</v>
      </c>
      <c r="E31" s="412" t="s">
        <v>1492</v>
      </c>
      <c r="F31" s="413"/>
      <c r="G31" s="98"/>
      <c r="I31"/>
    </row>
    <row r="32" spans="1:9">
      <c r="A32" s="121" t="s">
        <v>1129</v>
      </c>
      <c r="B32" s="829" t="s">
        <v>3579</v>
      </c>
      <c r="C32" s="666" t="s">
        <v>3580</v>
      </c>
      <c r="D32" s="666" t="s">
        <v>3531</v>
      </c>
      <c r="E32" s="666" t="s">
        <v>1139</v>
      </c>
      <c r="F32" s="107"/>
      <c r="G32" s="462" t="s">
        <v>1062</v>
      </c>
      <c r="I32"/>
    </row>
    <row r="33" spans="1:9">
      <c r="A33" s="121" t="s">
        <v>3324</v>
      </c>
      <c r="B33" s="829" t="s">
        <v>3581</v>
      </c>
      <c r="C33" s="570"/>
      <c r="D33" s="570"/>
      <c r="E33" s="666" t="s">
        <v>2950</v>
      </c>
      <c r="F33" s="120" t="s">
        <v>430</v>
      </c>
      <c r="G33" s="462" t="s">
        <v>2423</v>
      </c>
      <c r="I33"/>
    </row>
    <row r="34" spans="1:9">
      <c r="A34" s="108"/>
      <c r="B34" s="830" t="s">
        <v>4032</v>
      </c>
      <c r="C34" s="667" t="s">
        <v>4033</v>
      </c>
      <c r="D34" s="667" t="s">
        <v>4034</v>
      </c>
      <c r="E34" s="667" t="s">
        <v>4035</v>
      </c>
      <c r="F34" s="800" t="s">
        <v>2277</v>
      </c>
      <c r="G34" s="458" t="s">
        <v>2278</v>
      </c>
      <c r="I34"/>
    </row>
    <row r="35" spans="1:9">
      <c r="A35" s="96">
        <v>18</v>
      </c>
      <c r="B35" s="160" t="s">
        <v>959</v>
      </c>
      <c r="C35" s="526">
        <v>29431</v>
      </c>
      <c r="D35" s="526" t="s">
        <v>4373</v>
      </c>
      <c r="E35" s="666" t="s">
        <v>4373</v>
      </c>
      <c r="F35" s="557"/>
      <c r="G35" s="1624">
        <f t="shared" ref="G35:G41" si="0">C35+D35-F35</f>
        <v>29431</v>
      </c>
      <c r="I35"/>
    </row>
    <row r="36" spans="1:9">
      <c r="A36" s="96">
        <v>19</v>
      </c>
      <c r="B36" s="160" t="s">
        <v>5171</v>
      </c>
      <c r="C36" s="1065"/>
      <c r="D36" s="1065">
        <v>519849</v>
      </c>
      <c r="E36" s="1622"/>
      <c r="F36" s="1623">
        <v>528541</v>
      </c>
      <c r="G36" s="1624">
        <f t="shared" si="0"/>
        <v>-8692</v>
      </c>
      <c r="H36" s="1781"/>
      <c r="I36"/>
    </row>
    <row r="37" spans="1:9">
      <c r="A37" s="96">
        <v>20</v>
      </c>
      <c r="B37" s="160" t="s">
        <v>3265</v>
      </c>
      <c r="C37" s="1065">
        <v>518784.30999999982</v>
      </c>
      <c r="D37" s="1065">
        <f>4451262+694768-D38</f>
        <v>695774.59999999963</v>
      </c>
      <c r="E37" s="1625"/>
      <c r="F37" s="1623">
        <f>2836903-F38</f>
        <v>1006.8999999999069</v>
      </c>
      <c r="G37" s="1624">
        <f>C37+D37-F37</f>
        <v>1213552.0099999995</v>
      </c>
      <c r="H37" s="1781"/>
      <c r="I37"/>
    </row>
    <row r="38" spans="1:9">
      <c r="A38" s="96">
        <v>21</v>
      </c>
      <c r="B38" s="160" t="s">
        <v>5332</v>
      </c>
      <c r="C38" s="1065">
        <v>1008662.9000000001</v>
      </c>
      <c r="D38" s="1065">
        <v>4450255.4000000004</v>
      </c>
      <c r="E38" s="1625"/>
      <c r="F38" s="1623">
        <v>2835896.1</v>
      </c>
      <c r="G38" s="1624">
        <f t="shared" si="0"/>
        <v>2623022.2000000007</v>
      </c>
      <c r="I38"/>
    </row>
    <row r="39" spans="1:9">
      <c r="A39" s="96">
        <v>22</v>
      </c>
      <c r="B39" s="160" t="s">
        <v>2299</v>
      </c>
      <c r="C39" s="1065">
        <v>343687.88</v>
      </c>
      <c r="D39" s="1065">
        <v>6156221</v>
      </c>
      <c r="E39" s="1625"/>
      <c r="F39" s="1623">
        <f>5684991+814918-748704</f>
        <v>5751205</v>
      </c>
      <c r="G39" s="1624">
        <f>C39+D39-F39</f>
        <v>748703.87999999989</v>
      </c>
      <c r="H39" s="1065"/>
      <c r="I39"/>
    </row>
    <row r="40" spans="1:9">
      <c r="A40" s="96">
        <v>23</v>
      </c>
      <c r="B40" s="160" t="s">
        <v>184</v>
      </c>
      <c r="C40" s="1065">
        <v>174000.04</v>
      </c>
      <c r="D40" s="1065">
        <f>19319-6974-679-169</f>
        <v>11497</v>
      </c>
      <c r="E40" s="1625"/>
      <c r="F40" s="1623">
        <v>77333</v>
      </c>
      <c r="G40" s="1624">
        <f t="shared" si="0"/>
        <v>108164.04000000001</v>
      </c>
      <c r="I40"/>
    </row>
    <row r="41" spans="1:9">
      <c r="A41" s="96">
        <v>24</v>
      </c>
      <c r="B41" s="160" t="s">
        <v>4241</v>
      </c>
      <c r="C41" s="1065">
        <v>238409.58</v>
      </c>
      <c r="D41" s="1065">
        <v>0</v>
      </c>
      <c r="E41" s="1625"/>
      <c r="F41" s="1623">
        <f>32884.08</f>
        <v>32884.080000000002</v>
      </c>
      <c r="G41" s="1624">
        <f t="shared" si="0"/>
        <v>205525.5</v>
      </c>
      <c r="I41"/>
    </row>
    <row r="42" spans="1:9">
      <c r="A42" s="96">
        <v>25</v>
      </c>
      <c r="B42" s="1625" t="s">
        <v>5333</v>
      </c>
      <c r="C42" s="526">
        <v>5517190</v>
      </c>
      <c r="D42" s="1065">
        <v>6269383.8300000001</v>
      </c>
      <c r="E42" s="160"/>
      <c r="F42" s="1623">
        <v>9506502.0899999999</v>
      </c>
      <c r="G42" s="1624">
        <f>C42+D42-F42+J42</f>
        <v>2280071.7400000002</v>
      </c>
      <c r="I42"/>
    </row>
    <row r="43" spans="1:9">
      <c r="A43" s="96">
        <v>26</v>
      </c>
      <c r="B43" s="275"/>
      <c r="C43" s="275"/>
      <c r="D43" s="275"/>
      <c r="E43" s="275"/>
      <c r="F43" s="2200"/>
      <c r="G43" s="2201"/>
      <c r="I43"/>
    </row>
    <row r="44" spans="1:9">
      <c r="A44" s="96">
        <v>27</v>
      </c>
      <c r="B44" s="275"/>
      <c r="C44" s="275"/>
      <c r="D44" s="275"/>
      <c r="E44" s="275"/>
      <c r="F44" s="2200"/>
      <c r="G44" s="2201"/>
      <c r="I44"/>
    </row>
    <row r="45" spans="1:9">
      <c r="A45" s="96">
        <v>28</v>
      </c>
      <c r="B45" s="275"/>
      <c r="C45" s="275"/>
      <c r="D45" s="275"/>
      <c r="E45" s="275"/>
      <c r="F45" s="2200"/>
      <c r="G45" s="2201"/>
      <c r="I45"/>
    </row>
    <row r="46" spans="1:9">
      <c r="A46" s="96">
        <v>29</v>
      </c>
      <c r="B46" s="275"/>
      <c r="C46" s="275"/>
      <c r="D46" s="275"/>
      <c r="E46" s="275"/>
      <c r="F46" s="2200"/>
      <c r="G46" s="2201"/>
      <c r="I46"/>
    </row>
    <row r="47" spans="1:9">
      <c r="A47" s="96">
        <v>30</v>
      </c>
      <c r="B47" s="275"/>
      <c r="C47" s="275"/>
      <c r="D47" s="275"/>
      <c r="E47" s="275"/>
      <c r="F47" s="2200"/>
      <c r="G47" s="2201"/>
      <c r="I47"/>
    </row>
    <row r="48" spans="1:9">
      <c r="A48" s="96">
        <v>31</v>
      </c>
      <c r="B48" s="275"/>
      <c r="C48" s="275"/>
      <c r="D48" s="275"/>
      <c r="E48" s="275"/>
      <c r="F48" s="2200"/>
      <c r="G48" s="2201"/>
    </row>
    <row r="49" spans="1:7">
      <c r="A49" s="96">
        <v>32</v>
      </c>
      <c r="B49" s="275"/>
      <c r="C49" s="275"/>
      <c r="D49" s="275"/>
      <c r="E49" s="275"/>
      <c r="F49" s="2200"/>
      <c r="G49" s="2201"/>
    </row>
    <row r="50" spans="1:7">
      <c r="A50" s="96">
        <v>33</v>
      </c>
      <c r="B50" s="275"/>
      <c r="C50" s="275"/>
      <c r="D50" s="275"/>
      <c r="E50" s="275"/>
      <c r="F50" s="2200"/>
      <c r="G50" s="2201"/>
    </row>
    <row r="51" spans="1:7">
      <c r="A51" s="96">
        <v>34</v>
      </c>
      <c r="B51" s="160"/>
      <c r="C51" s="526"/>
      <c r="D51" s="526"/>
      <c r="E51" s="160"/>
      <c r="F51" s="557"/>
      <c r="G51" s="1624"/>
    </row>
    <row r="52" spans="1:7">
      <c r="A52" s="96">
        <v>35</v>
      </c>
      <c r="B52" s="160" t="s">
        <v>2903</v>
      </c>
      <c r="C52" s="526"/>
      <c r="D52" s="526"/>
      <c r="E52" s="160"/>
      <c r="F52" s="557"/>
      <c r="G52" s="1624"/>
    </row>
    <row r="53" spans="1:7">
      <c r="A53" s="96">
        <v>36</v>
      </c>
      <c r="B53" s="160"/>
      <c r="C53" s="526"/>
      <c r="D53" s="526"/>
      <c r="E53" s="160"/>
      <c r="F53" s="557"/>
      <c r="G53" s="1624"/>
    </row>
    <row r="54" spans="1:7">
      <c r="A54" s="96">
        <v>37</v>
      </c>
      <c r="B54" s="160"/>
      <c r="C54" s="526"/>
      <c r="D54" s="526"/>
      <c r="E54" s="160"/>
      <c r="F54" s="557"/>
      <c r="G54" s="461"/>
    </row>
    <row r="55" spans="1:7">
      <c r="A55" s="96">
        <v>38</v>
      </c>
      <c r="B55" s="160"/>
      <c r="C55" s="526"/>
      <c r="D55" s="526"/>
      <c r="E55" s="160"/>
      <c r="F55" s="557"/>
      <c r="G55" s="461"/>
    </row>
    <row r="56" spans="1:7">
      <c r="A56" s="96">
        <v>39</v>
      </c>
      <c r="B56" s="160"/>
      <c r="C56" s="526"/>
      <c r="D56" s="526"/>
      <c r="E56" s="160"/>
      <c r="F56" s="557"/>
      <c r="G56" s="461"/>
    </row>
    <row r="57" spans="1:7">
      <c r="A57" s="96">
        <v>40</v>
      </c>
      <c r="B57" s="160"/>
      <c r="C57" s="1065"/>
      <c r="D57" s="526"/>
      <c r="E57" s="160"/>
      <c r="F57" s="557"/>
      <c r="G57" s="461"/>
    </row>
    <row r="58" spans="1:7">
      <c r="A58" s="96">
        <v>41</v>
      </c>
      <c r="B58" s="160"/>
      <c r="C58" s="526"/>
      <c r="D58" s="526"/>
      <c r="E58" s="160"/>
      <c r="F58" s="557"/>
      <c r="G58" s="461"/>
    </row>
    <row r="59" spans="1:7">
      <c r="A59" s="96">
        <v>42</v>
      </c>
      <c r="B59" s="160"/>
      <c r="C59" s="526"/>
      <c r="D59" s="526"/>
      <c r="E59" s="160"/>
      <c r="F59" s="557"/>
      <c r="G59" s="461"/>
    </row>
    <row r="60" spans="1:7">
      <c r="A60" s="96">
        <v>43</v>
      </c>
      <c r="B60" s="160"/>
      <c r="C60" s="526"/>
      <c r="D60" s="526"/>
      <c r="E60" s="160"/>
      <c r="F60" s="557"/>
      <c r="G60" s="461"/>
    </row>
    <row r="61" spans="1:7">
      <c r="A61" s="96">
        <v>44</v>
      </c>
      <c r="B61" s="160"/>
      <c r="C61" s="526"/>
      <c r="D61" s="526"/>
      <c r="E61" s="160"/>
      <c r="F61" s="557"/>
      <c r="G61" s="461"/>
    </row>
    <row r="62" spans="1:7">
      <c r="A62" s="96">
        <v>45</v>
      </c>
      <c r="B62" s="167"/>
      <c r="C62" s="524"/>
      <c r="D62" s="524"/>
      <c r="E62" s="167"/>
      <c r="F62" s="599"/>
      <c r="G62" s="457"/>
    </row>
    <row r="63" spans="1:7" ht="15.75" thickBot="1">
      <c r="A63" s="172">
        <v>46</v>
      </c>
      <c r="B63" s="604" t="s">
        <v>2951</v>
      </c>
      <c r="C63" s="529">
        <f>SUM(C35:C62)</f>
        <v>7830165.71</v>
      </c>
      <c r="D63" s="529">
        <f>SUM(D35:D62)</f>
        <v>18102980.829999998</v>
      </c>
      <c r="E63" s="605"/>
      <c r="F63" s="613">
        <f>SUM(F35:F62)</f>
        <v>18733368.170000002</v>
      </c>
      <c r="G63" s="2202">
        <f>SUM(G35:G62)</f>
        <v>7199778.3700000001</v>
      </c>
    </row>
    <row r="64" spans="1:7">
      <c r="A64" s="97" t="s">
        <v>4066</v>
      </c>
      <c r="B64" s="97"/>
      <c r="C64" s="97"/>
      <c r="D64" s="97"/>
      <c r="E64" s="97"/>
      <c r="F64" s="97"/>
      <c r="G64" s="97"/>
    </row>
    <row r="65" spans="1:9">
      <c r="A65" s="128" t="s">
        <v>3582</v>
      </c>
      <c r="B65" s="128"/>
      <c r="C65" s="128"/>
      <c r="D65" s="128"/>
      <c r="E65" s="128"/>
      <c r="F65" s="128"/>
      <c r="G65" s="128"/>
    </row>
    <row r="66" spans="1:9">
      <c r="I66"/>
    </row>
    <row r="67" spans="1:9">
      <c r="I67"/>
    </row>
    <row r="68" spans="1:9">
      <c r="I68"/>
    </row>
    <row r="69" spans="1:9">
      <c r="I69"/>
    </row>
    <row r="70" spans="1:9">
      <c r="I70"/>
    </row>
    <row r="71" spans="1:9">
      <c r="I71"/>
    </row>
    <row r="72" spans="1:9">
      <c r="I72"/>
    </row>
    <row r="73" spans="1:9">
      <c r="I73"/>
    </row>
    <row r="74" spans="1:9">
      <c r="I74"/>
    </row>
    <row r="75" spans="1:9">
      <c r="I75"/>
    </row>
    <row r="76" spans="1:9">
      <c r="I76"/>
    </row>
    <row r="77" spans="1:9">
      <c r="I77"/>
    </row>
    <row r="78" spans="1:9">
      <c r="A78" s="97"/>
      <c r="B78" s="97"/>
      <c r="C78" s="97"/>
      <c r="D78" s="97"/>
      <c r="E78" s="97"/>
      <c r="F78" s="97"/>
      <c r="G78" s="97"/>
    </row>
    <row r="79" spans="1:9">
      <c r="A79" s="97"/>
      <c r="B79" s="97"/>
      <c r="C79" s="97"/>
      <c r="D79" s="97"/>
      <c r="E79" s="97"/>
      <c r="F79" s="97"/>
      <c r="G79" s="97"/>
    </row>
    <row r="80" spans="1:9">
      <c r="A80" s="97"/>
      <c r="B80" s="97"/>
      <c r="C80" s="97"/>
      <c r="D80" s="97"/>
      <c r="E80" s="97"/>
      <c r="F80" s="97"/>
      <c r="G80" s="97"/>
    </row>
    <row r="81" spans="1:7">
      <c r="A81" s="97"/>
      <c r="B81" s="97"/>
      <c r="C81" s="97"/>
      <c r="D81" s="97"/>
      <c r="E81" s="97"/>
      <c r="F81" s="97"/>
      <c r="G81" s="97"/>
    </row>
    <row r="82" spans="1:7">
      <c r="A82" s="97"/>
      <c r="B82" s="97"/>
      <c r="C82" s="97"/>
      <c r="D82" s="97"/>
      <c r="E82" s="97"/>
      <c r="F82" s="97"/>
      <c r="G82" s="97"/>
    </row>
    <row r="83" spans="1:7">
      <c r="A83" s="97"/>
      <c r="B83" s="97"/>
      <c r="C83" s="97"/>
      <c r="D83" s="97"/>
      <c r="E83" s="97"/>
      <c r="F83" s="97"/>
      <c r="G83" s="97"/>
    </row>
    <row r="84" spans="1:7">
      <c r="A84" s="97"/>
      <c r="B84" s="97"/>
      <c r="C84" s="97"/>
      <c r="D84" s="97"/>
      <c r="E84" s="97"/>
      <c r="F84" s="97"/>
      <c r="G84" s="97"/>
    </row>
    <row r="85" spans="1:7">
      <c r="A85" s="97"/>
      <c r="B85" s="97"/>
      <c r="C85" s="97"/>
      <c r="D85" s="97"/>
      <c r="E85" s="97"/>
      <c r="F85" s="97"/>
      <c r="G85" s="97"/>
    </row>
    <row r="86" spans="1:7">
      <c r="A86" s="97"/>
      <c r="B86" s="97"/>
      <c r="C86" s="97"/>
      <c r="D86" s="97"/>
      <c r="E86" s="97"/>
      <c r="F86" s="97"/>
      <c r="G86" s="97"/>
    </row>
    <row r="87" spans="1:7">
      <c r="A87" s="97"/>
      <c r="B87" s="97"/>
      <c r="C87" s="97"/>
      <c r="D87" s="97"/>
      <c r="E87" s="97"/>
      <c r="F87" s="97"/>
      <c r="G87" s="97"/>
    </row>
    <row r="88" spans="1:7">
      <c r="A88" s="97"/>
      <c r="B88" s="97"/>
      <c r="C88" s="97"/>
      <c r="D88" s="97"/>
      <c r="E88" s="97"/>
      <c r="F88" s="97"/>
      <c r="G88" s="97"/>
    </row>
    <row r="89" spans="1:7">
      <c r="A89" s="97"/>
      <c r="B89" s="97"/>
      <c r="C89" s="97"/>
      <c r="D89" s="97"/>
      <c r="E89" s="97"/>
      <c r="F89" s="97"/>
      <c r="G89" s="97"/>
    </row>
    <row r="90" spans="1:7">
      <c r="A90" s="97"/>
      <c r="B90" s="97"/>
      <c r="C90" s="97"/>
      <c r="D90" s="97"/>
      <c r="E90" s="97"/>
      <c r="F90" s="97"/>
      <c r="G90" s="97"/>
    </row>
    <row r="91" spans="1:7">
      <c r="A91" s="97"/>
      <c r="B91" s="97"/>
      <c r="C91" s="97"/>
      <c r="D91" s="97"/>
      <c r="E91" s="97"/>
      <c r="F91" s="97"/>
      <c r="G91" s="97"/>
    </row>
    <row r="92" spans="1:7">
      <c r="A92" s="97"/>
      <c r="B92" s="97"/>
      <c r="C92" s="97"/>
      <c r="D92" s="97"/>
      <c r="E92" s="97"/>
      <c r="F92" s="97"/>
      <c r="G92" s="97"/>
    </row>
    <row r="93" spans="1:7">
      <c r="A93" s="97"/>
      <c r="B93" s="97"/>
      <c r="C93" s="97"/>
      <c r="D93" s="97"/>
      <c r="E93" s="97"/>
      <c r="F93" s="97"/>
      <c r="G93" s="97"/>
    </row>
    <row r="94" spans="1:7">
      <c r="A94" s="97"/>
      <c r="B94" s="97"/>
      <c r="C94" s="97"/>
      <c r="D94" s="97"/>
      <c r="E94" s="97"/>
      <c r="F94" s="97"/>
      <c r="G94" s="97"/>
    </row>
    <row r="95" spans="1:7">
      <c r="A95" s="97"/>
      <c r="B95" s="97"/>
      <c r="C95" s="97"/>
      <c r="D95" s="97"/>
      <c r="E95" s="97"/>
      <c r="F95" s="97"/>
      <c r="G95" s="97"/>
    </row>
    <row r="96" spans="1:7">
      <c r="A96" s="97"/>
      <c r="B96" s="97"/>
      <c r="C96" s="97"/>
      <c r="D96" s="97"/>
      <c r="E96" s="97"/>
      <c r="F96" s="97"/>
      <c r="G96" s="97"/>
    </row>
    <row r="97" spans="1:7">
      <c r="A97" s="97"/>
      <c r="B97" s="97"/>
      <c r="C97" s="97"/>
      <c r="D97" s="97"/>
      <c r="E97" s="97"/>
      <c r="F97" s="97"/>
      <c r="G97" s="97"/>
    </row>
    <row r="98" spans="1:7">
      <c r="A98" s="97"/>
      <c r="B98" s="97"/>
      <c r="C98" s="97"/>
      <c r="D98" s="97"/>
      <c r="E98" s="97"/>
      <c r="F98" s="97"/>
      <c r="G98" s="97"/>
    </row>
    <row r="99" spans="1:7">
      <c r="A99" s="97"/>
      <c r="B99" s="97"/>
      <c r="C99" s="97"/>
      <c r="D99" s="97"/>
      <c r="E99" s="97"/>
      <c r="F99" s="97"/>
      <c r="G99" s="97"/>
    </row>
    <row r="100" spans="1:7">
      <c r="A100" s="97"/>
      <c r="B100" s="97"/>
      <c r="C100" s="97"/>
      <c r="D100" s="97"/>
      <c r="E100" s="97"/>
      <c r="F100" s="97"/>
      <c r="G100" s="97"/>
    </row>
    <row r="101" spans="1:7">
      <c r="A101" s="97"/>
      <c r="B101" s="97"/>
      <c r="C101" s="97"/>
      <c r="D101" s="97"/>
      <c r="E101" s="97"/>
      <c r="F101" s="97"/>
      <c r="G101" s="97"/>
    </row>
    <row r="102" spans="1:7">
      <c r="A102" s="97"/>
      <c r="B102" s="97"/>
      <c r="C102" s="97"/>
      <c r="D102" s="97"/>
      <c r="E102" s="97"/>
      <c r="F102" s="97"/>
      <c r="G102" s="97"/>
    </row>
    <row r="103" spans="1:7">
      <c r="A103" s="97"/>
      <c r="B103" s="97"/>
      <c r="C103" s="97"/>
      <c r="D103" s="97"/>
      <c r="E103" s="97"/>
      <c r="F103" s="97"/>
      <c r="G103" s="97"/>
    </row>
    <row r="104" spans="1:7">
      <c r="A104" s="97"/>
      <c r="B104" s="97"/>
      <c r="C104" s="97"/>
      <c r="D104" s="97"/>
      <c r="E104" s="97"/>
      <c r="F104" s="97"/>
      <c r="G104" s="97"/>
    </row>
    <row r="105" spans="1:7">
      <c r="A105" s="97"/>
      <c r="B105" s="97"/>
      <c r="C105" s="97"/>
      <c r="D105" s="97"/>
      <c r="E105" s="97"/>
      <c r="F105" s="97"/>
      <c r="G105" s="97"/>
    </row>
    <row r="106" spans="1:7">
      <c r="A106" s="97"/>
      <c r="B106" s="97"/>
      <c r="C106" s="97"/>
      <c r="D106" s="97"/>
      <c r="E106" s="97"/>
      <c r="F106" s="97"/>
      <c r="G106" s="97"/>
    </row>
    <row r="107" spans="1:7">
      <c r="A107" s="97"/>
      <c r="B107" s="97"/>
      <c r="C107" s="97"/>
      <c r="D107" s="97"/>
      <c r="E107" s="97"/>
      <c r="F107" s="97"/>
      <c r="G107" s="97"/>
    </row>
    <row r="108" spans="1:7">
      <c r="A108" s="97"/>
      <c r="B108" s="97"/>
      <c r="C108" s="97"/>
      <c r="D108" s="97"/>
      <c r="E108" s="97"/>
      <c r="F108" s="97"/>
      <c r="G108" s="97"/>
    </row>
    <row r="109" spans="1:7">
      <c r="A109" s="97"/>
      <c r="B109" s="97"/>
      <c r="C109" s="97"/>
      <c r="D109" s="97"/>
      <c r="E109" s="97"/>
      <c r="F109" s="97"/>
      <c r="G109" s="97"/>
    </row>
    <row r="110" spans="1:7">
      <c r="A110" s="97"/>
      <c r="B110" s="97"/>
      <c r="C110" s="97"/>
      <c r="D110" s="97"/>
      <c r="E110" s="97"/>
      <c r="F110" s="97"/>
      <c r="G110" s="97"/>
    </row>
    <row r="111" spans="1:7">
      <c r="A111" s="97"/>
      <c r="B111" s="97"/>
      <c r="C111" s="97"/>
      <c r="D111" s="97"/>
      <c r="E111" s="97"/>
      <c r="F111" s="97"/>
      <c r="G111" s="97"/>
    </row>
    <row r="112" spans="1:7">
      <c r="A112" s="97"/>
      <c r="B112" s="97"/>
      <c r="C112" s="97"/>
      <c r="D112" s="97"/>
      <c r="E112" s="97"/>
      <c r="F112" s="97"/>
      <c r="G112" s="97"/>
    </row>
    <row r="113" spans="1:7">
      <c r="A113" s="97"/>
      <c r="B113" s="97"/>
      <c r="C113" s="97"/>
      <c r="D113" s="97"/>
      <c r="E113" s="97"/>
      <c r="F113" s="97"/>
      <c r="G113" s="97"/>
    </row>
    <row r="114" spans="1:7">
      <c r="A114" s="97"/>
      <c r="B114" s="97"/>
      <c r="C114" s="97"/>
      <c r="D114" s="97"/>
      <c r="E114" s="97"/>
      <c r="F114" s="97"/>
      <c r="G114" s="97"/>
    </row>
    <row r="115" spans="1:7">
      <c r="A115" s="97"/>
      <c r="B115" s="97"/>
      <c r="C115" s="97"/>
      <c r="D115" s="97"/>
      <c r="E115" s="97"/>
      <c r="F115" s="97"/>
      <c r="G115" s="97"/>
    </row>
    <row r="116" spans="1:7">
      <c r="A116" s="97"/>
      <c r="B116" s="97"/>
      <c r="C116" s="97"/>
      <c r="D116" s="97"/>
      <c r="E116" s="97"/>
      <c r="F116" s="97"/>
      <c r="G116" s="97"/>
    </row>
    <row r="117" spans="1:7">
      <c r="A117" s="97"/>
      <c r="B117" s="97"/>
      <c r="C117" s="97"/>
      <c r="D117" s="97"/>
      <c r="E117" s="97"/>
      <c r="F117" s="97"/>
      <c r="G117" s="97"/>
    </row>
    <row r="118" spans="1:7">
      <c r="A118" s="97"/>
      <c r="B118" s="97"/>
      <c r="C118" s="97"/>
      <c r="D118" s="97"/>
      <c r="E118" s="97"/>
      <c r="F118" s="97"/>
      <c r="G118" s="97"/>
    </row>
    <row r="119" spans="1:7">
      <c r="A119" s="97"/>
      <c r="B119" s="97"/>
      <c r="C119" s="97"/>
      <c r="D119" s="97"/>
      <c r="E119" s="97"/>
      <c r="F119" s="97"/>
      <c r="G119" s="97"/>
    </row>
    <row r="120" spans="1:7">
      <c r="A120" s="97"/>
      <c r="B120" s="97"/>
      <c r="C120" s="97"/>
      <c r="D120" s="97"/>
      <c r="E120" s="97"/>
      <c r="F120" s="97"/>
      <c r="G120" s="97"/>
    </row>
    <row r="121" spans="1:7">
      <c r="A121" s="97"/>
      <c r="B121" s="97"/>
      <c r="C121" s="97"/>
      <c r="D121" s="97"/>
      <c r="E121" s="97"/>
      <c r="F121" s="97"/>
      <c r="G121" s="97"/>
    </row>
    <row r="122" spans="1:7">
      <c r="A122" s="97"/>
      <c r="B122" s="97"/>
      <c r="C122" s="97"/>
      <c r="D122" s="97"/>
      <c r="E122" s="97"/>
      <c r="F122" s="97"/>
      <c r="G122" s="97"/>
    </row>
    <row r="123" spans="1:7">
      <c r="A123" s="97"/>
      <c r="B123" s="97"/>
      <c r="C123" s="97"/>
      <c r="D123" s="97"/>
      <c r="E123" s="97"/>
      <c r="F123" s="97"/>
      <c r="G123" s="97"/>
    </row>
    <row r="124" spans="1:7">
      <c r="A124" s="97"/>
      <c r="B124" s="97"/>
      <c r="C124" s="97"/>
      <c r="D124" s="97"/>
      <c r="E124" s="97"/>
      <c r="F124" s="97"/>
      <c r="G124" s="97"/>
    </row>
    <row r="125" spans="1:7">
      <c r="A125" s="97"/>
      <c r="B125" s="97"/>
      <c r="C125" s="97"/>
      <c r="D125" s="97"/>
      <c r="E125" s="97"/>
      <c r="F125" s="97"/>
      <c r="G125" s="97"/>
    </row>
    <row r="126" spans="1:7">
      <c r="A126" s="97"/>
      <c r="B126" s="97"/>
      <c r="C126" s="97"/>
      <c r="D126" s="97"/>
      <c r="E126" s="97"/>
      <c r="F126" s="97"/>
      <c r="G126" s="97"/>
    </row>
    <row r="127" spans="1:7">
      <c r="A127" s="97"/>
      <c r="B127" s="97"/>
      <c r="C127" s="97"/>
      <c r="D127" s="97"/>
      <c r="E127" s="97"/>
      <c r="F127" s="97"/>
      <c r="G127" s="97"/>
    </row>
    <row r="128" spans="1:7">
      <c r="A128" s="97"/>
      <c r="B128" s="97"/>
      <c r="C128" s="97"/>
      <c r="D128" s="97"/>
      <c r="E128" s="97"/>
      <c r="F128" s="97"/>
      <c r="G128" s="97"/>
    </row>
    <row r="129" spans="1:7">
      <c r="A129" s="97"/>
      <c r="B129" s="97"/>
      <c r="C129" s="97"/>
      <c r="D129" s="97"/>
      <c r="E129" s="97"/>
      <c r="F129" s="97"/>
      <c r="G129" s="97"/>
    </row>
    <row r="130" spans="1:7">
      <c r="A130" s="97"/>
      <c r="B130" s="97"/>
      <c r="C130" s="97"/>
      <c r="D130" s="97"/>
      <c r="E130" s="97"/>
      <c r="F130" s="97"/>
      <c r="G130" s="97"/>
    </row>
    <row r="131" spans="1:7">
      <c r="A131" s="97"/>
      <c r="B131" s="97"/>
      <c r="C131" s="97"/>
      <c r="D131" s="97"/>
      <c r="E131" s="97"/>
      <c r="F131" s="97"/>
      <c r="G131" s="97"/>
    </row>
    <row r="132" spans="1:7">
      <c r="A132" s="97"/>
      <c r="B132" s="97"/>
      <c r="C132" s="97"/>
      <c r="D132" s="97"/>
      <c r="E132" s="97"/>
      <c r="F132" s="97"/>
      <c r="G132" s="97"/>
    </row>
    <row r="133" spans="1:7">
      <c r="A133" s="97"/>
      <c r="B133" s="97"/>
      <c r="C133" s="97"/>
      <c r="D133" s="97"/>
      <c r="E133" s="97"/>
      <c r="F133" s="97"/>
      <c r="G133" s="97"/>
    </row>
    <row r="134" spans="1:7">
      <c r="A134" s="97"/>
      <c r="B134" s="97"/>
      <c r="C134" s="97"/>
      <c r="D134" s="97"/>
      <c r="E134" s="97"/>
      <c r="F134" s="97"/>
      <c r="G134" s="97"/>
    </row>
    <row r="135" spans="1:7">
      <c r="A135" s="97"/>
      <c r="B135" s="97"/>
      <c r="C135" s="97"/>
      <c r="D135" s="97"/>
      <c r="E135" s="97"/>
      <c r="F135" s="97"/>
      <c r="G135" s="97"/>
    </row>
    <row r="136" spans="1:7">
      <c r="A136" s="97"/>
      <c r="B136" s="97"/>
      <c r="C136" s="97"/>
      <c r="D136" s="97"/>
      <c r="E136" s="97"/>
      <c r="F136" s="97"/>
      <c r="G136" s="97"/>
    </row>
    <row r="137" spans="1:7">
      <c r="A137" s="97"/>
      <c r="B137" s="97"/>
      <c r="C137" s="97"/>
      <c r="D137" s="97"/>
      <c r="E137" s="97"/>
      <c r="F137" s="97"/>
      <c r="G137" s="97"/>
    </row>
    <row r="138" spans="1:7">
      <c r="A138" s="97"/>
      <c r="B138" s="97"/>
      <c r="C138" s="97"/>
      <c r="D138" s="97"/>
      <c r="E138" s="97"/>
      <c r="F138" s="97"/>
      <c r="G138" s="97"/>
    </row>
    <row r="139" spans="1:7">
      <c r="A139" s="97"/>
      <c r="B139" s="97"/>
      <c r="C139" s="97"/>
      <c r="D139" s="97"/>
      <c r="E139" s="97"/>
      <c r="F139" s="97"/>
      <c r="G139" s="97"/>
    </row>
    <row r="140" spans="1:7">
      <c r="A140" s="97"/>
      <c r="B140" s="97"/>
      <c r="C140" s="97"/>
      <c r="D140" s="97"/>
      <c r="E140" s="97"/>
      <c r="F140" s="97"/>
      <c r="G140" s="97"/>
    </row>
    <row r="141" spans="1:7">
      <c r="A141" s="97"/>
      <c r="B141" s="97"/>
      <c r="C141" s="97"/>
      <c r="D141" s="97"/>
      <c r="E141" s="97"/>
      <c r="F141" s="97"/>
      <c r="G141" s="97"/>
    </row>
    <row r="142" spans="1:7">
      <c r="A142" s="97"/>
      <c r="B142" s="97"/>
      <c r="C142" s="97"/>
      <c r="D142" s="97"/>
      <c r="E142" s="97"/>
      <c r="F142" s="97"/>
      <c r="G142" s="97"/>
    </row>
    <row r="143" spans="1:7">
      <c r="A143" s="97"/>
      <c r="B143" s="97"/>
      <c r="C143" s="97"/>
      <c r="D143" s="97"/>
      <c r="E143" s="97"/>
      <c r="F143" s="97"/>
      <c r="G143" s="97"/>
    </row>
    <row r="144" spans="1:7">
      <c r="A144" s="97"/>
      <c r="B144" s="97"/>
      <c r="C144" s="97"/>
      <c r="D144" s="97"/>
      <c r="E144" s="97"/>
      <c r="F144" s="97"/>
      <c r="G144" s="97"/>
    </row>
    <row r="145" spans="1:7">
      <c r="A145" s="97"/>
      <c r="B145" s="97"/>
      <c r="C145" s="97"/>
      <c r="D145" s="97"/>
      <c r="E145" s="97"/>
      <c r="F145" s="97"/>
      <c r="G145" s="97"/>
    </row>
    <row r="146" spans="1:7">
      <c r="A146" s="97"/>
      <c r="B146" s="97"/>
      <c r="C146" s="97"/>
      <c r="D146" s="97"/>
      <c r="E146" s="97"/>
      <c r="F146" s="97"/>
      <c r="G146" s="97"/>
    </row>
    <row r="147" spans="1:7">
      <c r="A147" s="97"/>
      <c r="B147" s="97"/>
      <c r="C147" s="97"/>
      <c r="D147" s="97"/>
      <c r="E147" s="97"/>
      <c r="F147" s="97"/>
      <c r="G147" s="97"/>
    </row>
    <row r="148" spans="1:7">
      <c r="A148" s="97"/>
      <c r="B148" s="97"/>
      <c r="C148" s="97"/>
      <c r="D148" s="97"/>
      <c r="E148" s="97"/>
      <c r="F148" s="97"/>
      <c r="G148" s="97"/>
    </row>
  </sheetData>
  <customSheetViews>
    <customSheetView guid="{1BA452AD-1A45-4D9C-9666-ADFFA6F2F567}" scale="75" colorId="22" fitToPage="1">
      <selection activeCell="C43" sqref="C43"/>
      <pageMargins left="0.4" right="0.4" top="0.3" bottom="0.3" header="0" footer="0"/>
      <printOptions horizontalCentered="1" verticalCentered="1"/>
      <pageSetup scale="67" orientation="portrait" r:id="rId1"/>
      <headerFooter alignWithMargins="0"/>
    </customSheetView>
    <customSheetView guid="{EEF7ABD6-0F96-4791-B749-C06F707E7673}" scale="75" colorId="22" fitToPage="1" showRuler="0" topLeftCell="A13">
      <selection activeCell="I50" sqref="I50"/>
      <pageMargins left="0.4" right="0.4" top="0.3" bottom="0.3" header="0" footer="0"/>
      <printOptions horizontalCentered="1" verticalCentered="1"/>
      <pageSetup scale="66" orientation="portrait" r:id="rId2"/>
      <headerFooter alignWithMargins="0"/>
    </customSheetView>
    <customSheetView guid="{A7D7DB3C-AFE6-468E-8C6B-9531F6711497}" scale="75" colorId="22" fitToPage="1" showRuler="0" topLeftCell="A28">
      <selection activeCell="F50" sqref="F50"/>
      <pageMargins left="0.4" right="0.4" top="0.3" bottom="0.3" header="0" footer="0"/>
      <printOptions horizontalCentered="1" verticalCentered="1"/>
      <pageSetup scale="71" orientation="portrait" r:id="rId3"/>
      <headerFooter alignWithMargins="0"/>
    </customSheetView>
    <customSheetView guid="{4436FEB5-BFEC-4348-9286-CB706802873E}" scale="75" colorId="22" fitToPage="1" showRuler="0" topLeftCell="A28">
      <selection activeCell="F50" sqref="F50"/>
      <pageMargins left="0.4" right="0.4" top="0.3" bottom="0.3" header="0" footer="0"/>
      <printOptions horizontalCentered="1" verticalCentered="1"/>
      <pageSetup scale="71" orientation="portrait" r:id="rId4"/>
      <headerFooter alignWithMargins="0"/>
    </customSheetView>
    <customSheetView guid="{044CF00C-469F-44B3-B2C4-9B4049CE70CB}" scale="75" colorId="22" fitToPage="1" showRuler="0" topLeftCell="A25">
      <selection activeCell="G35" sqref="G35:G48"/>
      <pageMargins left="0.4" right="0.4" top="0.3" bottom="0.3" header="0" footer="0"/>
      <printOptions horizontalCentered="1" verticalCentered="1"/>
      <pageSetup scale="71" orientation="portrait" r:id="rId5"/>
      <headerFooter alignWithMargins="0"/>
    </customSheetView>
    <customSheetView guid="{4826FCC0-BDD6-4B2C-ACC6-ACE271DDF0E3}" scale="75" colorId="22" fitToPage="1" showRuler="0">
      <selection activeCell="C44" sqref="C44"/>
      <pageMargins left="0.4" right="0.4" top="0.3" bottom="0.3" header="0" footer="0"/>
      <printOptions horizontalCentered="1" verticalCentered="1"/>
      <pageSetup scale="66" orientation="portrait" r:id="rId6"/>
      <headerFooter alignWithMargins="0"/>
    </customSheetView>
    <customSheetView guid="{EF376D10-23D6-4FE2-AB5B-4460D52CC93F}" scale="75" colorId="22" fitToPage="1" showRuler="0" topLeftCell="A13">
      <selection activeCell="I50" sqref="I50"/>
      <pageMargins left="0.4" right="0.4" top="0.3" bottom="0.3" header="0" footer="0"/>
      <printOptions horizontalCentered="1" verticalCentered="1"/>
      <pageSetup scale="66" orientation="portrait" r:id="rId7"/>
      <headerFooter alignWithMargins="0"/>
    </customSheetView>
    <customSheetView guid="{1C046605-15CE-44F1-BFCD-2CA8588E7ACF}" scale="75" colorId="22" fitToPage="1" showRuler="0" topLeftCell="A16">
      <selection activeCell="G63" sqref="G63"/>
      <pageMargins left="0.4" right="0.4" top="0.3" bottom="0.3" header="0" footer="0"/>
      <printOptions horizontalCentered="1" verticalCentered="1"/>
      <pageSetup scale="66" orientation="portrait" r:id="rId8"/>
      <headerFooter alignWithMargins="0"/>
    </customSheetView>
    <customSheetView guid="{3911D713-188C-46A1-A299-F21DD3B7A146}" scale="75" colorId="22" fitToPage="1" showRuler="0" topLeftCell="A16">
      <selection activeCell="G63" sqref="G63"/>
      <pageMargins left="0.4" right="0.4" top="0.3" bottom="0.3" header="0" footer="0"/>
      <printOptions horizontalCentered="1" verticalCentered="1"/>
      <pageSetup scale="66" orientation="portrait" r:id="rId9"/>
      <headerFooter alignWithMargins="0"/>
    </customSheetView>
    <customSheetView guid="{78BB1E60-60BE-4F56-9763-075185EFEFAB}" scale="75" colorId="22" fitToPage="1">
      <selection activeCell="C43" sqref="C43"/>
      <pageMargins left="0.4" right="0.4" top="0.3" bottom="0.3" header="0" footer="0"/>
      <printOptions horizontalCentered="1" verticalCentered="1"/>
      <pageSetup scale="67" orientation="portrait" r:id="rId10"/>
      <headerFooter alignWithMargins="0"/>
    </customSheetView>
    <customSheetView guid="{9C30803E-1E2D-4850-B0A5-591CA6F246A1}" scale="60" colorId="22" showPageBreaks="1" fitToPage="1" printArea="1" view="pageBreakPreview">
      <selection activeCell="C43" sqref="C43"/>
      <pageMargins left="0.4" right="0.4" top="0.3" bottom="0.3" header="0" footer="0"/>
      <printOptions horizontalCentered="1" verticalCentered="1"/>
      <pageSetup scale="67" orientation="portrait" r:id="rId11"/>
      <headerFooter alignWithMargins="0"/>
    </customSheetView>
    <customSheetView guid="{3B1006FF-A2CA-49E7-9B25-DAC8815279AF}" scale="60" colorId="22" showPageBreaks="1" fitToPage="1" printArea="1" view="pageBreakPreview">
      <selection activeCell="C43" sqref="C43"/>
      <pageMargins left="0.4" right="0.4" top="0.3" bottom="0.3" header="0" footer="0"/>
      <printOptions horizontalCentered="1" verticalCentered="1"/>
      <pageSetup scale="67" orientation="portrait" r:id="rId12"/>
      <headerFooter alignWithMargins="0"/>
    </customSheetView>
    <customSheetView guid="{FB1A60C8-E1F9-4DF0-8E0E-1C965F86027F}" scale="60" colorId="22" showPageBreaks="1" fitToPage="1" printArea="1" view="pageBreakPreview">
      <selection activeCell="C43" sqref="C43"/>
      <pageMargins left="0.4" right="0.4" top="0.3" bottom="0.3" header="0" footer="0"/>
      <printOptions horizontalCentered="1" verticalCentered="1"/>
      <pageSetup scale="67" orientation="portrait" r:id="rId13"/>
      <headerFooter alignWithMargins="0"/>
    </customSheetView>
    <customSheetView guid="{C5B6D812-CBE6-46AA-99F7-02494E9802B4}" scale="70" colorId="22" fitToPage="1" topLeftCell="A25">
      <selection activeCell="D42" sqref="D42"/>
      <pageMargins left="0.4" right="0.4" top="0.3" bottom="0.3" header="0" footer="0"/>
      <printOptions horizontalCentered="1" verticalCentered="1"/>
      <pageSetup scale="67" orientation="portrait" r:id="rId14"/>
      <headerFooter alignWithMargins="0"/>
    </customSheetView>
  </customSheetViews>
  <phoneticPr fontId="0" type="noConversion"/>
  <printOptions horizontalCentered="1" verticalCentered="1"/>
  <pageMargins left="0.4" right="0.4" top="0.3" bottom="0.3" header="0" footer="0"/>
  <pageSetup scale="67" orientation="portrait" r:id="rId15"/>
  <headerFooter alignWithMargins="0"/>
  <customProperties>
    <customPr name="_pios_id" r:id="rId16"/>
  </customProperties>
</worksheet>
</file>

<file path=xl/worksheets/sheet32.xml><?xml version="1.0" encoding="utf-8"?>
<worksheet xmlns="http://schemas.openxmlformats.org/spreadsheetml/2006/main" xmlns:r="http://schemas.openxmlformats.org/officeDocument/2006/relationships">
  <sheetPr transitionEvaluation="1" codeName="Sheet32" enableFormatConditionsCalculation="0">
    <pageSetUpPr fitToPage="1"/>
  </sheetPr>
  <dimension ref="A1:I129"/>
  <sheetViews>
    <sheetView defaultGridColor="0" colorId="22" zoomScale="75" zoomScaleNormal="75" zoomScaleSheetLayoutView="70" workbookViewId="0"/>
  </sheetViews>
  <sheetFormatPr defaultColWidth="9.77734375" defaultRowHeight="15"/>
  <cols>
    <col min="1" max="1" width="4.77734375" customWidth="1"/>
    <col min="2" max="2" width="1.77734375" customWidth="1"/>
    <col min="3" max="4" width="30.77734375" customWidth="1"/>
    <col min="5" max="5" width="18.88671875" customWidth="1"/>
    <col min="6" max="6" width="21.44140625" customWidth="1"/>
    <col min="9" max="9" width="12.88671875" bestFit="1" customWidth="1"/>
  </cols>
  <sheetData>
    <row r="1" spans="1:9" ht="15.75" thickBot="1">
      <c r="A1" s="186" t="str">
        <f>'Data sheet'!$A$57</f>
        <v>Annual Report of New York American Water Company, Inc. (f/k/a Long Island Water Corp)                                   Year Ended  December 31, 2013</v>
      </c>
      <c r="E1" s="1633"/>
      <c r="F1" s="1633"/>
    </row>
    <row r="2" spans="1:9">
      <c r="A2" s="142"/>
      <c r="B2" s="143"/>
      <c r="C2" s="143"/>
      <c r="D2" s="143"/>
      <c r="E2" s="143"/>
      <c r="F2" s="144"/>
    </row>
    <row r="3" spans="1:9" ht="15.75">
      <c r="A3" s="606"/>
      <c r="B3" s="94" t="s">
        <v>3583</v>
      </c>
      <c r="C3" s="128"/>
      <c r="D3" s="128"/>
      <c r="E3" s="128"/>
      <c r="F3" s="145"/>
    </row>
    <row r="4" spans="1:9">
      <c r="A4" s="108"/>
      <c r="B4" s="109"/>
      <c r="C4" s="109"/>
      <c r="D4" s="109"/>
      <c r="E4" s="141"/>
      <c r="F4" s="294"/>
    </row>
    <row r="5" spans="1:9">
      <c r="A5" s="96" t="s">
        <v>3239</v>
      </c>
      <c r="B5" s="11"/>
      <c r="C5" s="97"/>
      <c r="D5" s="97"/>
      <c r="E5" s="97"/>
      <c r="F5" s="98"/>
    </row>
    <row r="6" spans="1:9">
      <c r="A6" s="96"/>
      <c r="B6" s="97"/>
      <c r="C6" s="97" t="s">
        <v>3240</v>
      </c>
      <c r="D6" s="97"/>
      <c r="E6" s="97"/>
      <c r="F6" s="98"/>
    </row>
    <row r="7" spans="1:9">
      <c r="A7" s="96" t="s">
        <v>1979</v>
      </c>
      <c r="B7" s="97"/>
      <c r="C7" s="97"/>
      <c r="D7" s="97"/>
      <c r="E7" s="97"/>
      <c r="F7" s="98"/>
    </row>
    <row r="8" spans="1:9">
      <c r="A8" s="520"/>
      <c r="B8" s="101"/>
      <c r="C8" s="101"/>
      <c r="D8" s="101"/>
      <c r="E8" s="831" t="s">
        <v>1980</v>
      </c>
      <c r="F8" s="633" t="s">
        <v>2942</v>
      </c>
    </row>
    <row r="9" spans="1:9">
      <c r="A9" s="444" t="s">
        <v>2203</v>
      </c>
      <c r="B9" s="97"/>
      <c r="C9" s="105" t="s">
        <v>1981</v>
      </c>
      <c r="D9" s="97"/>
      <c r="E9" s="666" t="s">
        <v>2014</v>
      </c>
      <c r="F9" s="410" t="s">
        <v>1031</v>
      </c>
    </row>
    <row r="10" spans="1:9">
      <c r="A10" s="444" t="s">
        <v>3324</v>
      </c>
      <c r="B10" s="11"/>
      <c r="C10" s="11"/>
      <c r="D10" s="11"/>
      <c r="E10" s="666" t="s">
        <v>2015</v>
      </c>
      <c r="F10" s="410" t="s">
        <v>1940</v>
      </c>
    </row>
    <row r="11" spans="1:9">
      <c r="A11" s="518"/>
      <c r="B11" s="109"/>
      <c r="C11" s="799" t="s">
        <v>4032</v>
      </c>
      <c r="D11" s="109"/>
      <c r="E11" s="667" t="s">
        <v>3879</v>
      </c>
      <c r="F11" s="414" t="s">
        <v>4034</v>
      </c>
    </row>
    <row r="12" spans="1:9">
      <c r="A12" s="415">
        <v>1</v>
      </c>
      <c r="B12" s="446" t="s">
        <v>4260</v>
      </c>
      <c r="C12" s="446"/>
      <c r="D12" s="446"/>
      <c r="E12" s="919"/>
      <c r="F12" s="920"/>
    </row>
    <row r="13" spans="1:9">
      <c r="A13" s="415">
        <f t="shared" ref="A13:A39" si="0">A12+1</f>
        <v>2</v>
      </c>
      <c r="B13" s="446"/>
      <c r="C13" s="446" t="s">
        <v>3266</v>
      </c>
      <c r="D13" s="446"/>
      <c r="E13" s="1713">
        <v>5810849.1200000001</v>
      </c>
      <c r="F13" s="432">
        <v>5801602.32399185</v>
      </c>
      <c r="G13" s="1626"/>
      <c r="I13" s="1612"/>
    </row>
    <row r="14" spans="1:9">
      <c r="A14" s="415">
        <f t="shared" si="0"/>
        <v>3</v>
      </c>
      <c r="B14" s="446"/>
      <c r="C14" s="446"/>
      <c r="D14" s="446"/>
      <c r="E14" s="448"/>
      <c r="F14" s="432"/>
    </row>
    <row r="15" spans="1:9">
      <c r="A15" s="415">
        <f t="shared" si="0"/>
        <v>4</v>
      </c>
      <c r="B15" s="446"/>
      <c r="C15" s="446"/>
      <c r="D15" s="446"/>
      <c r="E15" s="448"/>
      <c r="F15" s="432"/>
    </row>
    <row r="16" spans="1:9">
      <c r="A16" s="415">
        <f t="shared" si="0"/>
        <v>5</v>
      </c>
      <c r="B16" s="446"/>
      <c r="C16" s="2999"/>
      <c r="D16" s="446"/>
      <c r="E16" s="448"/>
      <c r="F16" s="432"/>
    </row>
    <row r="17" spans="1:6">
      <c r="A17" s="415">
        <f t="shared" si="0"/>
        <v>6</v>
      </c>
      <c r="B17" s="446"/>
      <c r="C17" s="2999"/>
      <c r="D17" s="446"/>
      <c r="E17" s="448"/>
      <c r="F17" s="432"/>
    </row>
    <row r="18" spans="1:6">
      <c r="A18" s="415">
        <f t="shared" si="0"/>
        <v>7</v>
      </c>
      <c r="B18" s="446"/>
      <c r="C18" s="446"/>
      <c r="D18" s="446"/>
      <c r="E18" s="448"/>
      <c r="F18" s="432"/>
    </row>
    <row r="19" spans="1:6">
      <c r="A19" s="415">
        <f t="shared" si="0"/>
        <v>8</v>
      </c>
      <c r="B19" s="446"/>
      <c r="C19" s="607"/>
      <c r="D19" s="607"/>
      <c r="E19" s="448"/>
      <c r="F19" s="432"/>
    </row>
    <row r="20" spans="1:6">
      <c r="A20" s="415">
        <f t="shared" si="0"/>
        <v>9</v>
      </c>
      <c r="B20" s="446"/>
      <c r="C20" s="446"/>
      <c r="D20" s="446"/>
      <c r="E20" s="448"/>
      <c r="F20" s="432"/>
    </row>
    <row r="21" spans="1:6">
      <c r="A21" s="415">
        <f t="shared" si="0"/>
        <v>10</v>
      </c>
      <c r="B21" s="446"/>
      <c r="C21" s="446"/>
      <c r="D21" s="446"/>
      <c r="E21" s="448"/>
      <c r="F21" s="432"/>
    </row>
    <row r="22" spans="1:6">
      <c r="A22" s="415">
        <f t="shared" si="0"/>
        <v>11</v>
      </c>
      <c r="B22" s="446"/>
      <c r="C22" s="446"/>
      <c r="D22" s="446"/>
      <c r="E22" s="448"/>
      <c r="F22" s="432"/>
    </row>
    <row r="23" spans="1:6">
      <c r="A23" s="415">
        <f t="shared" si="0"/>
        <v>12</v>
      </c>
      <c r="B23" s="446"/>
      <c r="C23" s="446"/>
      <c r="D23" s="446"/>
      <c r="E23" s="448"/>
      <c r="F23" s="432"/>
    </row>
    <row r="24" spans="1:6">
      <c r="A24" s="415">
        <f t="shared" si="0"/>
        <v>13</v>
      </c>
      <c r="B24" s="446"/>
      <c r="C24" s="446"/>
      <c r="D24" s="446"/>
      <c r="E24" s="448"/>
      <c r="F24" s="432"/>
    </row>
    <row r="25" spans="1:6">
      <c r="A25" s="415">
        <f t="shared" si="0"/>
        <v>14</v>
      </c>
      <c r="B25" s="446"/>
      <c r="C25" s="446"/>
      <c r="D25" s="446"/>
      <c r="E25" s="448"/>
      <c r="F25" s="432"/>
    </row>
    <row r="26" spans="1:6">
      <c r="A26" s="415">
        <f t="shared" si="0"/>
        <v>15</v>
      </c>
      <c r="B26" s="446"/>
      <c r="C26" s="446"/>
      <c r="D26" s="446"/>
      <c r="E26" s="448"/>
      <c r="F26" s="432"/>
    </row>
    <row r="27" spans="1:6">
      <c r="A27" s="415">
        <f t="shared" si="0"/>
        <v>16</v>
      </c>
      <c r="B27" s="446"/>
      <c r="C27" s="446"/>
      <c r="D27" s="11"/>
      <c r="E27" s="448"/>
      <c r="F27" s="432"/>
    </row>
    <row r="28" spans="1:6">
      <c r="A28" s="415">
        <f t="shared" si="0"/>
        <v>17</v>
      </c>
      <c r="B28" s="446"/>
      <c r="C28" s="607"/>
      <c r="D28" s="607"/>
      <c r="E28" s="448"/>
      <c r="F28" s="432"/>
    </row>
    <row r="29" spans="1:6">
      <c r="A29" s="415">
        <f t="shared" si="0"/>
        <v>18</v>
      </c>
      <c r="B29" s="446"/>
      <c r="C29" s="446" t="s">
        <v>3880</v>
      </c>
      <c r="D29" s="607"/>
      <c r="E29" s="448">
        <f>SUM(E13:E28)</f>
        <v>5810849.1200000001</v>
      </c>
      <c r="F29" s="432">
        <f>SUM(F13:F28)</f>
        <v>5801602.32399185</v>
      </c>
    </row>
    <row r="30" spans="1:6">
      <c r="A30" s="608">
        <f t="shared" si="0"/>
        <v>19</v>
      </c>
      <c r="B30" s="446" t="s">
        <v>3322</v>
      </c>
      <c r="C30" s="446"/>
      <c r="D30" s="607"/>
      <c r="E30" s="882"/>
      <c r="F30" s="921"/>
    </row>
    <row r="31" spans="1:6">
      <c r="A31" s="608">
        <f t="shared" si="0"/>
        <v>20</v>
      </c>
      <c r="B31" s="446"/>
      <c r="C31" s="446"/>
      <c r="D31" s="607"/>
      <c r="E31" s="448"/>
      <c r="F31" s="432"/>
    </row>
    <row r="32" spans="1:6">
      <c r="A32" s="608">
        <f t="shared" si="0"/>
        <v>21</v>
      </c>
      <c r="B32" s="446"/>
      <c r="C32" s="446"/>
      <c r="D32" s="607"/>
      <c r="E32" s="448"/>
      <c r="F32" s="432"/>
    </row>
    <row r="33" spans="1:6">
      <c r="A33" s="608">
        <f t="shared" si="0"/>
        <v>22</v>
      </c>
      <c r="B33" s="446"/>
      <c r="C33" s="446"/>
      <c r="D33" s="607"/>
      <c r="E33" s="448"/>
      <c r="F33" s="432"/>
    </row>
    <row r="34" spans="1:6">
      <c r="A34" s="608">
        <f t="shared" si="0"/>
        <v>23</v>
      </c>
      <c r="B34" s="446"/>
      <c r="C34" s="446"/>
      <c r="D34" s="607"/>
      <c r="E34" s="448"/>
      <c r="F34" s="432"/>
    </row>
    <row r="35" spans="1:6">
      <c r="A35" s="608">
        <f t="shared" si="0"/>
        <v>24</v>
      </c>
      <c r="B35" s="446"/>
      <c r="C35" s="446"/>
      <c r="D35" s="607"/>
      <c r="E35" s="448"/>
      <c r="F35" s="432"/>
    </row>
    <row r="36" spans="1:6">
      <c r="A36" s="608">
        <f t="shared" si="0"/>
        <v>25</v>
      </c>
      <c r="B36" s="446"/>
      <c r="C36" s="446"/>
      <c r="D36" s="607"/>
      <c r="E36" s="448"/>
      <c r="F36" s="432"/>
    </row>
    <row r="37" spans="1:6">
      <c r="A37" s="608">
        <f t="shared" si="0"/>
        <v>26</v>
      </c>
      <c r="B37" s="446"/>
      <c r="C37" s="446"/>
      <c r="D37" s="607"/>
      <c r="E37" s="448"/>
      <c r="F37" s="432"/>
    </row>
    <row r="38" spans="1:6">
      <c r="A38" s="608">
        <f t="shared" si="0"/>
        <v>27</v>
      </c>
      <c r="B38" s="446"/>
      <c r="C38" s="446" t="s">
        <v>3881</v>
      </c>
      <c r="D38" s="607"/>
      <c r="E38" s="448">
        <f>SUM(E31:E37)</f>
        <v>0</v>
      </c>
      <c r="F38" s="432">
        <f>SUM(F31:F37)</f>
        <v>0</v>
      </c>
    </row>
    <row r="39" spans="1:6">
      <c r="A39" s="609">
        <f t="shared" si="0"/>
        <v>28</v>
      </c>
      <c r="B39" s="446"/>
      <c r="C39" s="446" t="s">
        <v>71</v>
      </c>
      <c r="D39" s="607"/>
      <c r="E39" s="450">
        <f>E29+E38</f>
        <v>5810849.1200000001</v>
      </c>
      <c r="F39" s="541">
        <f>F29+F38</f>
        <v>5801602.32399185</v>
      </c>
    </row>
    <row r="40" spans="1:6">
      <c r="A40" s="610" t="s">
        <v>72</v>
      </c>
      <c r="B40" s="128"/>
      <c r="C40" s="128"/>
      <c r="D40" s="131"/>
      <c r="E40" s="443"/>
      <c r="F40" s="611"/>
    </row>
    <row r="41" spans="1:6">
      <c r="A41" s="610"/>
      <c r="B41" s="97"/>
      <c r="C41" s="97"/>
      <c r="D41" s="11"/>
      <c r="E41" s="441"/>
      <c r="F41" s="469"/>
    </row>
    <row r="42" spans="1:6">
      <c r="A42" s="610"/>
      <c r="B42" s="97"/>
      <c r="C42" s="97"/>
      <c r="D42" s="11"/>
      <c r="E42" s="441"/>
      <c r="F42" s="469"/>
    </row>
    <row r="43" spans="1:6">
      <c r="A43" s="610"/>
      <c r="B43" s="97"/>
      <c r="C43" s="97"/>
      <c r="D43" s="11"/>
      <c r="E43" s="441"/>
      <c r="F43" s="469"/>
    </row>
    <row r="44" spans="1:6">
      <c r="A44" s="610"/>
      <c r="B44" s="97"/>
      <c r="C44" s="97"/>
      <c r="D44" s="11"/>
      <c r="E44" s="441"/>
      <c r="F44" s="469"/>
    </row>
    <row r="45" spans="1:6">
      <c r="A45" s="610"/>
      <c r="B45" s="97"/>
      <c r="C45" s="97"/>
      <c r="D45" s="11"/>
      <c r="E45" s="441"/>
      <c r="F45" s="469"/>
    </row>
    <row r="46" spans="1:6">
      <c r="A46" s="96"/>
      <c r="B46" s="97"/>
      <c r="C46" s="97"/>
      <c r="D46" s="97"/>
      <c r="E46" s="97"/>
      <c r="F46" s="98"/>
    </row>
    <row r="47" spans="1:6">
      <c r="A47" s="96"/>
      <c r="B47" s="97"/>
      <c r="C47" s="97"/>
      <c r="D47" s="97"/>
      <c r="E47" s="97"/>
      <c r="F47" s="98"/>
    </row>
    <row r="48" spans="1:6">
      <c r="A48" s="96"/>
      <c r="B48" s="97"/>
      <c r="C48" s="97"/>
      <c r="D48" s="97"/>
      <c r="E48" s="97"/>
      <c r="F48" s="98"/>
    </row>
    <row r="49" spans="1:6">
      <c r="A49" s="96"/>
      <c r="B49" s="97"/>
      <c r="C49" s="97"/>
      <c r="D49" s="97"/>
      <c r="E49" s="97"/>
      <c r="F49" s="98"/>
    </row>
    <row r="50" spans="1:6">
      <c r="A50" s="96"/>
      <c r="B50" s="97"/>
      <c r="C50" s="97"/>
      <c r="D50" s="97"/>
      <c r="E50" s="97"/>
      <c r="F50" s="98"/>
    </row>
    <row r="51" spans="1:6">
      <c r="A51" s="96"/>
      <c r="B51" s="97"/>
      <c r="C51" s="97"/>
      <c r="D51" s="97"/>
      <c r="E51" s="97"/>
      <c r="F51" s="98"/>
    </row>
    <row r="52" spans="1:6">
      <c r="A52" s="96"/>
      <c r="B52" s="97"/>
      <c r="C52" s="97"/>
      <c r="D52" s="97"/>
      <c r="E52" s="97"/>
      <c r="F52" s="98"/>
    </row>
    <row r="53" spans="1:6">
      <c r="A53" s="96"/>
      <c r="B53" s="97"/>
      <c r="C53" s="97"/>
      <c r="D53" s="97"/>
      <c r="E53" s="97"/>
      <c r="F53" s="98"/>
    </row>
    <row r="54" spans="1:6">
      <c r="A54" s="96"/>
      <c r="B54" s="97"/>
      <c r="C54" s="97"/>
      <c r="D54" s="97"/>
      <c r="E54" s="97"/>
      <c r="F54" s="98"/>
    </row>
    <row r="55" spans="1:6">
      <c r="A55" s="96"/>
      <c r="B55" s="97"/>
      <c r="C55" s="97"/>
      <c r="D55" s="97"/>
      <c r="E55" s="97"/>
      <c r="F55" s="98"/>
    </row>
    <row r="56" spans="1:6">
      <c r="A56" s="96"/>
      <c r="B56" s="97"/>
      <c r="C56" s="97"/>
      <c r="D56" s="97"/>
      <c r="E56" s="97"/>
      <c r="F56" s="98"/>
    </row>
    <row r="57" spans="1:6">
      <c r="A57" s="96"/>
      <c r="B57" s="97"/>
      <c r="C57" s="97"/>
      <c r="D57" s="97"/>
      <c r="E57" s="97"/>
      <c r="F57" s="98"/>
    </row>
    <row r="58" spans="1:6">
      <c r="A58" s="96"/>
      <c r="B58" s="97"/>
      <c r="C58" s="97"/>
      <c r="D58" s="97"/>
      <c r="E58" s="97"/>
      <c r="F58" s="98"/>
    </row>
    <row r="59" spans="1:6" ht="15.75" thickBot="1">
      <c r="A59" s="172"/>
      <c r="B59" s="124"/>
      <c r="C59" s="124"/>
      <c r="D59" s="124"/>
      <c r="E59" s="124"/>
      <c r="F59" s="127"/>
    </row>
    <row r="60" spans="1:6">
      <c r="F60" t="s">
        <v>4066</v>
      </c>
    </row>
    <row r="61" spans="1:6">
      <c r="A61" s="128" t="s">
        <v>73</v>
      </c>
      <c r="B61" s="128"/>
      <c r="C61" s="128"/>
      <c r="D61" s="128"/>
      <c r="E61" s="128"/>
      <c r="F61" s="128"/>
    </row>
    <row r="62" spans="1:6">
      <c r="A62" s="97"/>
      <c r="B62" s="97"/>
      <c r="C62" s="97"/>
      <c r="D62" s="97"/>
      <c r="E62" s="97"/>
      <c r="F62" s="97"/>
    </row>
    <row r="63" spans="1:6">
      <c r="A63" s="97"/>
      <c r="B63" s="97"/>
      <c r="C63" s="97"/>
      <c r="D63" s="97"/>
      <c r="E63" s="97"/>
      <c r="F63" s="97"/>
    </row>
    <row r="64" spans="1:6">
      <c r="A64" s="97"/>
      <c r="B64" s="97"/>
      <c r="C64" s="97"/>
      <c r="D64" s="97"/>
      <c r="E64" s="97"/>
      <c r="F64" s="97"/>
    </row>
    <row r="65" spans="1:6">
      <c r="A65" s="97"/>
      <c r="B65" s="97"/>
      <c r="C65" s="97"/>
      <c r="D65" s="97"/>
      <c r="E65" s="97"/>
      <c r="F65" s="97"/>
    </row>
    <row r="66" spans="1:6">
      <c r="A66" s="97"/>
      <c r="B66" s="97"/>
      <c r="C66" s="97"/>
      <c r="D66" s="97"/>
      <c r="E66" s="97"/>
      <c r="F66" s="97"/>
    </row>
    <row r="67" spans="1:6">
      <c r="A67" s="97"/>
      <c r="B67" s="97"/>
      <c r="C67" s="97"/>
      <c r="D67" s="97"/>
      <c r="E67" s="97"/>
      <c r="F67" s="97"/>
    </row>
    <row r="68" spans="1:6" ht="15.75">
      <c r="A68" s="97"/>
      <c r="B68" s="97"/>
      <c r="C68" s="484" t="s">
        <v>74</v>
      </c>
      <c r="D68" s="97"/>
      <c r="E68" s="97"/>
      <c r="F68" s="97"/>
    </row>
    <row r="69" spans="1:6">
      <c r="A69" s="97"/>
      <c r="B69" s="97"/>
      <c r="C69" s="97"/>
      <c r="D69" s="97"/>
      <c r="E69" s="97"/>
      <c r="F69" s="97"/>
    </row>
    <row r="70" spans="1:6" ht="16.5" thickBot="1">
      <c r="A70" s="511"/>
      <c r="B70" s="97"/>
      <c r="C70" s="97"/>
      <c r="D70" s="97"/>
      <c r="E70" s="141"/>
    </row>
    <row r="71" spans="1:6">
      <c r="A71" s="142"/>
      <c r="B71" s="143"/>
      <c r="C71" s="143"/>
      <c r="D71" s="143"/>
      <c r="E71" s="143"/>
      <c r="F71" s="144"/>
    </row>
    <row r="72" spans="1:6">
      <c r="A72" s="96"/>
      <c r="B72" s="128" t="s">
        <v>3583</v>
      </c>
      <c r="C72" s="128"/>
      <c r="D72" s="128"/>
      <c r="E72" s="128"/>
      <c r="F72" s="145"/>
    </row>
    <row r="73" spans="1:6">
      <c r="A73" s="108"/>
      <c r="B73" s="109"/>
      <c r="C73" s="109"/>
      <c r="D73" s="109"/>
      <c r="E73" s="109"/>
      <c r="F73" s="112"/>
    </row>
    <row r="74" spans="1:6">
      <c r="A74" s="520"/>
      <c r="B74" s="101"/>
      <c r="C74" s="101"/>
      <c r="D74" s="101"/>
      <c r="E74" s="831" t="s">
        <v>1980</v>
      </c>
      <c r="F74" s="633" t="s">
        <v>2942</v>
      </c>
    </row>
    <row r="75" spans="1:6">
      <c r="A75" s="444" t="s">
        <v>2203</v>
      </c>
      <c r="B75" s="97"/>
      <c r="C75" s="128" t="s">
        <v>1981</v>
      </c>
      <c r="D75" s="128"/>
      <c r="E75" s="666" t="s">
        <v>2014</v>
      </c>
      <c r="F75" s="410" t="s">
        <v>1031</v>
      </c>
    </row>
    <row r="76" spans="1:6">
      <c r="A76" s="444" t="s">
        <v>3324</v>
      </c>
      <c r="B76" s="11"/>
      <c r="C76" s="11"/>
      <c r="D76" s="11"/>
      <c r="E76" s="666" t="s">
        <v>2015</v>
      </c>
      <c r="F76" s="410" t="s">
        <v>1940</v>
      </c>
    </row>
    <row r="77" spans="1:6">
      <c r="A77" s="612"/>
      <c r="B77" s="109"/>
      <c r="C77" s="146" t="s">
        <v>4032</v>
      </c>
      <c r="D77" s="146"/>
      <c r="E77" s="667" t="s">
        <v>3879</v>
      </c>
      <c r="F77" s="414" t="s">
        <v>4034</v>
      </c>
    </row>
    <row r="78" spans="1:6">
      <c r="A78" s="96"/>
      <c r="B78" s="160"/>
      <c r="C78" s="477"/>
      <c r="D78" s="97"/>
      <c r="E78" s="557"/>
      <c r="F78" s="461"/>
    </row>
    <row r="79" spans="1:6">
      <c r="A79" s="96"/>
      <c r="B79" s="160"/>
      <c r="C79" s="97"/>
      <c r="D79" s="97"/>
      <c r="E79" s="557"/>
      <c r="F79" s="461"/>
    </row>
    <row r="80" spans="1:6">
      <c r="A80" s="96"/>
      <c r="B80" s="160"/>
      <c r="C80" s="97"/>
      <c r="D80" s="97"/>
      <c r="E80" s="557"/>
      <c r="F80" s="461"/>
    </row>
    <row r="81" spans="1:6">
      <c r="A81" s="96"/>
      <c r="B81" s="160"/>
      <c r="C81" s="97"/>
      <c r="D81" s="97"/>
      <c r="E81" s="557"/>
      <c r="F81" s="461"/>
    </row>
    <row r="82" spans="1:6">
      <c r="A82" s="96"/>
      <c r="B82" s="160"/>
      <c r="C82" s="97"/>
      <c r="D82" s="97"/>
      <c r="E82" s="557"/>
      <c r="F82" s="461"/>
    </row>
    <row r="83" spans="1:6">
      <c r="A83" s="96"/>
      <c r="B83" s="160"/>
      <c r="C83" s="97"/>
      <c r="D83" s="97"/>
      <c r="E83" s="557"/>
      <c r="F83" s="461"/>
    </row>
    <row r="84" spans="1:6">
      <c r="A84" s="96"/>
      <c r="B84" s="160"/>
      <c r="C84" s="97"/>
      <c r="D84" s="97"/>
      <c r="E84" s="557"/>
      <c r="F84" s="461"/>
    </row>
    <row r="85" spans="1:6">
      <c r="A85" s="96"/>
      <c r="B85" s="160"/>
      <c r="C85" s="97"/>
      <c r="D85" s="97"/>
      <c r="E85" s="557"/>
      <c r="F85" s="461"/>
    </row>
    <row r="86" spans="1:6">
      <c r="A86" s="96"/>
      <c r="B86" s="160"/>
      <c r="C86" s="97"/>
      <c r="D86" s="97"/>
      <c r="E86" s="557"/>
      <c r="F86" s="461"/>
    </row>
    <row r="87" spans="1:6">
      <c r="A87" s="96"/>
      <c r="B87" s="160"/>
      <c r="C87" s="97"/>
      <c r="D87" s="97"/>
      <c r="E87" s="557"/>
      <c r="F87" s="461"/>
    </row>
    <row r="88" spans="1:6">
      <c r="A88" s="96"/>
      <c r="B88" s="160"/>
      <c r="C88" s="97"/>
      <c r="D88" s="97"/>
      <c r="E88" s="557"/>
      <c r="F88" s="461"/>
    </row>
    <row r="89" spans="1:6">
      <c r="A89" s="96"/>
      <c r="B89" s="160"/>
      <c r="C89" s="97"/>
      <c r="D89" s="97"/>
      <c r="E89" s="557"/>
      <c r="F89" s="461"/>
    </row>
    <row r="90" spans="1:6">
      <c r="A90" s="96"/>
      <c r="B90" s="160"/>
      <c r="C90" s="97"/>
      <c r="D90" s="97"/>
      <c r="E90" s="557"/>
      <c r="F90" s="461"/>
    </row>
    <row r="91" spans="1:6">
      <c r="A91" s="96"/>
      <c r="B91" s="160"/>
      <c r="C91" s="97"/>
      <c r="D91" s="97"/>
      <c r="E91" s="557"/>
      <c r="F91" s="461"/>
    </row>
    <row r="92" spans="1:6">
      <c r="A92" s="96"/>
      <c r="B92" s="160"/>
      <c r="C92" s="97"/>
      <c r="D92" s="97"/>
      <c r="E92" s="557"/>
      <c r="F92" s="461"/>
    </row>
    <row r="93" spans="1:6">
      <c r="A93" s="96"/>
      <c r="B93" s="160"/>
      <c r="C93" s="97"/>
      <c r="D93" s="97"/>
      <c r="E93" s="557"/>
      <c r="F93" s="461"/>
    </row>
    <row r="94" spans="1:6">
      <c r="A94" s="96"/>
      <c r="B94" s="160"/>
      <c r="C94" s="97"/>
      <c r="D94" s="97"/>
      <c r="E94" s="557"/>
      <c r="F94" s="461"/>
    </row>
    <row r="95" spans="1:6">
      <c r="A95" s="96"/>
      <c r="B95" s="160"/>
      <c r="C95" s="97"/>
      <c r="D95" s="97"/>
      <c r="E95" s="557"/>
      <c r="F95" s="461"/>
    </row>
    <row r="96" spans="1:6">
      <c r="A96" s="96"/>
      <c r="B96" s="160"/>
      <c r="C96" s="97"/>
      <c r="D96" s="97"/>
      <c r="E96" s="557"/>
      <c r="F96" s="461"/>
    </row>
    <row r="97" spans="1:6">
      <c r="A97" s="96"/>
      <c r="B97" s="160"/>
      <c r="C97" s="97"/>
      <c r="D97" s="97"/>
      <c r="E97" s="557"/>
      <c r="F97" s="461"/>
    </row>
    <row r="98" spans="1:6">
      <c r="A98" s="96"/>
      <c r="B98" s="160"/>
      <c r="C98" s="97"/>
      <c r="D98" s="97"/>
      <c r="E98" s="557"/>
      <c r="F98" s="461"/>
    </row>
    <row r="99" spans="1:6">
      <c r="A99" s="96"/>
      <c r="B99" s="160"/>
      <c r="C99" s="97"/>
      <c r="D99" s="97"/>
      <c r="E99" s="557"/>
      <c r="F99" s="461"/>
    </row>
    <row r="100" spans="1:6">
      <c r="A100" s="96"/>
      <c r="B100" s="160"/>
      <c r="C100" s="97"/>
      <c r="D100" s="97"/>
      <c r="E100" s="557"/>
      <c r="F100" s="461"/>
    </row>
    <row r="101" spans="1:6">
      <c r="A101" s="96"/>
      <c r="B101" s="160"/>
      <c r="C101" s="97"/>
      <c r="D101" s="97"/>
      <c r="E101" s="557"/>
      <c r="F101" s="461"/>
    </row>
    <row r="102" spans="1:6">
      <c r="A102" s="96"/>
      <c r="B102" s="160"/>
      <c r="C102" s="97"/>
      <c r="D102" s="97"/>
      <c r="E102" s="557"/>
      <c r="F102" s="461"/>
    </row>
    <row r="103" spans="1:6">
      <c r="A103" s="96"/>
      <c r="B103" s="160"/>
      <c r="C103" s="97"/>
      <c r="D103" s="97"/>
      <c r="E103" s="557"/>
      <c r="F103" s="461"/>
    </row>
    <row r="104" spans="1:6">
      <c r="A104" s="96"/>
      <c r="B104" s="160"/>
      <c r="C104" s="97"/>
      <c r="D104" s="97"/>
      <c r="E104" s="557"/>
      <c r="F104" s="461"/>
    </row>
    <row r="105" spans="1:6">
      <c r="A105" s="96"/>
      <c r="B105" s="160"/>
      <c r="C105" s="97"/>
      <c r="D105" s="97"/>
      <c r="E105" s="557"/>
      <c r="F105" s="461"/>
    </row>
    <row r="106" spans="1:6">
      <c r="A106" s="96"/>
      <c r="B106" s="160"/>
      <c r="C106" s="97"/>
      <c r="D106" s="97"/>
      <c r="E106" s="557"/>
      <c r="F106" s="461"/>
    </row>
    <row r="107" spans="1:6">
      <c r="A107" s="96"/>
      <c r="B107" s="160"/>
      <c r="C107" s="97"/>
      <c r="D107" s="97"/>
      <c r="E107" s="557"/>
      <c r="F107" s="461"/>
    </row>
    <row r="108" spans="1:6">
      <c r="A108" s="96"/>
      <c r="B108" s="160"/>
      <c r="C108" s="97"/>
      <c r="D108" s="97"/>
      <c r="E108" s="557"/>
      <c r="F108" s="461"/>
    </row>
    <row r="109" spans="1:6">
      <c r="A109" s="96"/>
      <c r="B109" s="160"/>
      <c r="C109" s="97"/>
      <c r="D109" s="97"/>
      <c r="E109" s="557"/>
      <c r="F109" s="461"/>
    </row>
    <row r="110" spans="1:6">
      <c r="A110" s="96"/>
      <c r="B110" s="160"/>
      <c r="C110" s="97"/>
      <c r="D110" s="97"/>
      <c r="E110" s="557"/>
      <c r="F110" s="461"/>
    </row>
    <row r="111" spans="1:6">
      <c r="A111" s="96"/>
      <c r="B111" s="160"/>
      <c r="C111" s="97"/>
      <c r="D111" s="97"/>
      <c r="E111" s="557"/>
      <c r="F111" s="461"/>
    </row>
    <row r="112" spans="1:6">
      <c r="A112" s="96"/>
      <c r="B112" s="160"/>
      <c r="C112" s="97"/>
      <c r="D112" s="97"/>
      <c r="E112" s="557"/>
      <c r="F112" s="461"/>
    </row>
    <row r="113" spans="1:6">
      <c r="A113" s="96"/>
      <c r="B113" s="160"/>
      <c r="C113" s="97"/>
      <c r="D113" s="97"/>
      <c r="E113" s="557"/>
      <c r="F113" s="461"/>
    </row>
    <row r="114" spans="1:6">
      <c r="A114" s="96"/>
      <c r="B114" s="160"/>
      <c r="C114" s="97"/>
      <c r="D114" s="97"/>
      <c r="E114" s="557"/>
      <c r="F114" s="461"/>
    </row>
    <row r="115" spans="1:6">
      <c r="A115" s="96"/>
      <c r="B115" s="160"/>
      <c r="C115" s="97"/>
      <c r="D115" s="97"/>
      <c r="E115" s="557"/>
      <c r="F115" s="461"/>
    </row>
    <row r="116" spans="1:6" ht="15.75">
      <c r="A116" s="96"/>
      <c r="B116" s="160"/>
      <c r="C116" s="511"/>
      <c r="D116" s="97"/>
      <c r="E116" s="557"/>
      <c r="F116" s="461"/>
    </row>
    <row r="117" spans="1:6">
      <c r="A117" s="96"/>
      <c r="B117" s="160"/>
      <c r="C117" s="97"/>
      <c r="D117" s="97"/>
      <c r="E117" s="557"/>
      <c r="F117" s="461"/>
    </row>
    <row r="118" spans="1:6">
      <c r="A118" s="96"/>
      <c r="B118" s="160"/>
      <c r="C118" s="97"/>
      <c r="D118" s="97"/>
      <c r="E118" s="557"/>
      <c r="F118" s="461"/>
    </row>
    <row r="119" spans="1:6">
      <c r="A119" s="96"/>
      <c r="B119" s="160"/>
      <c r="C119" s="97"/>
      <c r="D119" s="97"/>
      <c r="E119" s="557"/>
      <c r="F119" s="461"/>
    </row>
    <row r="120" spans="1:6">
      <c r="A120" s="96"/>
      <c r="B120" s="160"/>
      <c r="C120" s="97"/>
      <c r="D120" s="97"/>
      <c r="E120" s="557"/>
      <c r="F120" s="461"/>
    </row>
    <row r="121" spans="1:6">
      <c r="A121" s="96"/>
      <c r="B121" s="160"/>
      <c r="C121" s="97"/>
      <c r="D121" s="97"/>
      <c r="E121" s="557"/>
      <c r="F121" s="461"/>
    </row>
    <row r="122" spans="1:6">
      <c r="A122" s="96"/>
      <c r="B122" s="160"/>
      <c r="C122" s="97"/>
      <c r="D122" s="97"/>
      <c r="E122" s="557"/>
      <c r="F122" s="461"/>
    </row>
    <row r="123" spans="1:6">
      <c r="A123" s="96"/>
      <c r="B123" s="160"/>
      <c r="C123" s="97"/>
      <c r="D123" s="97"/>
      <c r="E123" s="557"/>
      <c r="F123" s="461"/>
    </row>
    <row r="124" spans="1:6">
      <c r="A124" s="96"/>
      <c r="B124" s="160"/>
      <c r="C124" s="97"/>
      <c r="D124" s="97"/>
      <c r="E124" s="557"/>
      <c r="F124" s="461"/>
    </row>
    <row r="125" spans="1:6">
      <c r="A125" s="96"/>
      <c r="B125" s="160"/>
      <c r="C125" s="97"/>
      <c r="D125" s="97"/>
      <c r="E125" s="557"/>
      <c r="F125" s="461"/>
    </row>
    <row r="126" spans="1:6">
      <c r="A126" s="96"/>
      <c r="B126" s="160"/>
      <c r="C126" s="97"/>
      <c r="D126" s="97"/>
      <c r="E126" s="557"/>
      <c r="F126" s="461"/>
    </row>
    <row r="127" spans="1:6" ht="15.75" thickBot="1">
      <c r="A127" s="172"/>
      <c r="B127" s="600"/>
      <c r="C127" s="124"/>
      <c r="D127" s="124"/>
      <c r="E127" s="613"/>
      <c r="F127" s="614"/>
    </row>
    <row r="128" spans="1:6">
      <c r="A128" s="97"/>
      <c r="B128" s="97"/>
      <c r="C128" s="97"/>
      <c r="D128" s="97"/>
      <c r="E128" s="97"/>
      <c r="F128" s="97"/>
    </row>
    <row r="129" spans="1:6">
      <c r="A129" s="128" t="s">
        <v>75</v>
      </c>
      <c r="B129" s="128"/>
      <c r="C129" s="128"/>
      <c r="D129" s="128"/>
      <c r="E129" s="128"/>
      <c r="F129" s="128"/>
    </row>
  </sheetData>
  <customSheetViews>
    <customSheetView guid="{1BA452AD-1A45-4D9C-9666-ADFFA6F2F567}" colorId="22" showPageBreaks="1" fitToPage="1" printArea="1" view="pageBreakPreview" topLeftCell="A4">
      <selection activeCell="E13" sqref="E13"/>
      <rowBreaks count="1" manualBreakCount="1">
        <brk id="61" max="16383" man="1"/>
      </rowBreaks>
      <pageMargins left="0.9" right="0.4" top="0.3" bottom="0.3" header="0" footer="0"/>
      <printOptions horizontalCentered="1" verticalCentered="1"/>
      <pageSetup scale="70" orientation="portrait" r:id="rId1"/>
      <headerFooter alignWithMargins="0"/>
    </customSheetView>
    <customSheetView guid="{EEF7ABD6-0F96-4791-B749-C06F707E7673}" colorId="22" showPageBreaks="1" fitToPage="1" printArea="1" view="pageBreakPreview" showRuler="0">
      <selection activeCell="H34" sqref="H34"/>
      <rowBreaks count="1" manualBreakCount="1">
        <brk id="61" max="16383" man="1"/>
      </rowBreaks>
      <pageMargins left="0.9" right="0.4" top="0.3" bottom="0.3" header="0" footer="0"/>
      <printOptions horizontalCentered="1" verticalCentered="1"/>
      <pageSetup scale="70" orientation="portrait" r:id="rId2"/>
      <headerFooter alignWithMargins="0"/>
    </customSheetView>
    <customSheetView guid="{A7D7DB3C-AFE6-468E-8C6B-9531F6711497}" scale="60" colorId="22" showPageBreaks="1" fitToPage="1" printArea="1" view="pageBreakPreview" showRuler="0" topLeftCell="A18">
      <selection activeCell="F44" sqref="F44"/>
      <rowBreaks count="1" manualBreakCount="1">
        <brk id="61" max="16383" man="1"/>
      </rowBreaks>
      <pageMargins left="0.9" right="0.4" top="0.3" bottom="0.3" header="0" footer="0"/>
      <printOptions horizontalCentered="1" verticalCentered="1"/>
      <pageSetup scale="70" orientation="portrait" r:id="rId3"/>
      <headerFooter alignWithMargins="0"/>
    </customSheetView>
    <customSheetView guid="{4436FEB5-BFEC-4348-9286-CB706802873E}" scale="60" colorId="22" showPageBreaks="1" fitToPage="1" printArea="1" view="pageBreakPreview" showRuler="0" topLeftCell="A18">
      <selection activeCell="F44" sqref="F44"/>
      <rowBreaks count="1" manualBreakCount="1">
        <brk id="61" max="16383" man="1"/>
      </rowBreaks>
      <pageMargins left="0.9" right="0.4" top="0.3" bottom="0.3" header="0" footer="0"/>
      <printOptions horizontalCentered="1" verticalCentered="1"/>
      <pageSetup scale="70" orientation="portrait" r:id="rId4"/>
      <headerFooter alignWithMargins="0"/>
    </customSheetView>
    <customSheetView guid="{044CF00C-469F-44B3-B2C4-9B4049CE70CB}" scale="60" colorId="22" showPageBreaks="1" fitToPage="1" printArea="1" view="pageBreakPreview" showRuler="0">
      <selection activeCell="F13" sqref="F13"/>
      <rowBreaks count="1" manualBreakCount="1">
        <brk id="61" max="16383" man="1"/>
      </rowBreaks>
      <pageMargins left="0.9" right="0.4" top="0.3" bottom="0.3" header="0" footer="0"/>
      <printOptions horizontalCentered="1" verticalCentered="1"/>
      <pageSetup scale="70" orientation="portrait" r:id="rId5"/>
      <headerFooter alignWithMargins="0"/>
    </customSheetView>
    <customSheetView guid="{4826FCC0-BDD6-4B2C-ACC6-ACE271DDF0E3}" colorId="22" showPageBreaks="1" fitToPage="1" printArea="1" view="pageBreakPreview" showRuler="0">
      <selection activeCell="H34" sqref="H34"/>
      <rowBreaks count="1" manualBreakCount="1">
        <brk id="61" max="16383" man="1"/>
      </rowBreaks>
      <pageMargins left="0.9" right="0.4" top="0.3" bottom="0.3" header="0" footer="0"/>
      <printOptions horizontalCentered="1" verticalCentered="1"/>
      <pageSetup scale="70" orientation="portrait" r:id="rId6"/>
      <headerFooter alignWithMargins="0"/>
    </customSheetView>
    <customSheetView guid="{EF376D10-23D6-4FE2-AB5B-4460D52CC93F}" colorId="22" showPageBreaks="1" fitToPage="1" printArea="1" view="pageBreakPreview" showRuler="0">
      <selection activeCell="H34" sqref="H34"/>
      <rowBreaks count="1" manualBreakCount="1">
        <brk id="61" max="16383" man="1"/>
      </rowBreaks>
      <pageMargins left="0.9" right="0.4" top="0.3" bottom="0.3" header="0" footer="0"/>
      <printOptions horizontalCentered="1" verticalCentered="1"/>
      <pageSetup scale="70" orientation="portrait" r:id="rId7"/>
      <headerFooter alignWithMargins="0"/>
    </customSheetView>
    <customSheetView guid="{1C046605-15CE-44F1-BFCD-2CA8588E7ACF}" colorId="22" showPageBreaks="1" fitToPage="1" printArea="1" view="pageBreakPreview" showRuler="0" topLeftCell="A22">
      <selection activeCell="C57" sqref="C57"/>
      <rowBreaks count="1" manualBreakCount="1">
        <brk id="61" max="16383" man="1"/>
      </rowBreaks>
      <pageMargins left="0.9" right="0.4" top="0.3" bottom="0.3" header="0" footer="0"/>
      <printOptions horizontalCentered="1" verticalCentered="1"/>
      <pageSetup scale="70" orientation="portrait" r:id="rId8"/>
      <headerFooter alignWithMargins="0"/>
    </customSheetView>
    <customSheetView guid="{3911D713-188C-46A1-A299-F21DD3B7A146}" colorId="22" showPageBreaks="1" fitToPage="1" printArea="1" view="pageBreakPreview" showRuler="0" topLeftCell="A22">
      <selection activeCell="C57" sqref="C57"/>
      <rowBreaks count="1" manualBreakCount="1">
        <brk id="61" max="16383" man="1"/>
      </rowBreaks>
      <pageMargins left="0.9" right="0.4" top="0.3" bottom="0.3" header="0" footer="0"/>
      <printOptions horizontalCentered="1" verticalCentered="1"/>
      <pageSetup scale="70" orientation="portrait" r:id="rId9"/>
      <headerFooter alignWithMargins="0"/>
    </customSheetView>
    <customSheetView guid="{78BB1E60-60BE-4F56-9763-075185EFEFAB}" colorId="22" showPageBreaks="1" fitToPage="1" printArea="1" view="pageBreakPreview" topLeftCell="A39">
      <selection activeCell="E51" sqref="E51"/>
      <rowBreaks count="1" manualBreakCount="1">
        <brk id="61" max="16383" man="1"/>
      </rowBreaks>
      <pageMargins left="0.9" right="0.4" top="0.3" bottom="0.3" header="0" footer="0"/>
      <printOptions horizontalCentered="1" verticalCentered="1"/>
      <pageSetup scale="70" orientation="portrait" r:id="rId10"/>
      <headerFooter alignWithMargins="0"/>
    </customSheetView>
    <customSheetView guid="{9C30803E-1E2D-4850-B0A5-591CA6F246A1}" colorId="22" showPageBreaks="1" fitToPage="1" printArea="1" view="pageBreakPreview">
      <selection activeCell="C43" sqref="C43"/>
      <rowBreaks count="1" manualBreakCount="1">
        <brk id="61" max="16383" man="1"/>
      </rowBreaks>
      <pageMargins left="0.9" right="0.4" top="0.3" bottom="0.3" header="0" footer="0"/>
      <printOptions horizontalCentered="1" verticalCentered="1"/>
      <pageSetup scale="70" orientation="portrait" r:id="rId11"/>
      <headerFooter alignWithMargins="0"/>
    </customSheetView>
    <customSheetView guid="{3B1006FF-A2CA-49E7-9B25-DAC8815279AF}" colorId="22" showPageBreaks="1" fitToPage="1" printArea="1" view="pageBreakPreview">
      <selection activeCell="C43" sqref="C43"/>
      <rowBreaks count="1" manualBreakCount="1">
        <brk id="61" max="16383" man="1"/>
      </rowBreaks>
      <pageMargins left="0.9" right="0.4" top="0.3" bottom="0.3" header="0" footer="0"/>
      <printOptions horizontalCentered="1" verticalCentered="1"/>
      <pageSetup scale="70" orientation="portrait" r:id="rId12"/>
      <headerFooter alignWithMargins="0"/>
    </customSheetView>
    <customSheetView guid="{FB1A60C8-E1F9-4DF0-8E0E-1C965F86027F}" colorId="22" showPageBreaks="1" fitToPage="1" printArea="1" view="pageBreakPreview">
      <selection activeCell="C43" sqref="C43"/>
      <rowBreaks count="1" manualBreakCount="1">
        <brk id="61" max="16383" man="1"/>
      </rowBreaks>
      <pageMargins left="0.9" right="0.4" top="0.3" bottom="0.3" header="0" footer="0"/>
      <printOptions horizontalCentered="1" verticalCentered="1"/>
      <pageSetup scale="70" orientation="portrait" r:id="rId13"/>
      <headerFooter alignWithMargins="0"/>
    </customSheetView>
    <customSheetView guid="{C5B6D812-CBE6-46AA-99F7-02494E9802B4}" scale="70" colorId="22" showPageBreaks="1" fitToPage="1" printArea="1" view="pageBreakPreview">
      <selection activeCell="D16" sqref="D16"/>
      <rowBreaks count="1" manualBreakCount="1">
        <brk id="61" max="16383" man="1"/>
      </rowBreaks>
      <pageMargins left="0.9" right="0.4" top="0.3" bottom="0.3" header="0" footer="0"/>
      <printOptions horizontalCentered="1" verticalCentered="1"/>
      <pageSetup scale="70" orientation="portrait" r:id="rId14"/>
      <headerFooter alignWithMargins="0"/>
    </customSheetView>
  </customSheetViews>
  <phoneticPr fontId="0" type="noConversion"/>
  <printOptions horizontalCentered="1" verticalCentered="1"/>
  <pageMargins left="0.9" right="0.4" top="0.3" bottom="0.3" header="0" footer="0"/>
  <pageSetup scale="70" orientation="portrait" r:id="rId15"/>
  <headerFooter alignWithMargins="0"/>
  <rowBreaks count="1" manualBreakCount="1">
    <brk id="61" max="16383" man="1"/>
  </rowBreaks>
  <customProperties>
    <customPr name="_pios_id" r:id="rId16"/>
  </customProperties>
</worksheet>
</file>

<file path=xl/worksheets/sheet33.xml><?xml version="1.0" encoding="utf-8"?>
<worksheet xmlns="http://schemas.openxmlformats.org/spreadsheetml/2006/main" xmlns:r="http://schemas.openxmlformats.org/officeDocument/2006/relationships">
  <sheetPr transitionEvaluation="1" codeName="Sheet33" enableFormatConditionsCalculation="0"/>
  <dimension ref="A1:N415"/>
  <sheetViews>
    <sheetView defaultGridColor="0" colorId="22" zoomScale="75" zoomScaleNormal="75" zoomScaleSheetLayoutView="70" workbookViewId="0"/>
  </sheetViews>
  <sheetFormatPr defaultColWidth="9.77734375" defaultRowHeight="15"/>
  <cols>
    <col min="1" max="1" width="5.77734375" customWidth="1"/>
    <col min="2" max="2" width="48.77734375" customWidth="1"/>
    <col min="3" max="3" width="19.77734375" customWidth="1"/>
    <col min="4" max="4" width="21.44140625" customWidth="1"/>
    <col min="5" max="5" width="19.77734375" customWidth="1"/>
    <col min="6" max="6" width="2.77734375" customWidth="1"/>
    <col min="7" max="7" width="17.77734375" customWidth="1"/>
    <col min="8" max="8" width="19.77734375" customWidth="1"/>
    <col min="9" max="9" width="18.77734375" customWidth="1"/>
    <col min="10" max="10" width="19.77734375" customWidth="1"/>
    <col min="11" max="11" width="15.77734375" customWidth="1"/>
    <col min="12" max="12" width="19.88671875" customWidth="1"/>
    <col min="13" max="13" width="5.77734375" customWidth="1"/>
  </cols>
  <sheetData>
    <row r="1" spans="1:14" ht="15.75" thickBot="1">
      <c r="A1" s="186" t="str">
        <f>'Data sheet'!$A$63</f>
        <v>Annual Report of New York American Water Company, Inc. (f/k/a Long Island Water Corp)                                    Year Ended  December 31, 2013</v>
      </c>
      <c r="B1" s="230"/>
      <c r="C1" s="1635"/>
      <c r="D1" s="1635"/>
      <c r="E1" s="230"/>
      <c r="F1" s="186" t="str">
        <f>'Data sheet'!$A$63</f>
        <v>Annual Report of New York American Water Company, Inc. (f/k/a Long Island Water Corp)                                    Year Ended  December 31, 2013</v>
      </c>
      <c r="G1" s="230"/>
      <c r="H1" s="230"/>
      <c r="I1" s="230"/>
      <c r="J1" s="230"/>
      <c r="K1" s="230"/>
      <c r="L1" s="230"/>
      <c r="M1" s="230"/>
      <c r="N1" s="230"/>
    </row>
    <row r="2" spans="1:14">
      <c r="A2" s="142"/>
      <c r="B2" s="143"/>
      <c r="C2" s="143"/>
      <c r="D2" s="143"/>
      <c r="E2" s="144"/>
      <c r="F2" s="142"/>
      <c r="G2" s="143"/>
      <c r="H2" s="143"/>
      <c r="I2" s="143"/>
      <c r="J2" s="143"/>
      <c r="K2" s="143"/>
      <c r="L2" s="143"/>
      <c r="M2" s="144"/>
      <c r="N2" s="230"/>
    </row>
    <row r="3" spans="1:14" ht="15.75">
      <c r="A3" s="606"/>
      <c r="B3" s="94" t="s">
        <v>2351</v>
      </c>
      <c r="C3" s="128"/>
      <c r="D3" s="128"/>
      <c r="E3" s="145"/>
      <c r="F3" s="96"/>
      <c r="G3" s="94" t="s">
        <v>1728</v>
      </c>
      <c r="H3" s="128"/>
      <c r="I3" s="128"/>
      <c r="J3" s="128"/>
      <c r="K3" s="128"/>
      <c r="L3" s="128"/>
      <c r="M3" s="145"/>
      <c r="N3" s="230"/>
    </row>
    <row r="4" spans="1:14">
      <c r="A4" s="108"/>
      <c r="B4" s="109"/>
      <c r="C4" s="109"/>
      <c r="D4" s="109"/>
      <c r="E4" s="112"/>
      <c r="F4" s="108"/>
      <c r="G4" s="109"/>
      <c r="H4" s="109"/>
      <c r="I4" s="109"/>
      <c r="J4" s="109"/>
      <c r="K4" s="109"/>
      <c r="L4" s="109"/>
      <c r="M4" s="112"/>
      <c r="N4" s="230"/>
    </row>
    <row r="5" spans="1:14">
      <c r="A5" s="405" t="s">
        <v>1553</v>
      </c>
      <c r="B5" s="406"/>
      <c r="C5" s="406"/>
      <c r="D5" s="406"/>
      <c r="E5" s="407"/>
      <c r="F5" s="96"/>
      <c r="G5" s="922" t="s">
        <v>1554</v>
      </c>
      <c r="H5" s="406"/>
      <c r="I5" s="406"/>
      <c r="J5" s="406"/>
      <c r="K5" s="406"/>
      <c r="L5" s="406"/>
      <c r="M5" s="407"/>
      <c r="N5" s="230"/>
    </row>
    <row r="6" spans="1:14">
      <c r="A6" s="405" t="s">
        <v>816</v>
      </c>
      <c r="B6" s="406"/>
      <c r="C6" s="406"/>
      <c r="D6" s="406"/>
      <c r="E6" s="407"/>
      <c r="F6" s="96"/>
      <c r="G6" s="922" t="s">
        <v>817</v>
      </c>
      <c r="H6" s="406"/>
      <c r="I6" s="406"/>
      <c r="J6" s="406"/>
      <c r="K6" s="406"/>
      <c r="L6" s="406"/>
      <c r="M6" s="407"/>
      <c r="N6" s="230"/>
    </row>
    <row r="7" spans="1:14">
      <c r="A7" s="405" t="s">
        <v>3424</v>
      </c>
      <c r="B7" s="406"/>
      <c r="C7" s="406"/>
      <c r="D7" s="406"/>
      <c r="E7" s="407"/>
      <c r="F7" s="96"/>
      <c r="G7" s="922" t="s">
        <v>2321</v>
      </c>
      <c r="H7" s="406"/>
      <c r="I7" s="406"/>
      <c r="J7" s="406"/>
      <c r="K7" s="406"/>
      <c r="L7" s="406"/>
      <c r="M7" s="407"/>
      <c r="N7" s="230"/>
    </row>
    <row r="8" spans="1:14">
      <c r="A8" s="405" t="s">
        <v>2322</v>
      </c>
      <c r="B8" s="406"/>
      <c r="C8" s="406"/>
      <c r="D8" s="406"/>
      <c r="E8" s="407"/>
      <c r="F8" s="96"/>
      <c r="G8" s="922" t="s">
        <v>3267</v>
      </c>
      <c r="H8" s="406"/>
      <c r="I8" s="406"/>
      <c r="J8" s="406"/>
      <c r="K8" s="406"/>
      <c r="L8" s="406"/>
      <c r="M8" s="407"/>
      <c r="N8" s="230"/>
    </row>
    <row r="9" spans="1:14">
      <c r="A9" s="405" t="s">
        <v>360</v>
      </c>
      <c r="B9" s="406"/>
      <c r="C9" s="406"/>
      <c r="D9" s="406"/>
      <c r="E9" s="407"/>
      <c r="F9" s="96"/>
      <c r="G9" s="922" t="s">
        <v>1694</v>
      </c>
      <c r="H9" s="406"/>
      <c r="I9" s="406"/>
      <c r="J9" s="406"/>
      <c r="K9" s="406"/>
      <c r="L9" s="406"/>
      <c r="M9" s="407"/>
      <c r="N9" s="230"/>
    </row>
    <row r="10" spans="1:14">
      <c r="A10" s="405" t="s">
        <v>1695</v>
      </c>
      <c r="B10" s="406"/>
      <c r="C10" s="406"/>
      <c r="D10" s="406"/>
      <c r="E10" s="407"/>
      <c r="F10" s="96"/>
      <c r="G10" s="119"/>
      <c r="H10" s="97"/>
      <c r="I10" s="97"/>
      <c r="J10" s="97"/>
      <c r="K10" s="97"/>
      <c r="L10" s="97"/>
      <c r="M10" s="98"/>
      <c r="N10" s="230"/>
    </row>
    <row r="11" spans="1:14">
      <c r="A11" s="405" t="s">
        <v>1696</v>
      </c>
      <c r="B11" s="406"/>
      <c r="C11" s="406"/>
      <c r="D11" s="406"/>
      <c r="E11" s="407"/>
      <c r="F11" s="96"/>
      <c r="G11" s="97"/>
      <c r="H11" s="97"/>
      <c r="I11" s="97"/>
      <c r="J11" s="97"/>
      <c r="K11" s="97"/>
      <c r="L11" s="97"/>
      <c r="M11" s="98"/>
      <c r="N11" s="230"/>
    </row>
    <row r="12" spans="1:14">
      <c r="A12" s="108"/>
      <c r="B12" s="109"/>
      <c r="C12" s="109"/>
      <c r="D12" s="109"/>
      <c r="E12" s="112"/>
      <c r="F12" s="108"/>
      <c r="G12" s="109"/>
      <c r="H12" s="109"/>
      <c r="I12" s="109"/>
      <c r="J12" s="109"/>
      <c r="K12" s="109"/>
      <c r="L12" s="109"/>
      <c r="M12" s="112"/>
      <c r="N12" s="230"/>
    </row>
    <row r="13" spans="1:14">
      <c r="A13" s="121"/>
      <c r="B13" s="160"/>
      <c r="C13" s="798" t="s">
        <v>1697</v>
      </c>
      <c r="D13" s="120" t="s">
        <v>1698</v>
      </c>
      <c r="E13" s="462" t="s">
        <v>1699</v>
      </c>
      <c r="F13" s="3046" t="s">
        <v>899</v>
      </c>
      <c r="G13" s="3047"/>
      <c r="H13" s="3048"/>
      <c r="I13" s="160"/>
      <c r="J13" s="97" t="s">
        <v>900</v>
      </c>
      <c r="K13" s="97"/>
      <c r="L13" s="97"/>
      <c r="M13" s="148"/>
      <c r="N13" s="230"/>
    </row>
    <row r="14" spans="1:14">
      <c r="A14" s="121"/>
      <c r="B14" s="666" t="s">
        <v>3667</v>
      </c>
      <c r="C14" s="120" t="s">
        <v>3668</v>
      </c>
      <c r="D14" s="120" t="s">
        <v>3669</v>
      </c>
      <c r="E14" s="462" t="s">
        <v>3670</v>
      </c>
      <c r="F14" s="3049" t="s">
        <v>1845</v>
      </c>
      <c r="G14" s="3050"/>
      <c r="H14" s="3051"/>
      <c r="I14" s="167"/>
      <c r="J14" s="109"/>
      <c r="K14" s="109"/>
      <c r="L14" s="109"/>
      <c r="M14" s="148"/>
      <c r="N14" s="230"/>
    </row>
    <row r="15" spans="1:14">
      <c r="A15" s="121"/>
      <c r="B15" s="666" t="s">
        <v>1487</v>
      </c>
      <c r="C15" s="120" t="s">
        <v>1488</v>
      </c>
      <c r="D15" s="120" t="s">
        <v>1489</v>
      </c>
      <c r="E15" s="462" t="s">
        <v>2423</v>
      </c>
      <c r="F15" s="3049" t="s">
        <v>3616</v>
      </c>
      <c r="G15" s="3050"/>
      <c r="H15" s="3051"/>
      <c r="I15" s="160" t="s">
        <v>3617</v>
      </c>
      <c r="J15" s="97"/>
      <c r="K15" s="160" t="s">
        <v>4338</v>
      </c>
      <c r="L15" s="97"/>
      <c r="M15" s="148"/>
      <c r="N15" s="230"/>
    </row>
    <row r="16" spans="1:14">
      <c r="A16" s="121"/>
      <c r="B16" s="160"/>
      <c r="C16" s="120" t="s">
        <v>4339</v>
      </c>
      <c r="D16" s="120" t="s">
        <v>4340</v>
      </c>
      <c r="E16" s="98"/>
      <c r="F16" s="3049" t="s">
        <v>1428</v>
      </c>
      <c r="G16" s="3050"/>
      <c r="H16" s="3051"/>
      <c r="I16" s="160" t="s">
        <v>1429</v>
      </c>
      <c r="J16" s="97"/>
      <c r="K16" s="160" t="s">
        <v>1430</v>
      </c>
      <c r="L16" s="97"/>
      <c r="M16" s="148"/>
      <c r="N16" s="230"/>
    </row>
    <row r="17" spans="1:14">
      <c r="A17" s="121"/>
      <c r="B17" s="160"/>
      <c r="C17" s="107"/>
      <c r="D17" s="107"/>
      <c r="E17" s="98"/>
      <c r="F17" s="108"/>
      <c r="G17" s="109"/>
      <c r="H17" s="97"/>
      <c r="I17" s="167"/>
      <c r="J17" s="109"/>
      <c r="K17" s="167"/>
      <c r="L17" s="109"/>
      <c r="M17" s="171"/>
      <c r="N17" s="230"/>
    </row>
    <row r="18" spans="1:14">
      <c r="A18" s="121" t="s">
        <v>1129</v>
      </c>
      <c r="B18" s="160"/>
      <c r="C18" s="107"/>
      <c r="D18" s="107"/>
      <c r="E18" s="98"/>
      <c r="F18" s="99"/>
      <c r="G18" s="797" t="s">
        <v>2421</v>
      </c>
      <c r="H18" s="831" t="s">
        <v>430</v>
      </c>
      <c r="I18" s="666" t="s">
        <v>2421</v>
      </c>
      <c r="J18" s="666" t="s">
        <v>2422</v>
      </c>
      <c r="K18" s="666" t="s">
        <v>2421</v>
      </c>
      <c r="L18" s="666" t="s">
        <v>430</v>
      </c>
      <c r="M18" s="410" t="s">
        <v>1129</v>
      </c>
      <c r="N18" s="230"/>
    </row>
    <row r="19" spans="1:14">
      <c r="A19" s="521" t="s">
        <v>3324</v>
      </c>
      <c r="B19" s="832" t="s">
        <v>4032</v>
      </c>
      <c r="C19" s="800" t="s">
        <v>4033</v>
      </c>
      <c r="D19" s="800" t="s">
        <v>4034</v>
      </c>
      <c r="E19" s="458" t="s">
        <v>4035</v>
      </c>
      <c r="F19" s="108"/>
      <c r="G19" s="799" t="s">
        <v>2277</v>
      </c>
      <c r="H19" s="667" t="s">
        <v>2278</v>
      </c>
      <c r="I19" s="667" t="s">
        <v>2279</v>
      </c>
      <c r="J19" s="667" t="s">
        <v>2280</v>
      </c>
      <c r="K19" s="667" t="s">
        <v>2281</v>
      </c>
      <c r="L19" s="667" t="s">
        <v>2282</v>
      </c>
      <c r="M19" s="414" t="s">
        <v>3324</v>
      </c>
      <c r="N19" s="230"/>
    </row>
    <row r="20" spans="1:14">
      <c r="A20" s="121">
        <v>1</v>
      </c>
      <c r="B20" s="615" t="s">
        <v>2875</v>
      </c>
      <c r="C20" s="923"/>
      <c r="D20" s="924"/>
      <c r="E20" s="925"/>
      <c r="F20" s="926"/>
      <c r="G20" s="927"/>
      <c r="H20" s="928"/>
      <c r="I20" s="923"/>
      <c r="J20" s="923"/>
      <c r="K20" s="923"/>
      <c r="L20" s="923"/>
      <c r="M20" s="617">
        <v>1</v>
      </c>
      <c r="N20" s="230"/>
    </row>
    <row r="21" spans="1:14">
      <c r="A21" s="121">
        <v>2</v>
      </c>
      <c r="B21" s="160" t="s">
        <v>315</v>
      </c>
      <c r="C21" s="526">
        <v>225000</v>
      </c>
      <c r="D21" s="618" t="s">
        <v>316</v>
      </c>
      <c r="E21" s="619" t="s">
        <v>3019</v>
      </c>
      <c r="F21" s="163"/>
      <c r="G21" s="460">
        <v>225000</v>
      </c>
      <c r="H21" s="1064">
        <v>10000000</v>
      </c>
      <c r="I21" s="526"/>
      <c r="J21" s="544"/>
      <c r="K21" s="526"/>
      <c r="L21" s="544"/>
      <c r="M21" s="617">
        <v>2</v>
      </c>
      <c r="N21" s="230"/>
    </row>
    <row r="22" spans="1:14">
      <c r="A22" s="121">
        <v>3</v>
      </c>
      <c r="B22" s="160"/>
      <c r="C22" s="526"/>
      <c r="D22" s="618"/>
      <c r="E22" s="619"/>
      <c r="F22" s="163"/>
      <c r="G22" s="460"/>
      <c r="H22" s="526"/>
      <c r="I22" s="526"/>
      <c r="J22" s="526"/>
      <c r="K22" s="526"/>
      <c r="L22" s="526"/>
      <c r="M22" s="617">
        <v>3</v>
      </c>
      <c r="N22" s="230"/>
    </row>
    <row r="23" spans="1:14">
      <c r="A23" s="121">
        <v>4</v>
      </c>
      <c r="B23" s="160"/>
      <c r="C23" s="526"/>
      <c r="D23" s="618"/>
      <c r="E23" s="619"/>
      <c r="F23" s="163"/>
      <c r="G23" s="460"/>
      <c r="H23" s="526"/>
      <c r="I23" s="526"/>
      <c r="J23" s="526"/>
      <c r="K23" s="526"/>
      <c r="L23" s="526"/>
      <c r="M23" s="617">
        <v>4</v>
      </c>
      <c r="N23" s="230"/>
    </row>
    <row r="24" spans="1:14">
      <c r="A24" s="121">
        <v>5</v>
      </c>
      <c r="B24" s="160"/>
      <c r="C24" s="526"/>
      <c r="D24" s="618"/>
      <c r="E24" s="619"/>
      <c r="F24" s="163"/>
      <c r="G24" s="460"/>
      <c r="H24" s="526"/>
      <c r="I24" s="526"/>
      <c r="J24" s="526"/>
      <c r="K24" s="526"/>
      <c r="L24" s="526"/>
      <c r="M24" s="617">
        <v>5</v>
      </c>
      <c r="N24" s="230"/>
    </row>
    <row r="25" spans="1:14">
      <c r="A25" s="121">
        <v>6</v>
      </c>
      <c r="B25" s="160"/>
      <c r="C25" s="526"/>
      <c r="D25" s="618"/>
      <c r="E25" s="619"/>
      <c r="F25" s="163"/>
      <c r="G25" s="460"/>
      <c r="H25" s="526"/>
      <c r="I25" s="526"/>
      <c r="J25" s="526"/>
      <c r="K25" s="526"/>
      <c r="L25" s="526"/>
      <c r="M25" s="617">
        <v>6</v>
      </c>
      <c r="N25" s="230"/>
    </row>
    <row r="26" spans="1:14">
      <c r="A26" s="121">
        <v>7</v>
      </c>
      <c r="B26" s="160"/>
      <c r="C26" s="526"/>
      <c r="D26" s="618"/>
      <c r="E26" s="619"/>
      <c r="F26" s="163"/>
      <c r="G26" s="460"/>
      <c r="H26" s="526"/>
      <c r="I26" s="526"/>
      <c r="J26" s="526"/>
      <c r="K26" s="526"/>
      <c r="L26" s="526"/>
      <c r="M26" s="617">
        <v>7</v>
      </c>
      <c r="N26" s="230"/>
    </row>
    <row r="27" spans="1:14">
      <c r="A27" s="121">
        <v>8</v>
      </c>
      <c r="B27" s="195" t="s">
        <v>5330</v>
      </c>
      <c r="C27" s="526"/>
      <c r="D27" s="618"/>
      <c r="E27" s="619"/>
      <c r="F27" s="163"/>
      <c r="G27" s="460"/>
      <c r="H27" s="526"/>
      <c r="I27" s="526"/>
      <c r="J27" s="526"/>
      <c r="K27" s="526"/>
      <c r="L27" s="526"/>
      <c r="M27" s="617">
        <v>8</v>
      </c>
      <c r="N27" s="230"/>
    </row>
    <row r="28" spans="1:14">
      <c r="A28" s="121">
        <v>9</v>
      </c>
      <c r="B28" s="160"/>
      <c r="C28" s="526"/>
      <c r="D28" s="618"/>
      <c r="E28" s="619"/>
      <c r="F28" s="163"/>
      <c r="G28" s="460"/>
      <c r="H28" s="526"/>
      <c r="I28" s="526"/>
      <c r="J28" s="526"/>
      <c r="K28" s="526"/>
      <c r="L28" s="526"/>
      <c r="M28" s="617">
        <v>9</v>
      </c>
      <c r="N28" s="230"/>
    </row>
    <row r="29" spans="1:14">
      <c r="A29" s="121">
        <v>10</v>
      </c>
      <c r="B29" s="160"/>
      <c r="C29" s="526"/>
      <c r="D29" s="618"/>
      <c r="E29" s="619"/>
      <c r="F29" s="163"/>
      <c r="G29" s="460"/>
      <c r="H29" s="526"/>
      <c r="I29" s="526"/>
      <c r="J29" s="526"/>
      <c r="K29" s="526"/>
      <c r="L29" s="526"/>
      <c r="M29" s="617">
        <v>10</v>
      </c>
      <c r="N29" s="230"/>
    </row>
    <row r="30" spans="1:14">
      <c r="A30" s="121">
        <v>11</v>
      </c>
      <c r="B30" s="160"/>
      <c r="C30" s="526"/>
      <c r="D30" s="618"/>
      <c r="E30" s="619"/>
      <c r="F30" s="163"/>
      <c r="G30" s="460"/>
      <c r="H30" s="526"/>
      <c r="I30" s="526"/>
      <c r="J30" s="526"/>
      <c r="K30" s="526"/>
      <c r="L30" s="526"/>
      <c r="M30" s="617">
        <v>11</v>
      </c>
      <c r="N30" s="230"/>
    </row>
    <row r="31" spans="1:14">
      <c r="A31" s="121">
        <v>12</v>
      </c>
      <c r="B31" s="160"/>
      <c r="C31" s="526"/>
      <c r="D31" s="618"/>
      <c r="E31" s="619"/>
      <c r="F31" s="163"/>
      <c r="G31" s="460"/>
      <c r="H31" s="526"/>
      <c r="I31" s="526"/>
      <c r="J31" s="526"/>
      <c r="K31" s="526"/>
      <c r="L31" s="526"/>
      <c r="M31" s="617">
        <v>12</v>
      </c>
      <c r="N31" s="230"/>
    </row>
    <row r="32" spans="1:14">
      <c r="A32" s="121">
        <v>13</v>
      </c>
      <c r="B32" s="160"/>
      <c r="C32" s="526"/>
      <c r="D32" s="618"/>
      <c r="E32" s="619"/>
      <c r="F32" s="163"/>
      <c r="G32" s="460"/>
      <c r="H32" s="526"/>
      <c r="I32" s="526"/>
      <c r="J32" s="526"/>
      <c r="K32" s="526"/>
      <c r="L32" s="526"/>
      <c r="M32" s="617">
        <v>13</v>
      </c>
      <c r="N32" s="230"/>
    </row>
    <row r="33" spans="1:14">
      <c r="A33" s="121">
        <v>14</v>
      </c>
      <c r="B33" s="160"/>
      <c r="C33" s="526"/>
      <c r="D33" s="618"/>
      <c r="E33" s="619"/>
      <c r="F33" s="163"/>
      <c r="G33" s="460"/>
      <c r="H33" s="526"/>
      <c r="I33" s="526"/>
      <c r="J33" s="526"/>
      <c r="K33" s="526"/>
      <c r="L33" s="526"/>
      <c r="M33" s="617">
        <v>14</v>
      </c>
      <c r="N33" s="230"/>
    </row>
    <row r="34" spans="1:14">
      <c r="A34" s="121">
        <v>15</v>
      </c>
      <c r="B34" s="160"/>
      <c r="C34" s="526"/>
      <c r="D34" s="618"/>
      <c r="E34" s="619"/>
      <c r="F34" s="96"/>
      <c r="G34" s="460"/>
      <c r="H34" s="526"/>
      <c r="I34" s="160"/>
      <c r="J34" s="160"/>
      <c r="K34" s="160"/>
      <c r="L34" s="160"/>
      <c r="M34" s="410">
        <v>15</v>
      </c>
      <c r="N34" s="230"/>
    </row>
    <row r="35" spans="1:14">
      <c r="A35" s="121">
        <v>16</v>
      </c>
      <c r="B35" s="160"/>
      <c r="C35" s="526"/>
      <c r="D35" s="618"/>
      <c r="E35" s="619"/>
      <c r="F35" s="163"/>
      <c r="G35" s="460"/>
      <c r="H35" s="526"/>
      <c r="I35" s="526"/>
      <c r="J35" s="526"/>
      <c r="K35" s="526"/>
      <c r="L35" s="526"/>
      <c r="M35" s="617">
        <v>16</v>
      </c>
      <c r="N35" s="230"/>
    </row>
    <row r="36" spans="1:14">
      <c r="A36" s="121">
        <v>17</v>
      </c>
      <c r="B36" s="160"/>
      <c r="C36" s="526"/>
      <c r="D36" s="618"/>
      <c r="E36" s="619"/>
      <c r="F36" s="96"/>
      <c r="G36" s="460"/>
      <c r="H36" s="526"/>
      <c r="I36" s="160"/>
      <c r="J36" s="160"/>
      <c r="K36" s="160"/>
      <c r="L36" s="160"/>
      <c r="M36" s="617">
        <v>17</v>
      </c>
      <c r="N36" s="230"/>
    </row>
    <row r="37" spans="1:14">
      <c r="A37" s="121">
        <v>18</v>
      </c>
      <c r="B37" s="160"/>
      <c r="C37" s="526"/>
      <c r="D37" s="618"/>
      <c r="E37" s="619"/>
      <c r="F37" s="163"/>
      <c r="G37" s="460"/>
      <c r="H37" s="526"/>
      <c r="I37" s="526"/>
      <c r="J37" s="526"/>
      <c r="K37" s="526"/>
      <c r="L37" s="526"/>
      <c r="M37" s="617">
        <v>18</v>
      </c>
      <c r="N37" s="230"/>
    </row>
    <row r="38" spans="1:14">
      <c r="A38" s="121">
        <v>19</v>
      </c>
      <c r="B38" s="160"/>
      <c r="C38" s="557"/>
      <c r="D38" s="618"/>
      <c r="E38" s="619"/>
      <c r="F38" s="163"/>
      <c r="G38" s="620"/>
      <c r="H38" s="526"/>
      <c r="I38" s="526"/>
      <c r="J38" s="526"/>
      <c r="K38" s="526"/>
      <c r="L38" s="526"/>
      <c r="M38" s="617">
        <v>19</v>
      </c>
      <c r="N38" s="230"/>
    </row>
    <row r="39" spans="1:14">
      <c r="A39" s="121">
        <v>20</v>
      </c>
      <c r="B39" s="666" t="s">
        <v>3323</v>
      </c>
      <c r="C39" s="448">
        <f>SUM(C20:C38)</f>
        <v>225000</v>
      </c>
      <c r="D39" s="557"/>
      <c r="E39" s="619"/>
      <c r="F39" s="621"/>
      <c r="G39" s="447">
        <f t="shared" ref="G39:L39" si="0">SUM(G20:G38)</f>
        <v>225000</v>
      </c>
      <c r="H39" s="450">
        <f t="shared" si="0"/>
        <v>10000000</v>
      </c>
      <c r="I39" s="448">
        <f t="shared" si="0"/>
        <v>0</v>
      </c>
      <c r="J39" s="450">
        <f t="shared" si="0"/>
        <v>0</v>
      </c>
      <c r="K39" s="448">
        <f t="shared" si="0"/>
        <v>0</v>
      </c>
      <c r="L39" s="450">
        <f t="shared" si="0"/>
        <v>0</v>
      </c>
      <c r="M39" s="617">
        <v>20</v>
      </c>
      <c r="N39" s="230"/>
    </row>
    <row r="40" spans="1:14">
      <c r="A40" s="121">
        <v>21</v>
      </c>
      <c r="B40" s="929"/>
      <c r="C40" s="880"/>
      <c r="D40" s="930"/>
      <c r="E40" s="931"/>
      <c r="F40" s="932"/>
      <c r="G40" s="933"/>
      <c r="H40" s="880"/>
      <c r="I40" s="880"/>
      <c r="J40" s="880"/>
      <c r="K40" s="880"/>
      <c r="L40" s="880"/>
      <c r="M40" s="617">
        <v>21</v>
      </c>
      <c r="N40" s="230"/>
    </row>
    <row r="41" spans="1:14">
      <c r="A41" s="121">
        <v>22</v>
      </c>
      <c r="B41" s="615" t="s">
        <v>3620</v>
      </c>
      <c r="C41" s="923"/>
      <c r="D41" s="924"/>
      <c r="E41" s="934"/>
      <c r="F41" s="926"/>
      <c r="G41" s="927"/>
      <c r="H41" s="923"/>
      <c r="I41" s="923"/>
      <c r="J41" s="923"/>
      <c r="K41" s="923"/>
      <c r="L41" s="923"/>
      <c r="M41" s="617">
        <v>22</v>
      </c>
      <c r="N41" s="230"/>
    </row>
    <row r="42" spans="1:14">
      <c r="A42" s="121">
        <v>23</v>
      </c>
      <c r="B42" s="160" t="s">
        <v>317</v>
      </c>
      <c r="C42" s="526">
        <v>11250</v>
      </c>
      <c r="D42" s="1063">
        <v>100</v>
      </c>
      <c r="E42" s="461" t="s">
        <v>3019</v>
      </c>
      <c r="F42" s="163"/>
      <c r="G42" s="460">
        <v>11250</v>
      </c>
      <c r="H42" s="1064">
        <v>1125000</v>
      </c>
      <c r="I42" s="526"/>
      <c r="J42" s="544"/>
      <c r="K42" s="526"/>
      <c r="L42" s="544"/>
      <c r="M42" s="617">
        <v>23</v>
      </c>
      <c r="N42" s="230"/>
    </row>
    <row r="43" spans="1:14">
      <c r="A43" s="121">
        <v>24</v>
      </c>
      <c r="B43" s="526"/>
      <c r="C43" s="526"/>
      <c r="D43" s="557"/>
      <c r="E43" s="461"/>
      <c r="F43" s="163"/>
      <c r="G43" s="460"/>
      <c r="H43" s="526"/>
      <c r="I43" s="526"/>
      <c r="J43" s="526"/>
      <c r="K43" s="526"/>
      <c r="L43" s="526"/>
      <c r="M43" s="617">
        <v>24</v>
      </c>
      <c r="N43" s="230"/>
    </row>
    <row r="44" spans="1:14">
      <c r="A44" s="121">
        <v>25</v>
      </c>
      <c r="B44" s="526"/>
      <c r="C44" s="526"/>
      <c r="D44" s="557"/>
      <c r="E44" s="461"/>
      <c r="F44" s="163"/>
      <c r="G44" s="460"/>
      <c r="H44" s="526"/>
      <c r="I44" s="526"/>
      <c r="J44" s="526"/>
      <c r="K44" s="526"/>
      <c r="L44" s="526"/>
      <c r="M44" s="617">
        <v>25</v>
      </c>
      <c r="N44" s="230"/>
    </row>
    <row r="45" spans="1:14">
      <c r="A45" s="121">
        <v>26</v>
      </c>
      <c r="B45" s="526"/>
      <c r="C45" s="526"/>
      <c r="D45" s="557"/>
      <c r="E45" s="461"/>
      <c r="F45" s="163"/>
      <c r="G45" s="460"/>
      <c r="H45" s="526"/>
      <c r="I45" s="526"/>
      <c r="J45" s="526"/>
      <c r="K45" s="526"/>
      <c r="L45" s="526"/>
      <c r="M45" s="617">
        <v>26</v>
      </c>
      <c r="N45" s="230"/>
    </row>
    <row r="46" spans="1:14">
      <c r="A46" s="121">
        <v>27</v>
      </c>
      <c r="B46" s="526"/>
      <c r="C46" s="526"/>
      <c r="D46" s="557"/>
      <c r="E46" s="461"/>
      <c r="F46" s="163"/>
      <c r="G46" s="460"/>
      <c r="H46" s="526"/>
      <c r="I46" s="526"/>
      <c r="J46" s="526"/>
      <c r="K46" s="526"/>
      <c r="L46" s="526"/>
      <c r="M46" s="617">
        <v>27</v>
      </c>
      <c r="N46" s="230"/>
    </row>
    <row r="47" spans="1:14">
      <c r="A47" s="121">
        <v>28</v>
      </c>
      <c r="B47" s="526"/>
      <c r="C47" s="526"/>
      <c r="D47" s="557"/>
      <c r="E47" s="461"/>
      <c r="F47" s="163"/>
      <c r="G47" s="460"/>
      <c r="H47" s="526"/>
      <c r="I47" s="526"/>
      <c r="J47" s="526"/>
      <c r="K47" s="526"/>
      <c r="L47" s="526"/>
      <c r="M47" s="617">
        <v>28</v>
      </c>
      <c r="N47" s="230"/>
    </row>
    <row r="48" spans="1:14">
      <c r="A48" s="121">
        <v>29</v>
      </c>
      <c r="B48" s="526"/>
      <c r="C48" s="526"/>
      <c r="D48" s="557"/>
      <c r="E48" s="461"/>
      <c r="F48" s="163"/>
      <c r="G48" s="460"/>
      <c r="H48" s="526"/>
      <c r="I48" s="526"/>
      <c r="J48" s="526"/>
      <c r="K48" s="526"/>
      <c r="L48" s="526"/>
      <c r="M48" s="617">
        <v>29</v>
      </c>
      <c r="N48" s="230"/>
    </row>
    <row r="49" spans="1:14">
      <c r="A49" s="121">
        <v>30</v>
      </c>
      <c r="B49" s="526"/>
      <c r="C49" s="526"/>
      <c r="D49" s="557"/>
      <c r="E49" s="461"/>
      <c r="F49" s="163"/>
      <c r="G49" s="460"/>
      <c r="H49" s="526"/>
      <c r="I49" s="526"/>
      <c r="J49" s="526"/>
      <c r="K49" s="526"/>
      <c r="L49" s="526"/>
      <c r="M49" s="410">
        <v>30</v>
      </c>
      <c r="N49" s="230"/>
    </row>
    <row r="50" spans="1:14">
      <c r="A50" s="121">
        <v>31</v>
      </c>
      <c r="B50" s="526"/>
      <c r="C50" s="526"/>
      <c r="D50" s="557"/>
      <c r="E50" s="461"/>
      <c r="F50" s="163"/>
      <c r="G50" s="460"/>
      <c r="H50" s="526"/>
      <c r="I50" s="526"/>
      <c r="J50" s="526"/>
      <c r="K50" s="526"/>
      <c r="L50" s="526"/>
      <c r="M50" s="410">
        <v>31</v>
      </c>
      <c r="N50" s="230"/>
    </row>
    <row r="51" spans="1:14">
      <c r="A51" s="121">
        <v>32</v>
      </c>
      <c r="B51" s="526"/>
      <c r="C51" s="526"/>
      <c r="D51" s="557"/>
      <c r="E51" s="461"/>
      <c r="F51" s="163"/>
      <c r="G51" s="460"/>
      <c r="H51" s="526"/>
      <c r="I51" s="526"/>
      <c r="J51" s="526"/>
      <c r="K51" s="526"/>
      <c r="L51" s="526"/>
      <c r="M51" s="410">
        <v>32</v>
      </c>
      <c r="N51" s="230"/>
    </row>
    <row r="52" spans="1:14">
      <c r="A52" s="121">
        <v>33</v>
      </c>
      <c r="B52" s="526"/>
      <c r="C52" s="526"/>
      <c r="D52" s="557"/>
      <c r="E52" s="461"/>
      <c r="F52" s="163"/>
      <c r="G52" s="460"/>
      <c r="H52" s="526"/>
      <c r="I52" s="526"/>
      <c r="J52" s="526"/>
      <c r="K52" s="526"/>
      <c r="L52" s="526"/>
      <c r="M52" s="410">
        <v>33</v>
      </c>
      <c r="N52" s="230"/>
    </row>
    <row r="53" spans="1:14">
      <c r="A53" s="121">
        <v>34</v>
      </c>
      <c r="B53" s="526"/>
      <c r="C53" s="526"/>
      <c r="D53" s="557"/>
      <c r="E53" s="461"/>
      <c r="F53" s="163"/>
      <c r="G53" s="460"/>
      <c r="H53" s="526"/>
      <c r="I53" s="526"/>
      <c r="J53" s="526"/>
      <c r="K53" s="526"/>
      <c r="L53" s="526"/>
      <c r="M53" s="410">
        <v>34</v>
      </c>
      <c r="N53" s="230"/>
    </row>
    <row r="54" spans="1:14">
      <c r="A54" s="121">
        <v>35</v>
      </c>
      <c r="B54" s="526"/>
      <c r="C54" s="526"/>
      <c r="D54" s="557"/>
      <c r="E54" s="461"/>
      <c r="F54" s="163"/>
      <c r="G54" s="460"/>
      <c r="H54" s="526"/>
      <c r="I54" s="526"/>
      <c r="J54" s="526"/>
      <c r="K54" s="526"/>
      <c r="L54" s="526"/>
      <c r="M54" s="410">
        <v>35</v>
      </c>
      <c r="N54" s="230"/>
    </row>
    <row r="55" spans="1:14">
      <c r="A55" s="121">
        <v>36</v>
      </c>
      <c r="B55" s="526"/>
      <c r="C55" s="526"/>
      <c r="D55" s="557"/>
      <c r="E55" s="461"/>
      <c r="F55" s="163"/>
      <c r="G55" s="460"/>
      <c r="H55" s="526"/>
      <c r="I55" s="526"/>
      <c r="J55" s="526"/>
      <c r="K55" s="526"/>
      <c r="L55" s="526"/>
      <c r="M55" s="410">
        <v>36</v>
      </c>
      <c r="N55" s="230"/>
    </row>
    <row r="56" spans="1:14">
      <c r="A56" s="121">
        <v>37</v>
      </c>
      <c r="B56" s="526"/>
      <c r="C56" s="526"/>
      <c r="D56" s="557"/>
      <c r="E56" s="461"/>
      <c r="F56" s="163"/>
      <c r="G56" s="460"/>
      <c r="H56" s="526"/>
      <c r="I56" s="526"/>
      <c r="J56" s="526"/>
      <c r="K56" s="526"/>
      <c r="L56" s="526"/>
      <c r="M56" s="410">
        <v>37</v>
      </c>
      <c r="N56" s="230"/>
    </row>
    <row r="57" spans="1:14">
      <c r="A57" s="121">
        <v>38</v>
      </c>
      <c r="B57" s="526"/>
      <c r="C57" s="526"/>
      <c r="D57" s="557"/>
      <c r="E57" s="461"/>
      <c r="F57" s="163"/>
      <c r="G57" s="460"/>
      <c r="H57" s="526"/>
      <c r="I57" s="526"/>
      <c r="J57" s="526"/>
      <c r="K57" s="526"/>
      <c r="L57" s="526"/>
      <c r="M57" s="410">
        <v>38</v>
      </c>
      <c r="N57" s="230"/>
    </row>
    <row r="58" spans="1:14">
      <c r="A58" s="121">
        <v>39</v>
      </c>
      <c r="B58" s="526"/>
      <c r="C58" s="526"/>
      <c r="D58" s="557"/>
      <c r="E58" s="461"/>
      <c r="F58" s="163"/>
      <c r="G58" s="460"/>
      <c r="H58" s="526"/>
      <c r="I58" s="526"/>
      <c r="J58" s="526"/>
      <c r="K58" s="526"/>
      <c r="L58" s="526"/>
      <c r="M58" s="410">
        <v>39</v>
      </c>
      <c r="N58" s="230"/>
    </row>
    <row r="59" spans="1:14">
      <c r="A59" s="121">
        <v>40</v>
      </c>
      <c r="B59" s="526"/>
      <c r="C59" s="526"/>
      <c r="D59" s="557"/>
      <c r="E59" s="461"/>
      <c r="F59" s="163"/>
      <c r="G59" s="460"/>
      <c r="H59" s="526"/>
      <c r="I59" s="526"/>
      <c r="J59" s="526"/>
      <c r="K59" s="526"/>
      <c r="L59" s="526"/>
      <c r="M59" s="410">
        <v>40</v>
      </c>
      <c r="N59" s="230"/>
    </row>
    <row r="60" spans="1:14">
      <c r="A60" s="121">
        <v>41</v>
      </c>
      <c r="B60" s="666" t="s">
        <v>3323</v>
      </c>
      <c r="C60" s="448">
        <f>SUM(C41:C59)</f>
        <v>11250</v>
      </c>
      <c r="D60" s="618"/>
      <c r="E60" s="619"/>
      <c r="F60" s="515"/>
      <c r="G60" s="447">
        <f t="shared" ref="G60:L60" si="1">SUM(G41:G59)</f>
        <v>11250</v>
      </c>
      <c r="H60" s="450">
        <f t="shared" si="1"/>
        <v>1125000</v>
      </c>
      <c r="I60" s="448">
        <f t="shared" si="1"/>
        <v>0</v>
      </c>
      <c r="J60" s="450">
        <f t="shared" si="1"/>
        <v>0</v>
      </c>
      <c r="K60" s="448">
        <f t="shared" si="1"/>
        <v>0</v>
      </c>
      <c r="L60" s="450">
        <f t="shared" si="1"/>
        <v>0</v>
      </c>
      <c r="M60" s="410">
        <v>41</v>
      </c>
      <c r="N60" s="230"/>
    </row>
    <row r="61" spans="1:14" ht="15.75" thickBot="1">
      <c r="A61" s="471">
        <v>42</v>
      </c>
      <c r="B61" s="935"/>
      <c r="C61" s="935"/>
      <c r="D61" s="936"/>
      <c r="E61" s="937"/>
      <c r="F61" s="938"/>
      <c r="G61" s="939"/>
      <c r="H61" s="935"/>
      <c r="I61" s="935"/>
      <c r="J61" s="935"/>
      <c r="K61" s="935"/>
      <c r="L61" s="935"/>
      <c r="M61" s="622">
        <v>42</v>
      </c>
      <c r="N61" s="230"/>
    </row>
    <row r="62" spans="1:14">
      <c r="A62" s="97" t="s">
        <v>4066</v>
      </c>
      <c r="B62" s="97"/>
      <c r="C62" s="97"/>
      <c r="D62" s="97"/>
      <c r="E62" s="97"/>
      <c r="F62" s="97"/>
      <c r="G62" s="97"/>
      <c r="H62" s="97"/>
      <c r="I62" s="97"/>
      <c r="J62" s="97"/>
      <c r="K62" s="97"/>
      <c r="L62" s="97" t="s">
        <v>4066</v>
      </c>
      <c r="M62" s="97"/>
      <c r="N62" s="230"/>
    </row>
    <row r="63" spans="1:14">
      <c r="A63" s="128" t="s">
        <v>3621</v>
      </c>
      <c r="B63" s="128"/>
      <c r="C63" s="128"/>
      <c r="D63" s="128"/>
      <c r="E63" s="128"/>
      <c r="F63" s="128" t="s">
        <v>3622</v>
      </c>
      <c r="G63" s="128"/>
      <c r="H63" s="128"/>
      <c r="I63" s="128"/>
      <c r="J63" s="128"/>
      <c r="K63" s="128"/>
      <c r="L63" s="128"/>
      <c r="M63" s="128"/>
      <c r="N63" s="230"/>
    </row>
    <row r="64" spans="1:14">
      <c r="A64" s="128"/>
      <c r="B64" s="128"/>
      <c r="C64" s="128"/>
      <c r="D64" s="128"/>
      <c r="E64" s="128"/>
      <c r="F64" s="128"/>
      <c r="G64" s="128"/>
      <c r="H64" s="128"/>
      <c r="I64" s="128"/>
      <c r="J64" s="128"/>
      <c r="K64" s="128"/>
      <c r="L64" s="128"/>
      <c r="M64" s="128"/>
      <c r="N64" s="230"/>
    </row>
    <row r="65" spans="1:14">
      <c r="A65" s="128"/>
      <c r="B65" s="128"/>
      <c r="C65" s="128"/>
      <c r="D65" s="128"/>
      <c r="E65" s="128"/>
      <c r="F65" s="128"/>
      <c r="G65" s="128"/>
      <c r="H65" s="128"/>
      <c r="I65" s="128"/>
      <c r="J65" s="128"/>
      <c r="K65" s="128"/>
      <c r="L65" s="128"/>
      <c r="M65" s="128"/>
      <c r="N65" s="230"/>
    </row>
    <row r="66" spans="1:14">
      <c r="A66" s="128"/>
      <c r="B66" s="128"/>
      <c r="C66" s="128"/>
      <c r="D66" s="128"/>
      <c r="E66" s="128"/>
      <c r="F66" s="128"/>
      <c r="G66" s="128"/>
      <c r="H66" s="128"/>
      <c r="I66" s="128"/>
      <c r="J66" s="128"/>
      <c r="K66" s="128"/>
      <c r="L66" s="128"/>
      <c r="M66" s="128"/>
      <c r="N66" s="230"/>
    </row>
    <row r="67" spans="1:14">
      <c r="A67" s="128"/>
      <c r="B67" s="128"/>
      <c r="C67" s="128"/>
      <c r="D67" s="128"/>
      <c r="E67" s="128"/>
      <c r="F67" s="128"/>
      <c r="G67" s="128"/>
      <c r="H67" s="128"/>
      <c r="I67" s="128"/>
      <c r="J67" s="128"/>
      <c r="K67" s="128"/>
      <c r="L67" s="128"/>
      <c r="M67" s="128"/>
      <c r="N67" s="230"/>
    </row>
    <row r="68" spans="1:14">
      <c r="A68" s="128"/>
      <c r="B68" s="128"/>
      <c r="C68" s="128"/>
      <c r="D68" s="128"/>
      <c r="E68" s="128"/>
      <c r="F68" s="128"/>
      <c r="G68" s="128"/>
      <c r="H68" s="128"/>
      <c r="I68" s="128"/>
      <c r="J68" s="128"/>
      <c r="K68" s="128"/>
      <c r="L68" s="128"/>
      <c r="M68" s="128"/>
      <c r="N68" s="230"/>
    </row>
    <row r="69" spans="1:14">
      <c r="A69" s="128"/>
      <c r="B69" s="128"/>
      <c r="C69" s="128"/>
      <c r="D69" s="128"/>
      <c r="E69" s="128"/>
      <c r="F69" s="128"/>
      <c r="G69" s="128"/>
      <c r="H69" s="128"/>
      <c r="I69" s="128"/>
      <c r="J69" s="128"/>
      <c r="K69" s="128"/>
      <c r="L69" s="128"/>
      <c r="M69" s="128"/>
      <c r="N69" s="230"/>
    </row>
    <row r="70" spans="1:14">
      <c r="A70" s="97"/>
      <c r="B70" s="97"/>
      <c r="C70" s="97"/>
      <c r="D70" s="97"/>
      <c r="E70" s="97"/>
      <c r="F70" s="97"/>
      <c r="G70" s="97"/>
      <c r="H70" s="97"/>
      <c r="I70" s="97"/>
      <c r="J70" s="97"/>
      <c r="K70" s="97"/>
      <c r="L70" s="97"/>
      <c r="M70" s="97"/>
      <c r="N70" s="230"/>
    </row>
    <row r="71" spans="1:14">
      <c r="A71" s="97"/>
      <c r="B71" s="97"/>
      <c r="C71" s="97"/>
      <c r="D71" s="97"/>
      <c r="E71" s="97"/>
      <c r="F71" s="97"/>
      <c r="G71" s="97"/>
      <c r="H71" s="97"/>
      <c r="I71" s="97"/>
      <c r="J71" s="97"/>
      <c r="K71" s="97"/>
      <c r="L71" s="97"/>
      <c r="M71" s="97"/>
      <c r="N71" s="230"/>
    </row>
    <row r="72" spans="1:14">
      <c r="A72" s="97"/>
      <c r="B72" s="97"/>
      <c r="C72" s="97"/>
      <c r="D72" s="97"/>
      <c r="E72" s="97"/>
      <c r="F72" s="97"/>
      <c r="G72" s="97"/>
      <c r="H72" s="97"/>
      <c r="I72" s="97"/>
      <c r="J72" s="97"/>
      <c r="K72" s="97"/>
      <c r="L72" s="97"/>
      <c r="M72" s="97"/>
      <c r="N72" s="230"/>
    </row>
    <row r="73" spans="1:14">
      <c r="A73" s="97"/>
      <c r="B73" s="97"/>
      <c r="C73" s="97"/>
      <c r="D73" s="97"/>
      <c r="E73" s="97"/>
      <c r="F73" s="97"/>
      <c r="G73" s="97"/>
      <c r="H73" s="97"/>
      <c r="I73" s="97"/>
      <c r="J73" s="97"/>
      <c r="K73" s="97"/>
      <c r="L73" s="97"/>
      <c r="M73" s="97"/>
      <c r="N73" s="230"/>
    </row>
    <row r="74" spans="1:14">
      <c r="A74" s="97"/>
      <c r="B74" s="97"/>
      <c r="C74" s="97"/>
      <c r="D74" s="97"/>
      <c r="E74" s="97"/>
      <c r="F74" s="97"/>
      <c r="G74" s="97"/>
      <c r="H74" s="97"/>
      <c r="I74" s="97"/>
      <c r="J74" s="97"/>
      <c r="K74" s="97"/>
      <c r="L74" s="97"/>
      <c r="M74" s="97"/>
      <c r="N74" s="230"/>
    </row>
    <row r="75" spans="1:14">
      <c r="A75" s="97"/>
      <c r="B75" s="97"/>
      <c r="C75" s="97"/>
      <c r="D75" s="97"/>
      <c r="E75" s="97"/>
      <c r="F75" s="97"/>
      <c r="G75" s="97"/>
      <c r="H75" s="97"/>
      <c r="I75" s="97"/>
      <c r="J75" s="97"/>
      <c r="K75" s="97"/>
      <c r="L75" s="97"/>
      <c r="M75" s="97"/>
      <c r="N75" s="230"/>
    </row>
    <row r="76" spans="1:14">
      <c r="A76" s="97"/>
      <c r="B76" s="97"/>
      <c r="C76" s="97"/>
      <c r="D76" s="97"/>
      <c r="E76" s="97"/>
      <c r="F76" s="97"/>
      <c r="G76" s="97"/>
      <c r="H76" s="97"/>
      <c r="I76" s="97"/>
      <c r="J76" s="97"/>
      <c r="K76" s="97"/>
      <c r="L76" s="97"/>
      <c r="M76" s="97"/>
      <c r="N76" s="230"/>
    </row>
    <row r="77" spans="1:14">
      <c r="A77" s="97"/>
      <c r="B77" s="97"/>
      <c r="C77" s="97"/>
      <c r="D77" s="97"/>
      <c r="E77" s="97"/>
      <c r="F77" s="97"/>
      <c r="G77" s="97"/>
      <c r="H77" s="97"/>
      <c r="I77" s="97"/>
      <c r="J77" s="97"/>
      <c r="K77" s="97"/>
      <c r="L77" s="97"/>
      <c r="M77" s="97"/>
      <c r="N77" s="230"/>
    </row>
    <row r="78" spans="1:14">
      <c r="A78" s="97"/>
      <c r="B78" s="97"/>
      <c r="C78" s="97"/>
      <c r="D78" s="97"/>
      <c r="E78" s="97"/>
      <c r="F78" s="97"/>
      <c r="G78" s="97"/>
      <c r="H78" s="97"/>
      <c r="I78" s="97"/>
      <c r="J78" s="97"/>
      <c r="K78" s="97"/>
      <c r="L78" s="97"/>
      <c r="M78" s="97"/>
      <c r="N78" s="230"/>
    </row>
    <row r="79" spans="1:14">
      <c r="A79" s="97"/>
      <c r="B79" s="97"/>
      <c r="C79" s="97"/>
      <c r="D79" s="97"/>
      <c r="E79" s="97"/>
      <c r="F79" s="97"/>
      <c r="G79" s="97"/>
      <c r="H79" s="97"/>
      <c r="I79" s="97"/>
      <c r="J79" s="97"/>
      <c r="K79" s="97"/>
      <c r="L79" s="97"/>
      <c r="M79" s="97"/>
      <c r="N79" s="230"/>
    </row>
    <row r="80" spans="1:14">
      <c r="A80" s="97"/>
      <c r="B80" s="97"/>
      <c r="C80" s="97"/>
      <c r="D80" s="97"/>
      <c r="E80" s="97"/>
      <c r="F80" s="97"/>
      <c r="G80" s="97"/>
      <c r="H80" s="97"/>
      <c r="I80" s="97"/>
      <c r="J80" s="97"/>
      <c r="K80" s="97"/>
      <c r="L80" s="97"/>
      <c r="M80" s="97"/>
      <c r="N80" s="230"/>
    </row>
    <row r="81" spans="1:14">
      <c r="A81" s="97"/>
      <c r="B81" s="97"/>
      <c r="C81" s="97"/>
      <c r="D81" s="97"/>
      <c r="E81" s="97"/>
      <c r="F81" s="97"/>
      <c r="G81" s="97"/>
      <c r="H81" s="97"/>
      <c r="I81" s="97"/>
      <c r="J81" s="97"/>
      <c r="K81" s="97"/>
      <c r="L81" s="97"/>
      <c r="M81" s="97"/>
      <c r="N81" s="230"/>
    </row>
    <row r="82" spans="1:14">
      <c r="A82" s="97"/>
      <c r="B82" s="97"/>
      <c r="C82" s="97"/>
      <c r="D82" s="97"/>
      <c r="E82" s="97"/>
      <c r="F82" s="97"/>
      <c r="G82" s="97"/>
      <c r="H82" s="97"/>
      <c r="I82" s="97"/>
      <c r="J82" s="97"/>
      <c r="K82" s="97"/>
      <c r="L82" s="97"/>
      <c r="M82" s="97"/>
      <c r="N82" s="230"/>
    </row>
    <row r="83" spans="1:14">
      <c r="A83" s="97"/>
      <c r="B83" s="97"/>
      <c r="C83" s="97"/>
      <c r="D83" s="97"/>
      <c r="E83" s="97"/>
      <c r="F83" s="97"/>
      <c r="G83" s="97"/>
      <c r="H83" s="97"/>
      <c r="I83" s="97"/>
      <c r="J83" s="97"/>
      <c r="K83" s="97"/>
      <c r="L83" s="97"/>
      <c r="M83" s="97"/>
      <c r="N83" s="230"/>
    </row>
    <row r="84" spans="1:14">
      <c r="A84" s="97"/>
      <c r="B84" s="97"/>
      <c r="C84" s="97"/>
      <c r="D84" s="97"/>
      <c r="E84" s="97"/>
      <c r="F84" s="97"/>
      <c r="G84" s="97"/>
      <c r="H84" s="97"/>
      <c r="I84" s="97"/>
      <c r="J84" s="97"/>
      <c r="K84" s="97"/>
      <c r="L84" s="97"/>
      <c r="M84" s="97"/>
      <c r="N84" s="230"/>
    </row>
    <row r="85" spans="1:14">
      <c r="A85" s="97"/>
      <c r="B85" s="97"/>
      <c r="C85" s="97"/>
      <c r="D85" s="97"/>
      <c r="E85" s="97"/>
      <c r="F85" s="97"/>
      <c r="G85" s="97"/>
      <c r="H85" s="97"/>
      <c r="I85" s="97"/>
      <c r="J85" s="97"/>
      <c r="K85" s="97"/>
      <c r="L85" s="97"/>
      <c r="M85" s="97"/>
      <c r="N85" s="230"/>
    </row>
    <row r="86" spans="1:14">
      <c r="A86" s="97"/>
      <c r="B86" s="97"/>
      <c r="C86" s="97"/>
      <c r="D86" s="97"/>
      <c r="E86" s="97"/>
      <c r="F86" s="97"/>
      <c r="G86" s="97"/>
      <c r="H86" s="97"/>
      <c r="I86" s="97"/>
      <c r="J86" s="97"/>
      <c r="K86" s="97"/>
      <c r="L86" s="97"/>
      <c r="M86" s="97"/>
      <c r="N86" s="230"/>
    </row>
    <row r="87" spans="1:14">
      <c r="A87" s="97"/>
      <c r="B87" s="97"/>
      <c r="C87" s="97"/>
      <c r="D87" s="97"/>
      <c r="E87" s="97"/>
      <c r="F87" s="97"/>
      <c r="G87" s="97"/>
      <c r="H87" s="97"/>
      <c r="I87" s="97"/>
      <c r="J87" s="97"/>
      <c r="K87" s="97"/>
      <c r="L87" s="97"/>
      <c r="M87" s="97"/>
      <c r="N87" s="230"/>
    </row>
    <row r="88" spans="1:14">
      <c r="A88" s="97"/>
      <c r="B88" s="97"/>
      <c r="C88" s="97"/>
      <c r="D88" s="97"/>
      <c r="E88" s="97"/>
      <c r="F88" s="97"/>
      <c r="G88" s="97"/>
      <c r="H88" s="97"/>
      <c r="I88" s="97"/>
      <c r="J88" s="97"/>
      <c r="K88" s="97"/>
      <c r="L88" s="97"/>
      <c r="M88" s="97"/>
      <c r="N88" s="230"/>
    </row>
    <row r="89" spans="1:14">
      <c r="A89" s="97"/>
      <c r="B89" s="97"/>
      <c r="C89" s="97"/>
      <c r="D89" s="97"/>
      <c r="E89" s="97"/>
      <c r="F89" s="97"/>
      <c r="G89" s="97"/>
      <c r="H89" s="97"/>
      <c r="I89" s="97"/>
      <c r="J89" s="97"/>
      <c r="K89" s="97"/>
      <c r="L89" s="97"/>
      <c r="M89" s="97"/>
      <c r="N89" s="230"/>
    </row>
    <row r="90" spans="1:14">
      <c r="A90" s="97"/>
      <c r="B90" s="97"/>
      <c r="C90" s="97"/>
      <c r="D90" s="97"/>
      <c r="E90" s="97"/>
      <c r="F90" s="97"/>
      <c r="G90" s="97"/>
      <c r="H90" s="97"/>
      <c r="I90" s="97"/>
      <c r="J90" s="97"/>
      <c r="K90" s="97"/>
      <c r="L90" s="97"/>
      <c r="M90" s="97"/>
      <c r="N90" s="230"/>
    </row>
    <row r="91" spans="1:14">
      <c r="A91" s="97"/>
      <c r="B91" s="97"/>
      <c r="C91" s="97"/>
      <c r="D91" s="97"/>
      <c r="E91" s="97"/>
      <c r="F91" s="97"/>
      <c r="G91" s="97"/>
      <c r="H91" s="97"/>
      <c r="I91" s="97"/>
      <c r="J91" s="97"/>
      <c r="K91" s="97"/>
      <c r="L91" s="97"/>
      <c r="M91" s="97"/>
      <c r="N91" s="230"/>
    </row>
    <row r="92" spans="1:14">
      <c r="A92" s="97"/>
      <c r="B92" s="97"/>
      <c r="C92" s="97"/>
      <c r="D92" s="97"/>
      <c r="E92" s="97"/>
      <c r="F92" s="97"/>
      <c r="G92" s="97"/>
      <c r="H92" s="97"/>
      <c r="I92" s="97"/>
      <c r="J92" s="97"/>
      <c r="K92" s="97"/>
      <c r="L92" s="97"/>
      <c r="M92" s="97"/>
      <c r="N92" s="230"/>
    </row>
    <row r="93" spans="1:14">
      <c r="A93" s="97"/>
      <c r="B93" s="97"/>
      <c r="C93" s="97"/>
      <c r="D93" s="97"/>
      <c r="E93" s="97"/>
      <c r="F93" s="97"/>
      <c r="G93" s="97"/>
      <c r="H93" s="97"/>
      <c r="I93" s="97"/>
      <c r="J93" s="97"/>
      <c r="K93" s="97"/>
      <c r="L93" s="97"/>
      <c r="M93" s="97"/>
      <c r="N93" s="230"/>
    </row>
    <row r="94" spans="1:14">
      <c r="A94" s="97"/>
      <c r="B94" s="97"/>
      <c r="C94" s="97"/>
      <c r="D94" s="97"/>
      <c r="E94" s="97"/>
      <c r="F94" s="97"/>
      <c r="G94" s="97"/>
      <c r="H94" s="97"/>
      <c r="I94" s="97"/>
      <c r="J94" s="97"/>
      <c r="K94" s="97"/>
      <c r="L94" s="97"/>
      <c r="M94" s="97"/>
      <c r="N94" s="230"/>
    </row>
    <row r="95" spans="1:14">
      <c r="A95" s="97"/>
      <c r="B95" s="97"/>
      <c r="C95" s="97"/>
      <c r="D95" s="97"/>
      <c r="E95" s="97"/>
      <c r="F95" s="97"/>
      <c r="G95" s="97"/>
      <c r="H95" s="97"/>
      <c r="I95" s="97"/>
      <c r="J95" s="97"/>
      <c r="K95" s="97"/>
      <c r="L95" s="97"/>
      <c r="M95" s="97"/>
      <c r="N95" s="230"/>
    </row>
    <row r="96" spans="1:14">
      <c r="A96" s="97"/>
      <c r="B96" s="97"/>
      <c r="C96" s="97"/>
      <c r="D96" s="97"/>
      <c r="E96" s="97"/>
      <c r="F96" s="97"/>
      <c r="G96" s="97"/>
      <c r="H96" s="97"/>
      <c r="I96" s="97"/>
      <c r="J96" s="97"/>
      <c r="K96" s="97"/>
      <c r="L96" s="97"/>
      <c r="M96" s="97"/>
      <c r="N96" s="230"/>
    </row>
    <row r="97" spans="1:14">
      <c r="A97" s="97"/>
      <c r="B97" s="97"/>
      <c r="C97" s="97"/>
      <c r="D97" s="97"/>
      <c r="E97" s="97"/>
      <c r="F97" s="97"/>
      <c r="G97" s="97"/>
      <c r="H97" s="97"/>
      <c r="I97" s="97"/>
      <c r="J97" s="97"/>
      <c r="K97" s="97"/>
      <c r="L97" s="97"/>
      <c r="M97" s="97"/>
      <c r="N97" s="230"/>
    </row>
    <row r="98" spans="1:14">
      <c r="A98" s="97"/>
      <c r="B98" s="97"/>
      <c r="C98" s="97"/>
      <c r="D98" s="97"/>
      <c r="E98" s="97"/>
      <c r="F98" s="97"/>
      <c r="G98" s="97"/>
      <c r="H98" s="97"/>
      <c r="I98" s="97"/>
      <c r="J98" s="97"/>
      <c r="K98" s="97"/>
      <c r="L98" s="97"/>
      <c r="M98" s="97"/>
      <c r="N98" s="230"/>
    </row>
    <row r="99" spans="1:14">
      <c r="A99" s="97"/>
      <c r="B99" s="97"/>
      <c r="C99" s="97"/>
      <c r="D99" s="97"/>
      <c r="E99" s="97"/>
      <c r="F99" s="97"/>
      <c r="G99" s="97"/>
      <c r="H99" s="97"/>
      <c r="I99" s="97"/>
      <c r="J99" s="97"/>
      <c r="K99" s="97"/>
      <c r="L99" s="97"/>
      <c r="M99" s="97"/>
      <c r="N99" s="230"/>
    </row>
    <row r="100" spans="1:14">
      <c r="A100" s="97"/>
      <c r="B100" s="97"/>
      <c r="C100" s="97"/>
      <c r="D100" s="97"/>
      <c r="E100" s="97"/>
      <c r="F100" s="97"/>
      <c r="G100" s="97"/>
      <c r="H100" s="97"/>
      <c r="I100" s="97"/>
      <c r="J100" s="97"/>
      <c r="K100" s="97"/>
      <c r="L100" s="97"/>
      <c r="M100" s="97"/>
      <c r="N100" s="230"/>
    </row>
    <row r="101" spans="1:14">
      <c r="A101" s="97"/>
      <c r="B101" s="97"/>
      <c r="C101" s="97"/>
      <c r="D101" s="97"/>
      <c r="E101" s="97"/>
      <c r="F101" s="97"/>
      <c r="G101" s="97"/>
      <c r="H101" s="97"/>
      <c r="I101" s="97"/>
      <c r="J101" s="97"/>
      <c r="K101" s="97"/>
      <c r="L101" s="97"/>
      <c r="M101" s="97"/>
      <c r="N101" s="230"/>
    </row>
    <row r="102" spans="1:14">
      <c r="A102" s="97"/>
      <c r="B102" s="97"/>
      <c r="C102" s="97"/>
      <c r="D102" s="97"/>
      <c r="E102" s="97"/>
      <c r="F102" s="97"/>
      <c r="G102" s="97"/>
      <c r="H102" s="97"/>
      <c r="I102" s="97"/>
      <c r="J102" s="97"/>
      <c r="K102" s="97"/>
      <c r="L102" s="97"/>
      <c r="M102" s="97"/>
      <c r="N102" s="230"/>
    </row>
    <row r="103" spans="1:14">
      <c r="A103" s="97"/>
      <c r="B103" s="97"/>
      <c r="C103" s="97"/>
      <c r="D103" s="97"/>
      <c r="E103" s="97"/>
      <c r="F103" s="97"/>
      <c r="G103" s="97"/>
      <c r="H103" s="97"/>
      <c r="I103" s="97"/>
      <c r="J103" s="97"/>
      <c r="K103" s="97"/>
      <c r="L103" s="97"/>
      <c r="M103" s="97"/>
      <c r="N103" s="230"/>
    </row>
    <row r="104" spans="1:14">
      <c r="A104" s="97"/>
      <c r="B104" s="97"/>
      <c r="C104" s="97"/>
      <c r="D104" s="97"/>
      <c r="E104" s="97"/>
      <c r="F104" s="97"/>
      <c r="G104" s="97"/>
      <c r="H104" s="97"/>
      <c r="I104" s="97"/>
      <c r="J104" s="97"/>
      <c r="K104" s="97"/>
      <c r="L104" s="97"/>
      <c r="M104" s="97"/>
      <c r="N104" s="230"/>
    </row>
    <row r="105" spans="1:14">
      <c r="A105" s="97"/>
      <c r="B105" s="97"/>
      <c r="C105" s="97"/>
      <c r="D105" s="97"/>
      <c r="E105" s="97"/>
      <c r="F105" s="97"/>
      <c r="G105" s="97"/>
      <c r="H105" s="97"/>
      <c r="I105" s="97"/>
      <c r="J105" s="97"/>
      <c r="K105" s="97"/>
      <c r="L105" s="97"/>
      <c r="M105" s="97"/>
      <c r="N105" s="230"/>
    </row>
    <row r="106" spans="1:14">
      <c r="A106" s="97"/>
      <c r="B106" s="97"/>
      <c r="C106" s="97"/>
      <c r="D106" s="97"/>
      <c r="E106" s="97"/>
      <c r="F106" s="97"/>
      <c r="G106" s="97"/>
      <c r="H106" s="97"/>
      <c r="I106" s="97"/>
      <c r="J106" s="97"/>
      <c r="K106" s="97"/>
      <c r="L106" s="97"/>
      <c r="M106" s="97"/>
      <c r="N106" s="230"/>
    </row>
    <row r="107" spans="1:14">
      <c r="A107" s="97"/>
      <c r="B107" s="97"/>
      <c r="C107" s="97"/>
      <c r="D107" s="97"/>
      <c r="E107" s="97"/>
      <c r="F107" s="97"/>
      <c r="G107" s="97"/>
      <c r="H107" s="97"/>
      <c r="I107" s="97"/>
      <c r="J107" s="97"/>
      <c r="K107" s="97"/>
      <c r="L107" s="97"/>
      <c r="M107" s="97"/>
      <c r="N107" s="230"/>
    </row>
    <row r="108" spans="1:14">
      <c r="A108" s="97"/>
      <c r="B108" s="97"/>
      <c r="C108" s="97"/>
      <c r="D108" s="97"/>
      <c r="E108" s="97"/>
      <c r="F108" s="97"/>
      <c r="G108" s="97"/>
      <c r="H108" s="97"/>
      <c r="I108" s="97"/>
      <c r="J108" s="97"/>
      <c r="K108" s="97"/>
      <c r="L108" s="97"/>
      <c r="M108" s="97"/>
      <c r="N108" s="230"/>
    </row>
    <row r="109" spans="1:14">
      <c r="A109" s="97"/>
      <c r="B109" s="97"/>
      <c r="C109" s="97"/>
      <c r="D109" s="97"/>
      <c r="E109" s="97"/>
      <c r="F109" s="97"/>
      <c r="G109" s="97"/>
      <c r="H109" s="97"/>
      <c r="I109" s="97"/>
      <c r="J109" s="97"/>
      <c r="K109" s="97"/>
      <c r="L109" s="97"/>
      <c r="M109" s="97"/>
      <c r="N109" s="230"/>
    </row>
    <row r="110" spans="1:14">
      <c r="A110" s="97"/>
      <c r="B110" s="97"/>
      <c r="C110" s="97"/>
      <c r="D110" s="97"/>
      <c r="E110" s="97"/>
      <c r="F110" s="97"/>
      <c r="G110" s="97"/>
      <c r="H110" s="97"/>
      <c r="I110" s="97"/>
      <c r="J110" s="97"/>
      <c r="K110" s="97"/>
      <c r="L110" s="97"/>
      <c r="M110" s="97"/>
      <c r="N110" s="230"/>
    </row>
    <row r="111" spans="1:14">
      <c r="A111" s="97"/>
      <c r="B111" s="97"/>
      <c r="C111" s="97"/>
      <c r="D111" s="97"/>
      <c r="E111" s="97"/>
      <c r="F111" s="97"/>
      <c r="G111" s="97"/>
      <c r="H111" s="97"/>
      <c r="I111" s="97"/>
      <c r="J111" s="97"/>
      <c r="K111" s="97"/>
      <c r="L111" s="97"/>
      <c r="M111" s="97"/>
      <c r="N111" s="230"/>
    </row>
    <row r="112" spans="1:14">
      <c r="A112" s="97"/>
      <c r="B112" s="97"/>
      <c r="C112" s="97"/>
      <c r="D112" s="97"/>
      <c r="E112" s="97"/>
      <c r="F112" s="97"/>
      <c r="G112" s="97"/>
      <c r="H112" s="97"/>
      <c r="I112" s="97"/>
      <c r="J112" s="97"/>
      <c r="K112" s="97"/>
      <c r="L112" s="97"/>
      <c r="M112" s="97"/>
      <c r="N112" s="230"/>
    </row>
    <row r="113" spans="1:14">
      <c r="A113" s="97"/>
      <c r="B113" s="97"/>
      <c r="C113" s="97"/>
      <c r="D113" s="97"/>
      <c r="E113" s="97"/>
      <c r="F113" s="97"/>
      <c r="G113" s="97"/>
      <c r="H113" s="97"/>
      <c r="I113" s="97"/>
      <c r="J113" s="97"/>
      <c r="K113" s="97"/>
      <c r="L113" s="97"/>
      <c r="M113" s="97"/>
      <c r="N113" s="230"/>
    </row>
    <row r="114" spans="1:14">
      <c r="A114" s="97"/>
      <c r="B114" s="97"/>
      <c r="C114" s="97"/>
      <c r="D114" s="97"/>
      <c r="E114" s="97"/>
      <c r="F114" s="97"/>
      <c r="G114" s="97"/>
      <c r="H114" s="97"/>
      <c r="I114" s="97"/>
      <c r="J114" s="97"/>
      <c r="K114" s="97"/>
      <c r="L114" s="97"/>
      <c r="M114" s="97"/>
      <c r="N114" s="230"/>
    </row>
    <row r="115" spans="1:14">
      <c r="A115" s="97"/>
      <c r="B115" s="97"/>
      <c r="C115" s="97"/>
      <c r="D115" s="97"/>
      <c r="E115" s="97"/>
      <c r="F115" s="97"/>
      <c r="G115" s="97"/>
      <c r="H115" s="97"/>
      <c r="I115" s="97"/>
      <c r="J115" s="97"/>
      <c r="K115" s="97"/>
      <c r="L115" s="97"/>
      <c r="M115" s="97"/>
      <c r="N115" s="230"/>
    </row>
    <row r="116" spans="1:14">
      <c r="A116" s="97"/>
      <c r="B116" s="97"/>
      <c r="C116" s="97"/>
      <c r="D116" s="97"/>
      <c r="E116" s="97"/>
      <c r="F116" s="97"/>
      <c r="G116" s="97"/>
      <c r="H116" s="97"/>
      <c r="I116" s="97"/>
      <c r="J116" s="97"/>
      <c r="K116" s="97"/>
      <c r="L116" s="97"/>
      <c r="M116" s="97"/>
      <c r="N116" s="230"/>
    </row>
    <row r="117" spans="1:14">
      <c r="A117" s="97"/>
      <c r="B117" s="97"/>
      <c r="C117" s="97"/>
      <c r="D117" s="97"/>
      <c r="E117" s="97"/>
      <c r="F117" s="97"/>
      <c r="G117" s="97"/>
      <c r="H117" s="97"/>
      <c r="I117" s="97"/>
      <c r="J117" s="97"/>
      <c r="K117" s="97"/>
      <c r="L117" s="97"/>
      <c r="M117" s="97"/>
      <c r="N117" s="230"/>
    </row>
    <row r="118" spans="1:14">
      <c r="A118" s="97"/>
      <c r="B118" s="97"/>
      <c r="C118" s="97"/>
      <c r="D118" s="97"/>
      <c r="E118" s="97"/>
      <c r="F118" s="97"/>
      <c r="G118" s="97"/>
      <c r="H118" s="97"/>
      <c r="I118" s="97"/>
      <c r="J118" s="97"/>
      <c r="K118" s="97"/>
      <c r="L118" s="97"/>
      <c r="M118" s="97"/>
      <c r="N118" s="230"/>
    </row>
    <row r="119" spans="1:14">
      <c r="A119" s="97"/>
      <c r="B119" s="97"/>
      <c r="C119" s="97"/>
      <c r="D119" s="97"/>
      <c r="E119" s="97"/>
      <c r="F119" s="97"/>
      <c r="G119" s="97"/>
      <c r="H119" s="97"/>
      <c r="I119" s="97"/>
      <c r="J119" s="97"/>
      <c r="K119" s="97"/>
      <c r="L119" s="97"/>
      <c r="M119" s="97"/>
      <c r="N119" s="230"/>
    </row>
    <row r="120" spans="1:14">
      <c r="A120" s="97"/>
      <c r="B120" s="97"/>
      <c r="C120" s="97"/>
      <c r="D120" s="97"/>
      <c r="E120" s="97"/>
      <c r="F120" s="97"/>
      <c r="G120" s="97"/>
      <c r="H120" s="97"/>
      <c r="I120" s="97"/>
      <c r="J120" s="97"/>
      <c r="K120" s="97"/>
      <c r="L120" s="97"/>
      <c r="M120" s="97"/>
      <c r="N120" s="230"/>
    </row>
    <row r="121" spans="1:14">
      <c r="A121" s="97"/>
      <c r="B121" s="97"/>
      <c r="C121" s="97"/>
      <c r="D121" s="97"/>
      <c r="E121" s="97"/>
      <c r="F121" s="97"/>
      <c r="G121" s="97"/>
      <c r="H121" s="97"/>
      <c r="I121" s="97"/>
      <c r="J121" s="97"/>
      <c r="K121" s="97"/>
      <c r="L121" s="97"/>
      <c r="M121" s="97"/>
      <c r="N121" s="230"/>
    </row>
    <row r="122" spans="1:14">
      <c r="A122" s="97"/>
      <c r="B122" s="97"/>
      <c r="C122" s="97"/>
      <c r="D122" s="97"/>
      <c r="E122" s="97"/>
      <c r="F122" s="97"/>
      <c r="G122" s="97"/>
      <c r="H122" s="97"/>
      <c r="I122" s="97"/>
      <c r="J122" s="97"/>
      <c r="K122" s="97"/>
      <c r="L122" s="97"/>
      <c r="M122" s="97"/>
      <c r="N122" s="230"/>
    </row>
    <row r="123" spans="1:14">
      <c r="A123" s="97"/>
      <c r="B123" s="97"/>
      <c r="C123" s="97"/>
      <c r="D123" s="97"/>
      <c r="E123" s="97"/>
      <c r="F123" s="97"/>
      <c r="G123" s="97"/>
      <c r="H123" s="97"/>
      <c r="I123" s="97"/>
      <c r="J123" s="97"/>
      <c r="K123" s="97"/>
      <c r="L123" s="97"/>
      <c r="M123" s="97"/>
      <c r="N123" s="230"/>
    </row>
    <row r="124" spans="1:14">
      <c r="A124" s="97"/>
      <c r="B124" s="97"/>
      <c r="C124" s="97"/>
      <c r="D124" s="97"/>
      <c r="E124" s="97"/>
      <c r="F124" s="97"/>
      <c r="G124" s="97"/>
      <c r="H124" s="97"/>
      <c r="I124" s="97"/>
      <c r="J124" s="97"/>
      <c r="K124" s="97"/>
      <c r="L124" s="97"/>
      <c r="M124" s="97"/>
      <c r="N124" s="230"/>
    </row>
    <row r="125" spans="1:14">
      <c r="A125" s="97"/>
      <c r="B125" s="97"/>
      <c r="C125" s="97"/>
      <c r="D125" s="97"/>
      <c r="E125" s="97"/>
      <c r="F125" s="97"/>
      <c r="G125" s="97"/>
      <c r="H125" s="97"/>
      <c r="I125" s="97"/>
      <c r="J125" s="97"/>
      <c r="K125" s="97"/>
      <c r="L125" s="97"/>
      <c r="M125" s="97"/>
      <c r="N125" s="230"/>
    </row>
    <row r="126" spans="1:14">
      <c r="A126" s="97"/>
      <c r="B126" s="97"/>
      <c r="C126" s="97"/>
      <c r="D126" s="97"/>
      <c r="E126" s="97"/>
      <c r="F126" s="97"/>
      <c r="G126" s="97"/>
      <c r="H126" s="97"/>
      <c r="I126" s="97"/>
      <c r="J126" s="97"/>
      <c r="K126" s="97"/>
      <c r="L126" s="97"/>
      <c r="M126" s="97"/>
      <c r="N126" s="230"/>
    </row>
    <row r="127" spans="1:14">
      <c r="A127" s="97"/>
      <c r="B127" s="97"/>
      <c r="C127" s="97"/>
      <c r="D127" s="97"/>
      <c r="E127" s="97"/>
      <c r="F127" s="97"/>
      <c r="G127" s="97"/>
      <c r="H127" s="97"/>
      <c r="I127" s="97"/>
      <c r="J127" s="97"/>
      <c r="K127" s="97"/>
      <c r="L127" s="97"/>
      <c r="M127" s="97"/>
      <c r="N127" s="230"/>
    </row>
    <row r="128" spans="1:14">
      <c r="A128" s="97"/>
      <c r="B128" s="97"/>
      <c r="C128" s="97"/>
      <c r="D128" s="97"/>
      <c r="E128" s="97"/>
      <c r="F128" s="97"/>
      <c r="G128" s="97"/>
      <c r="H128" s="97"/>
      <c r="I128" s="97"/>
      <c r="J128" s="97"/>
      <c r="K128" s="97"/>
      <c r="L128" s="97"/>
      <c r="M128" s="97"/>
      <c r="N128" s="230"/>
    </row>
    <row r="129" spans="1:14">
      <c r="A129" s="97"/>
      <c r="B129" s="97"/>
      <c r="C129" s="97"/>
      <c r="D129" s="97"/>
      <c r="E129" s="97"/>
      <c r="F129" s="97"/>
      <c r="G129" s="97"/>
      <c r="H129" s="97"/>
      <c r="I129" s="97"/>
      <c r="J129" s="97"/>
      <c r="K129" s="97"/>
      <c r="L129" s="97"/>
      <c r="M129" s="97"/>
      <c r="N129" s="230"/>
    </row>
    <row r="130" spans="1:14">
      <c r="A130" s="97"/>
      <c r="B130" s="97"/>
      <c r="C130" s="97"/>
      <c r="D130" s="97"/>
      <c r="E130" s="97"/>
      <c r="F130" s="97"/>
      <c r="G130" s="97"/>
      <c r="H130" s="97"/>
      <c r="I130" s="97"/>
      <c r="J130" s="97"/>
      <c r="K130" s="97"/>
      <c r="L130" s="97"/>
      <c r="M130" s="97"/>
      <c r="N130" s="230"/>
    </row>
    <row r="131" spans="1:14">
      <c r="A131" s="97"/>
      <c r="B131" s="97"/>
      <c r="C131" s="97"/>
      <c r="D131" s="97"/>
      <c r="E131" s="97"/>
      <c r="F131" s="97"/>
      <c r="G131" s="97"/>
      <c r="H131" s="97"/>
      <c r="I131" s="97"/>
      <c r="J131" s="97"/>
      <c r="K131" s="97"/>
      <c r="L131" s="97"/>
      <c r="M131" s="97"/>
      <c r="N131" s="230"/>
    </row>
    <row r="132" spans="1:14">
      <c r="A132" s="97"/>
      <c r="B132" s="97"/>
      <c r="C132" s="97"/>
      <c r="D132" s="97"/>
      <c r="E132" s="97"/>
      <c r="F132" s="97"/>
      <c r="G132" s="97"/>
      <c r="H132" s="97"/>
      <c r="I132" s="97"/>
      <c r="J132" s="97"/>
      <c r="K132" s="97"/>
      <c r="L132" s="97"/>
      <c r="M132" s="97"/>
      <c r="N132" s="230"/>
    </row>
    <row r="133" spans="1:14">
      <c r="A133" s="97"/>
      <c r="B133" s="97"/>
      <c r="C133" s="97"/>
      <c r="D133" s="97"/>
      <c r="E133" s="97"/>
      <c r="F133" s="97"/>
      <c r="G133" s="97"/>
      <c r="H133" s="97"/>
      <c r="I133" s="97"/>
      <c r="J133" s="97"/>
      <c r="K133" s="97"/>
      <c r="L133" s="97"/>
      <c r="M133" s="97"/>
      <c r="N133" s="230"/>
    </row>
    <row r="134" spans="1:14">
      <c r="A134" s="97"/>
      <c r="B134" s="97"/>
      <c r="C134" s="97"/>
      <c r="D134" s="97"/>
      <c r="E134" s="97"/>
      <c r="F134" s="97"/>
      <c r="G134" s="97"/>
      <c r="H134" s="97"/>
      <c r="I134" s="97"/>
      <c r="J134" s="97"/>
      <c r="K134" s="97"/>
      <c r="L134" s="97"/>
      <c r="M134" s="97"/>
      <c r="N134" s="230"/>
    </row>
    <row r="135" spans="1:14">
      <c r="A135" s="97"/>
      <c r="B135" s="97"/>
      <c r="C135" s="97"/>
      <c r="D135" s="97"/>
      <c r="E135" s="97"/>
      <c r="F135" s="97"/>
      <c r="G135" s="97"/>
      <c r="H135" s="97"/>
      <c r="I135" s="97"/>
      <c r="J135" s="97"/>
      <c r="K135" s="97"/>
      <c r="L135" s="97"/>
      <c r="M135" s="97"/>
      <c r="N135" s="230"/>
    </row>
    <row r="136" spans="1:14">
      <c r="A136" s="97"/>
      <c r="B136" s="97"/>
      <c r="C136" s="97"/>
      <c r="D136" s="97"/>
      <c r="E136" s="97"/>
      <c r="F136" s="97"/>
      <c r="G136" s="97"/>
      <c r="H136" s="97"/>
      <c r="I136" s="97"/>
      <c r="J136" s="97"/>
      <c r="K136" s="97"/>
      <c r="L136" s="97"/>
      <c r="M136" s="97"/>
      <c r="N136" s="230"/>
    </row>
    <row r="137" spans="1:14">
      <c r="A137" s="97"/>
      <c r="B137" s="97"/>
      <c r="C137" s="97"/>
      <c r="D137" s="97"/>
      <c r="E137" s="97"/>
      <c r="F137" s="97"/>
      <c r="G137" s="97"/>
      <c r="H137" s="97"/>
      <c r="I137" s="97"/>
      <c r="J137" s="97"/>
      <c r="K137" s="97"/>
      <c r="L137" s="97"/>
      <c r="M137" s="97"/>
      <c r="N137" s="230"/>
    </row>
    <row r="138" spans="1:14">
      <c r="A138" s="97"/>
      <c r="B138" s="97"/>
      <c r="C138" s="97"/>
      <c r="D138" s="97"/>
      <c r="E138" s="97"/>
      <c r="F138" s="97"/>
      <c r="G138" s="97"/>
      <c r="H138" s="97"/>
      <c r="I138" s="97"/>
      <c r="J138" s="97"/>
      <c r="K138" s="97"/>
      <c r="L138" s="97"/>
      <c r="M138" s="97"/>
      <c r="N138" s="230"/>
    </row>
    <row r="139" spans="1:14">
      <c r="A139" s="97"/>
      <c r="B139" s="97"/>
      <c r="C139" s="97"/>
      <c r="D139" s="97"/>
      <c r="E139" s="97"/>
      <c r="F139" s="97"/>
      <c r="G139" s="97"/>
      <c r="H139" s="97"/>
      <c r="I139" s="97"/>
      <c r="J139" s="97"/>
      <c r="K139" s="97"/>
      <c r="L139" s="97"/>
      <c r="M139" s="97"/>
      <c r="N139" s="230"/>
    </row>
    <row r="140" spans="1:14">
      <c r="A140" s="97"/>
      <c r="B140" s="97"/>
      <c r="C140" s="97"/>
      <c r="D140" s="97"/>
      <c r="E140" s="97"/>
      <c r="F140" s="97"/>
      <c r="G140" s="97"/>
      <c r="H140" s="97"/>
      <c r="I140" s="97"/>
      <c r="J140" s="97"/>
      <c r="K140" s="97"/>
      <c r="L140" s="97"/>
      <c r="M140" s="97"/>
      <c r="N140" s="230"/>
    </row>
    <row r="141" spans="1:14">
      <c r="A141" s="97"/>
      <c r="B141" s="97"/>
      <c r="C141" s="97"/>
      <c r="D141" s="97"/>
      <c r="E141" s="97"/>
      <c r="F141" s="97"/>
      <c r="G141" s="97"/>
      <c r="H141" s="97"/>
      <c r="I141" s="97"/>
      <c r="J141" s="97"/>
      <c r="K141" s="97"/>
      <c r="L141" s="97"/>
      <c r="M141" s="97"/>
      <c r="N141" s="230"/>
    </row>
    <row r="142" spans="1:14">
      <c r="A142" s="97"/>
      <c r="B142" s="97"/>
      <c r="C142" s="97"/>
      <c r="D142" s="97"/>
      <c r="E142" s="97"/>
      <c r="F142" s="97"/>
      <c r="G142" s="97"/>
      <c r="H142" s="97"/>
      <c r="I142" s="97"/>
      <c r="J142" s="97"/>
      <c r="K142" s="97"/>
      <c r="L142" s="97"/>
      <c r="M142" s="97"/>
      <c r="N142" s="230"/>
    </row>
    <row r="143" spans="1:14">
      <c r="A143" s="97"/>
      <c r="B143" s="97"/>
      <c r="C143" s="97"/>
      <c r="D143" s="97"/>
      <c r="E143" s="97"/>
      <c r="F143" s="97"/>
      <c r="G143" s="97"/>
      <c r="H143" s="97"/>
      <c r="I143" s="97"/>
      <c r="J143" s="97"/>
      <c r="K143" s="97"/>
      <c r="L143" s="97"/>
      <c r="M143" s="97"/>
      <c r="N143" s="230"/>
    </row>
    <row r="144" spans="1:14">
      <c r="A144" s="97"/>
      <c r="B144" s="97"/>
      <c r="C144" s="97"/>
      <c r="D144" s="97"/>
      <c r="E144" s="97"/>
      <c r="F144" s="97"/>
      <c r="G144" s="97"/>
      <c r="H144" s="97"/>
      <c r="I144" s="97"/>
      <c r="J144" s="97"/>
      <c r="K144" s="97"/>
      <c r="L144" s="97"/>
      <c r="M144" s="97"/>
      <c r="N144" s="230"/>
    </row>
    <row r="145" spans="1:14">
      <c r="A145" s="97"/>
      <c r="B145" s="97"/>
      <c r="C145" s="97"/>
      <c r="D145" s="97"/>
      <c r="E145" s="97"/>
      <c r="F145" s="97"/>
      <c r="G145" s="97"/>
      <c r="H145" s="97"/>
      <c r="I145" s="97"/>
      <c r="J145" s="97"/>
      <c r="K145" s="97"/>
      <c r="L145" s="97"/>
      <c r="M145" s="97"/>
      <c r="N145" s="230"/>
    </row>
    <row r="146" spans="1:14">
      <c r="A146" s="97"/>
      <c r="B146" s="97"/>
      <c r="C146" s="97"/>
      <c r="D146" s="97"/>
      <c r="E146" s="97"/>
      <c r="F146" s="97"/>
      <c r="G146" s="97"/>
      <c r="H146" s="97"/>
      <c r="I146" s="97"/>
      <c r="J146" s="97"/>
      <c r="K146" s="97"/>
      <c r="L146" s="97"/>
      <c r="M146" s="97"/>
      <c r="N146" s="230"/>
    </row>
    <row r="147" spans="1:14">
      <c r="A147" s="97"/>
      <c r="B147" s="97"/>
      <c r="C147" s="97"/>
      <c r="D147" s="97"/>
      <c r="E147" s="97"/>
      <c r="F147" s="97"/>
      <c r="G147" s="97"/>
      <c r="H147" s="97"/>
      <c r="I147" s="97"/>
      <c r="J147" s="97"/>
      <c r="K147" s="97"/>
      <c r="L147" s="97"/>
      <c r="M147" s="97"/>
      <c r="N147" s="230"/>
    </row>
    <row r="148" spans="1:14">
      <c r="A148" s="97"/>
      <c r="B148" s="97"/>
      <c r="C148" s="97"/>
      <c r="D148" s="97"/>
      <c r="E148" s="97"/>
      <c r="F148" s="97"/>
      <c r="G148" s="97"/>
      <c r="H148" s="97"/>
      <c r="I148" s="97"/>
      <c r="J148" s="97"/>
      <c r="K148" s="97"/>
      <c r="L148" s="97"/>
      <c r="M148" s="97"/>
      <c r="N148" s="230"/>
    </row>
    <row r="149" spans="1:14">
      <c r="A149" s="230"/>
      <c r="B149" s="230"/>
      <c r="C149" s="230"/>
      <c r="D149" s="230"/>
      <c r="E149" s="230"/>
      <c r="F149" s="230"/>
      <c r="G149" s="230"/>
      <c r="H149" s="230"/>
      <c r="I149" s="230"/>
      <c r="J149" s="230"/>
      <c r="K149" s="230"/>
      <c r="L149" s="230"/>
      <c r="M149" s="230"/>
      <c r="N149" s="230"/>
    </row>
    <row r="150" spans="1:14">
      <c r="A150" s="230"/>
      <c r="B150" s="230"/>
      <c r="C150" s="230"/>
      <c r="D150" s="230"/>
      <c r="E150" s="230"/>
      <c r="F150" s="230"/>
      <c r="G150" s="230"/>
      <c r="H150" s="230"/>
      <c r="I150" s="230"/>
      <c r="J150" s="230"/>
      <c r="K150" s="230"/>
      <c r="L150" s="230"/>
      <c r="M150" s="230"/>
      <c r="N150" s="230"/>
    </row>
    <row r="151" spans="1:14">
      <c r="A151" s="230"/>
      <c r="B151" s="230"/>
      <c r="C151" s="230"/>
      <c r="D151" s="230"/>
      <c r="E151" s="230"/>
      <c r="F151" s="230"/>
      <c r="G151" s="230"/>
      <c r="H151" s="230"/>
      <c r="I151" s="230"/>
      <c r="J151" s="230"/>
      <c r="K151" s="230"/>
      <c r="L151" s="230"/>
      <c r="M151" s="230"/>
      <c r="N151" s="230"/>
    </row>
    <row r="152" spans="1:14">
      <c r="A152" s="230"/>
      <c r="B152" s="230"/>
      <c r="C152" s="230"/>
      <c r="D152" s="230"/>
      <c r="E152" s="230"/>
      <c r="F152" s="230"/>
      <c r="G152" s="230"/>
      <c r="H152" s="230"/>
      <c r="I152" s="230"/>
      <c r="J152" s="230"/>
      <c r="K152" s="230"/>
      <c r="L152" s="230"/>
      <c r="M152" s="230"/>
      <c r="N152" s="230"/>
    </row>
    <row r="153" spans="1:14">
      <c r="A153" s="230"/>
      <c r="B153" s="230"/>
      <c r="C153" s="230"/>
      <c r="D153" s="230"/>
      <c r="E153" s="230"/>
      <c r="F153" s="230"/>
      <c r="G153" s="230"/>
      <c r="H153" s="230"/>
      <c r="I153" s="230"/>
      <c r="J153" s="230"/>
      <c r="K153" s="230"/>
      <c r="L153" s="230"/>
      <c r="M153" s="230"/>
      <c r="N153" s="230"/>
    </row>
    <row r="154" spans="1:14">
      <c r="A154" s="230"/>
      <c r="B154" s="230"/>
      <c r="C154" s="230"/>
      <c r="D154" s="230"/>
      <c r="E154" s="230"/>
      <c r="F154" s="230"/>
      <c r="G154" s="230"/>
      <c r="H154" s="230"/>
      <c r="I154" s="230"/>
      <c r="J154" s="230"/>
      <c r="K154" s="230"/>
      <c r="L154" s="230"/>
      <c r="M154" s="230"/>
      <c r="N154" s="230"/>
    </row>
    <row r="155" spans="1:14">
      <c r="A155" s="230"/>
      <c r="B155" s="230"/>
      <c r="C155" s="230"/>
      <c r="D155" s="230"/>
      <c r="E155" s="230"/>
      <c r="F155" s="230"/>
      <c r="G155" s="230"/>
      <c r="H155" s="230"/>
      <c r="I155" s="230"/>
      <c r="J155" s="230"/>
      <c r="K155" s="230"/>
      <c r="L155" s="230"/>
      <c r="M155" s="230"/>
      <c r="N155" s="230"/>
    </row>
    <row r="156" spans="1:14">
      <c r="A156" s="230"/>
      <c r="B156" s="230"/>
      <c r="C156" s="230"/>
      <c r="D156" s="230"/>
      <c r="E156" s="230"/>
      <c r="F156" s="230"/>
      <c r="G156" s="230"/>
      <c r="H156" s="230"/>
      <c r="I156" s="230"/>
      <c r="J156" s="230"/>
      <c r="K156" s="230"/>
      <c r="L156" s="230"/>
      <c r="M156" s="230"/>
      <c r="N156" s="230"/>
    </row>
    <row r="157" spans="1:14">
      <c r="A157" s="230"/>
      <c r="B157" s="230"/>
      <c r="C157" s="230"/>
      <c r="D157" s="230"/>
      <c r="E157" s="230"/>
      <c r="F157" s="230"/>
      <c r="G157" s="230"/>
      <c r="H157" s="230"/>
      <c r="I157" s="230"/>
      <c r="J157" s="230"/>
      <c r="K157" s="230"/>
      <c r="L157" s="230"/>
      <c r="M157" s="230"/>
      <c r="N157" s="230"/>
    </row>
    <row r="158" spans="1:14">
      <c r="A158" s="230"/>
      <c r="B158" s="230"/>
      <c r="C158" s="230"/>
      <c r="D158" s="230"/>
      <c r="E158" s="230"/>
      <c r="F158" s="230"/>
      <c r="G158" s="230"/>
      <c r="H158" s="230"/>
      <c r="I158" s="230"/>
      <c r="J158" s="230"/>
      <c r="K158" s="230"/>
      <c r="L158" s="230"/>
      <c r="M158" s="230"/>
      <c r="N158" s="230"/>
    </row>
    <row r="159" spans="1:14">
      <c r="A159" s="230"/>
      <c r="B159" s="230"/>
      <c r="C159" s="230"/>
      <c r="D159" s="230"/>
      <c r="E159" s="230"/>
      <c r="F159" s="230"/>
      <c r="G159" s="230"/>
      <c r="H159" s="230"/>
      <c r="I159" s="230"/>
      <c r="J159" s="230"/>
      <c r="K159" s="230"/>
      <c r="L159" s="230"/>
      <c r="M159" s="230"/>
      <c r="N159" s="230"/>
    </row>
    <row r="160" spans="1:14">
      <c r="A160" s="230"/>
      <c r="B160" s="230"/>
      <c r="C160" s="230"/>
      <c r="D160" s="230"/>
      <c r="E160" s="230"/>
      <c r="F160" s="230"/>
      <c r="G160" s="230"/>
      <c r="H160" s="230"/>
      <c r="I160" s="230"/>
      <c r="J160" s="230"/>
      <c r="K160" s="230"/>
      <c r="L160" s="230"/>
      <c r="M160" s="230"/>
      <c r="N160" s="230"/>
    </row>
    <row r="161" spans="1:14">
      <c r="A161" s="230"/>
      <c r="B161" s="230"/>
      <c r="C161" s="230"/>
      <c r="D161" s="230"/>
      <c r="E161" s="230"/>
      <c r="F161" s="230"/>
      <c r="G161" s="230"/>
      <c r="H161" s="230"/>
      <c r="I161" s="230"/>
      <c r="J161" s="230"/>
      <c r="K161" s="230"/>
      <c r="L161" s="230"/>
      <c r="M161" s="230"/>
      <c r="N161" s="230"/>
    </row>
    <row r="162" spans="1:14">
      <c r="A162" s="230"/>
      <c r="B162" s="230"/>
      <c r="C162" s="230"/>
      <c r="D162" s="230"/>
      <c r="E162" s="230"/>
      <c r="F162" s="230"/>
      <c r="G162" s="230"/>
      <c r="H162" s="230"/>
      <c r="I162" s="230"/>
      <c r="J162" s="230"/>
      <c r="K162" s="230"/>
      <c r="L162" s="230"/>
      <c r="M162" s="230"/>
      <c r="N162" s="230"/>
    </row>
    <row r="163" spans="1:14">
      <c r="A163" s="230"/>
      <c r="B163" s="230"/>
      <c r="C163" s="230"/>
      <c r="D163" s="230"/>
      <c r="E163" s="230"/>
      <c r="F163" s="230"/>
      <c r="G163" s="230"/>
      <c r="H163" s="230"/>
      <c r="I163" s="230"/>
      <c r="J163" s="230"/>
      <c r="K163" s="230"/>
      <c r="L163" s="230"/>
      <c r="M163" s="230"/>
      <c r="N163" s="230"/>
    </row>
    <row r="164" spans="1:14">
      <c r="A164" s="230"/>
      <c r="B164" s="230"/>
      <c r="C164" s="230"/>
      <c r="D164" s="230"/>
      <c r="E164" s="230"/>
      <c r="F164" s="230"/>
      <c r="G164" s="230"/>
      <c r="H164" s="230"/>
      <c r="I164" s="230"/>
      <c r="J164" s="230"/>
      <c r="K164" s="230"/>
      <c r="L164" s="230"/>
      <c r="M164" s="230"/>
      <c r="N164" s="230"/>
    </row>
    <row r="165" spans="1:14">
      <c r="A165" s="230"/>
      <c r="B165" s="230"/>
      <c r="C165" s="230"/>
      <c r="D165" s="230"/>
      <c r="E165" s="230"/>
      <c r="F165" s="230"/>
      <c r="G165" s="230"/>
      <c r="H165" s="230"/>
      <c r="I165" s="230"/>
      <c r="J165" s="230"/>
      <c r="K165" s="230"/>
      <c r="L165" s="230"/>
      <c r="M165" s="230"/>
      <c r="N165" s="230"/>
    </row>
    <row r="166" spans="1:14">
      <c r="A166" s="230"/>
      <c r="B166" s="230"/>
      <c r="C166" s="230"/>
      <c r="D166" s="230"/>
      <c r="E166" s="230"/>
      <c r="F166" s="230"/>
      <c r="G166" s="230"/>
      <c r="H166" s="230"/>
      <c r="I166" s="230"/>
      <c r="J166" s="230"/>
      <c r="K166" s="230"/>
      <c r="L166" s="230"/>
      <c r="M166" s="230"/>
      <c r="N166" s="230"/>
    </row>
    <row r="167" spans="1:14">
      <c r="A167" s="230"/>
      <c r="B167" s="230"/>
      <c r="C167" s="230"/>
      <c r="D167" s="230"/>
      <c r="E167" s="230"/>
      <c r="F167" s="230"/>
      <c r="G167" s="230"/>
      <c r="H167" s="230"/>
      <c r="I167" s="230"/>
      <c r="J167" s="230"/>
      <c r="K167" s="230"/>
      <c r="L167" s="230"/>
      <c r="M167" s="230"/>
      <c r="N167" s="230"/>
    </row>
    <row r="168" spans="1:14">
      <c r="A168" s="230"/>
      <c r="B168" s="230"/>
      <c r="C168" s="230"/>
      <c r="D168" s="230"/>
      <c r="E168" s="230"/>
      <c r="F168" s="230"/>
      <c r="G168" s="230"/>
      <c r="H168" s="230"/>
      <c r="I168" s="230"/>
      <c r="J168" s="230"/>
      <c r="K168" s="230"/>
      <c r="L168" s="230"/>
      <c r="M168" s="230"/>
      <c r="N168" s="230"/>
    </row>
    <row r="169" spans="1:14">
      <c r="A169" s="230"/>
      <c r="B169" s="230"/>
      <c r="C169" s="230"/>
      <c r="D169" s="230"/>
      <c r="E169" s="230"/>
      <c r="F169" s="230"/>
      <c r="G169" s="230"/>
      <c r="H169" s="230"/>
      <c r="I169" s="230"/>
      <c r="J169" s="230"/>
      <c r="K169" s="230"/>
      <c r="L169" s="230"/>
      <c r="M169" s="230"/>
      <c r="N169" s="230"/>
    </row>
    <row r="170" spans="1:14">
      <c r="A170" s="230"/>
      <c r="B170" s="230"/>
      <c r="C170" s="230"/>
      <c r="D170" s="230"/>
      <c r="E170" s="230"/>
      <c r="F170" s="230"/>
      <c r="G170" s="230"/>
      <c r="H170" s="230"/>
      <c r="I170" s="230"/>
      <c r="J170" s="230"/>
      <c r="K170" s="230"/>
      <c r="L170" s="230"/>
      <c r="M170" s="230"/>
      <c r="N170" s="230"/>
    </row>
    <row r="171" spans="1:14">
      <c r="A171" s="230"/>
      <c r="B171" s="230"/>
      <c r="C171" s="230"/>
      <c r="D171" s="230"/>
      <c r="E171" s="230"/>
      <c r="F171" s="230"/>
      <c r="G171" s="230"/>
      <c r="H171" s="230"/>
      <c r="I171" s="230"/>
      <c r="J171" s="230"/>
      <c r="K171" s="230"/>
      <c r="L171" s="230"/>
      <c r="M171" s="230"/>
      <c r="N171" s="230"/>
    </row>
    <row r="172" spans="1:14">
      <c r="A172" s="230"/>
      <c r="B172" s="230"/>
      <c r="C172" s="230"/>
      <c r="D172" s="230"/>
      <c r="E172" s="230"/>
      <c r="F172" s="230"/>
      <c r="G172" s="230"/>
      <c r="H172" s="230"/>
      <c r="I172" s="230"/>
      <c r="J172" s="230"/>
      <c r="K172" s="230"/>
      <c r="L172" s="230"/>
      <c r="M172" s="230"/>
      <c r="N172" s="230"/>
    </row>
    <row r="173" spans="1:14">
      <c r="A173" s="230"/>
      <c r="B173" s="230"/>
      <c r="C173" s="230"/>
      <c r="D173" s="230"/>
      <c r="E173" s="230"/>
      <c r="F173" s="230"/>
      <c r="G173" s="230"/>
      <c r="H173" s="230"/>
      <c r="I173" s="230"/>
      <c r="J173" s="230"/>
      <c r="K173" s="230"/>
      <c r="L173" s="230"/>
      <c r="M173" s="230"/>
      <c r="N173" s="230"/>
    </row>
    <row r="174" spans="1:14">
      <c r="A174" s="230"/>
      <c r="B174" s="230"/>
      <c r="C174" s="230"/>
      <c r="D174" s="230"/>
      <c r="E174" s="230"/>
      <c r="F174" s="230"/>
      <c r="G174" s="230"/>
      <c r="H174" s="230"/>
      <c r="I174" s="230"/>
      <c r="J174" s="230"/>
      <c r="K174" s="230"/>
      <c r="L174" s="230"/>
      <c r="M174" s="230"/>
      <c r="N174" s="230"/>
    </row>
    <row r="175" spans="1:14">
      <c r="A175" s="230"/>
      <c r="B175" s="230"/>
      <c r="C175" s="230"/>
      <c r="D175" s="230"/>
      <c r="E175" s="230"/>
      <c r="F175" s="230"/>
      <c r="G175" s="230"/>
      <c r="H175" s="230"/>
      <c r="I175" s="230"/>
      <c r="J175" s="230"/>
      <c r="K175" s="230"/>
      <c r="L175" s="230"/>
      <c r="M175" s="230"/>
      <c r="N175" s="230"/>
    </row>
    <row r="176" spans="1:14">
      <c r="A176" s="230"/>
      <c r="B176" s="230"/>
      <c r="C176" s="230"/>
      <c r="D176" s="230"/>
      <c r="E176" s="230"/>
      <c r="F176" s="230"/>
      <c r="G176" s="230"/>
      <c r="H176" s="230"/>
      <c r="I176" s="230"/>
      <c r="J176" s="230"/>
      <c r="K176" s="230"/>
      <c r="L176" s="230"/>
      <c r="M176" s="230"/>
      <c r="N176" s="230"/>
    </row>
    <row r="177" spans="1:14">
      <c r="A177" s="230"/>
      <c r="B177" s="230"/>
      <c r="C177" s="230"/>
      <c r="D177" s="230"/>
      <c r="E177" s="230"/>
      <c r="F177" s="230"/>
      <c r="G177" s="230"/>
      <c r="H177" s="230"/>
      <c r="I177" s="230"/>
      <c r="J177" s="230"/>
      <c r="K177" s="230"/>
      <c r="L177" s="230"/>
      <c r="M177" s="230"/>
      <c r="N177" s="230"/>
    </row>
    <row r="178" spans="1:14">
      <c r="A178" s="230"/>
      <c r="B178" s="230"/>
      <c r="C178" s="230"/>
      <c r="D178" s="230"/>
      <c r="E178" s="230"/>
      <c r="F178" s="230"/>
      <c r="G178" s="230"/>
      <c r="H178" s="230"/>
      <c r="I178" s="230"/>
      <c r="J178" s="230"/>
      <c r="K178" s="230"/>
      <c r="L178" s="230"/>
      <c r="M178" s="230"/>
      <c r="N178" s="230"/>
    </row>
    <row r="179" spans="1:14">
      <c r="A179" s="230"/>
      <c r="B179" s="230"/>
      <c r="C179" s="230"/>
      <c r="D179" s="230"/>
      <c r="E179" s="230"/>
      <c r="F179" s="230"/>
      <c r="G179" s="230"/>
      <c r="H179" s="230"/>
      <c r="I179" s="230"/>
      <c r="J179" s="230"/>
      <c r="K179" s="230"/>
      <c r="L179" s="230"/>
      <c r="M179" s="230"/>
      <c r="N179" s="230"/>
    </row>
    <row r="180" spans="1:14">
      <c r="A180" s="230"/>
      <c r="B180" s="230"/>
      <c r="C180" s="230"/>
      <c r="D180" s="230"/>
      <c r="E180" s="230"/>
      <c r="F180" s="230"/>
      <c r="G180" s="230"/>
      <c r="H180" s="230"/>
      <c r="I180" s="230"/>
      <c r="J180" s="230"/>
      <c r="K180" s="230"/>
      <c r="L180" s="230"/>
      <c r="M180" s="230"/>
      <c r="N180" s="230"/>
    </row>
    <row r="181" spans="1:14">
      <c r="A181" s="230"/>
      <c r="B181" s="230"/>
      <c r="C181" s="230"/>
      <c r="D181" s="230"/>
      <c r="E181" s="230"/>
      <c r="F181" s="230"/>
      <c r="G181" s="230"/>
      <c r="H181" s="230"/>
      <c r="I181" s="230"/>
      <c r="J181" s="230"/>
      <c r="K181" s="230"/>
      <c r="L181" s="230"/>
      <c r="M181" s="230"/>
      <c r="N181" s="230"/>
    </row>
    <row r="182" spans="1:14">
      <c r="A182" s="230"/>
      <c r="B182" s="230"/>
      <c r="C182" s="230"/>
      <c r="D182" s="230"/>
      <c r="E182" s="230"/>
      <c r="F182" s="230"/>
      <c r="G182" s="230"/>
      <c r="H182" s="230"/>
      <c r="I182" s="230"/>
      <c r="J182" s="230"/>
      <c r="K182" s="230"/>
      <c r="L182" s="230"/>
      <c r="M182" s="230"/>
      <c r="N182" s="230"/>
    </row>
    <row r="183" spans="1:14">
      <c r="A183" s="230"/>
      <c r="B183" s="230"/>
      <c r="C183" s="230"/>
      <c r="D183" s="230"/>
      <c r="E183" s="230"/>
      <c r="F183" s="230"/>
      <c r="G183" s="230"/>
      <c r="H183" s="230"/>
      <c r="I183" s="230"/>
      <c r="J183" s="230"/>
      <c r="K183" s="230"/>
      <c r="L183" s="230"/>
      <c r="M183" s="230"/>
      <c r="N183" s="230"/>
    </row>
    <row r="184" spans="1:14">
      <c r="A184" s="230"/>
      <c r="B184" s="230"/>
      <c r="C184" s="230"/>
      <c r="D184" s="230"/>
      <c r="E184" s="230"/>
      <c r="F184" s="230"/>
      <c r="G184" s="230"/>
      <c r="H184" s="230"/>
      <c r="I184" s="230"/>
      <c r="J184" s="230"/>
      <c r="K184" s="230"/>
      <c r="L184" s="230"/>
      <c r="M184" s="230"/>
      <c r="N184" s="230"/>
    </row>
    <row r="185" spans="1:14">
      <c r="A185" s="230"/>
      <c r="B185" s="230"/>
      <c r="C185" s="230"/>
      <c r="D185" s="230"/>
      <c r="E185" s="230"/>
      <c r="F185" s="230"/>
      <c r="G185" s="230"/>
      <c r="H185" s="230"/>
      <c r="I185" s="230"/>
      <c r="J185" s="230"/>
      <c r="K185" s="230"/>
      <c r="L185" s="230"/>
      <c r="M185" s="230"/>
      <c r="N185" s="230"/>
    </row>
    <row r="186" spans="1:14">
      <c r="A186" s="230"/>
      <c r="B186" s="230"/>
      <c r="C186" s="230"/>
      <c r="D186" s="230"/>
      <c r="E186" s="230"/>
      <c r="F186" s="230"/>
      <c r="G186" s="230"/>
      <c r="H186" s="230"/>
      <c r="I186" s="230"/>
      <c r="J186" s="230"/>
      <c r="K186" s="230"/>
      <c r="L186" s="230"/>
      <c r="M186" s="230"/>
      <c r="N186" s="230"/>
    </row>
    <row r="187" spans="1:14">
      <c r="A187" s="230"/>
      <c r="B187" s="230"/>
      <c r="C187" s="230"/>
      <c r="D187" s="230"/>
      <c r="E187" s="230"/>
      <c r="F187" s="230"/>
      <c r="G187" s="230"/>
      <c r="H187" s="230"/>
      <c r="I187" s="230"/>
      <c r="J187" s="230"/>
      <c r="K187" s="230"/>
      <c r="L187" s="230"/>
      <c r="M187" s="230"/>
      <c r="N187" s="230"/>
    </row>
    <row r="188" spans="1:14">
      <c r="A188" s="230"/>
      <c r="B188" s="230"/>
      <c r="C188" s="230"/>
      <c r="D188" s="230"/>
      <c r="E188" s="230"/>
      <c r="F188" s="230"/>
      <c r="G188" s="230"/>
      <c r="H188" s="230"/>
      <c r="I188" s="230"/>
      <c r="J188" s="230"/>
      <c r="K188" s="230"/>
      <c r="L188" s="230"/>
      <c r="M188" s="230"/>
      <c r="N188" s="230"/>
    </row>
    <row r="189" spans="1:14">
      <c r="A189" s="230"/>
      <c r="B189" s="230"/>
      <c r="C189" s="230"/>
      <c r="D189" s="230"/>
      <c r="E189" s="230"/>
      <c r="F189" s="230"/>
      <c r="G189" s="230"/>
      <c r="H189" s="230"/>
      <c r="I189" s="230"/>
      <c r="J189" s="230"/>
      <c r="K189" s="230"/>
      <c r="L189" s="230"/>
      <c r="M189" s="230"/>
      <c r="N189" s="230"/>
    </row>
    <row r="190" spans="1:14">
      <c r="A190" s="230"/>
      <c r="B190" s="230"/>
      <c r="C190" s="230"/>
      <c r="D190" s="230"/>
      <c r="E190" s="230"/>
      <c r="F190" s="230"/>
      <c r="G190" s="230"/>
      <c r="H190" s="230"/>
      <c r="I190" s="230"/>
      <c r="J190" s="230"/>
      <c r="K190" s="230"/>
      <c r="L190" s="230"/>
      <c r="M190" s="230"/>
      <c r="N190" s="230"/>
    </row>
    <row r="191" spans="1:14">
      <c r="A191" s="230"/>
      <c r="B191" s="230"/>
      <c r="C191" s="230"/>
      <c r="D191" s="230"/>
      <c r="E191" s="230"/>
      <c r="F191" s="230"/>
      <c r="G191" s="230"/>
      <c r="H191" s="230"/>
      <c r="I191" s="230"/>
      <c r="J191" s="230"/>
      <c r="K191" s="230"/>
      <c r="L191" s="230"/>
      <c r="M191" s="230"/>
      <c r="N191" s="230"/>
    </row>
    <row r="192" spans="1:14">
      <c r="A192" s="230"/>
      <c r="B192" s="230"/>
      <c r="C192" s="230"/>
      <c r="D192" s="230"/>
      <c r="E192" s="230"/>
      <c r="F192" s="230"/>
      <c r="G192" s="230"/>
      <c r="H192" s="230"/>
      <c r="I192" s="230"/>
      <c r="J192" s="230"/>
      <c r="K192" s="230"/>
      <c r="L192" s="230"/>
      <c r="M192" s="230"/>
      <c r="N192" s="230"/>
    </row>
    <row r="193" spans="1:14">
      <c r="A193" s="230"/>
      <c r="B193" s="230"/>
      <c r="C193" s="230"/>
      <c r="D193" s="230"/>
      <c r="E193" s="230"/>
      <c r="F193" s="230"/>
      <c r="G193" s="230"/>
      <c r="H193" s="230"/>
      <c r="I193" s="230"/>
      <c r="J193" s="230"/>
      <c r="K193" s="230"/>
      <c r="L193" s="230"/>
      <c r="M193" s="230"/>
      <c r="N193" s="230"/>
    </row>
    <row r="194" spans="1:14">
      <c r="A194" s="230"/>
      <c r="B194" s="230"/>
      <c r="C194" s="230"/>
      <c r="D194" s="230"/>
      <c r="E194" s="230"/>
      <c r="F194" s="230"/>
      <c r="G194" s="230"/>
      <c r="H194" s="230"/>
      <c r="I194" s="230"/>
      <c r="J194" s="230"/>
      <c r="K194" s="230"/>
      <c r="L194" s="230"/>
      <c r="M194" s="230"/>
      <c r="N194" s="230"/>
    </row>
    <row r="195" spans="1:14">
      <c r="A195" s="230"/>
      <c r="B195" s="230"/>
      <c r="C195" s="230"/>
      <c r="D195" s="230"/>
      <c r="E195" s="230"/>
      <c r="F195" s="230"/>
      <c r="G195" s="230"/>
      <c r="H195" s="230"/>
      <c r="I195" s="230"/>
      <c r="J195" s="230"/>
      <c r="K195" s="230"/>
      <c r="L195" s="230"/>
      <c r="M195" s="230"/>
      <c r="N195" s="230"/>
    </row>
    <row r="196" spans="1:14">
      <c r="A196" s="230"/>
      <c r="B196" s="230"/>
      <c r="C196" s="230"/>
      <c r="D196" s="230"/>
      <c r="E196" s="230"/>
      <c r="F196" s="230"/>
      <c r="G196" s="230"/>
      <c r="H196" s="230"/>
      <c r="I196" s="230"/>
      <c r="J196" s="230"/>
      <c r="K196" s="230"/>
      <c r="L196" s="230"/>
      <c r="M196" s="230"/>
      <c r="N196" s="230"/>
    </row>
    <row r="197" spans="1:14">
      <c r="A197" s="230"/>
      <c r="B197" s="230"/>
      <c r="C197" s="230"/>
      <c r="D197" s="230"/>
      <c r="E197" s="230"/>
      <c r="F197" s="230"/>
      <c r="G197" s="230"/>
      <c r="H197" s="230"/>
      <c r="I197" s="230"/>
      <c r="J197" s="230"/>
      <c r="K197" s="230"/>
      <c r="L197" s="230"/>
      <c r="M197" s="230"/>
      <c r="N197" s="230"/>
    </row>
    <row r="198" spans="1:14">
      <c r="A198" s="230"/>
      <c r="B198" s="230"/>
      <c r="C198" s="230"/>
      <c r="D198" s="230"/>
      <c r="E198" s="230"/>
      <c r="F198" s="230"/>
      <c r="G198" s="230"/>
      <c r="H198" s="230"/>
      <c r="I198" s="230"/>
      <c r="J198" s="230"/>
      <c r="K198" s="230"/>
      <c r="L198" s="230"/>
      <c r="M198" s="230"/>
      <c r="N198" s="230"/>
    </row>
    <row r="199" spans="1:14">
      <c r="A199" s="230"/>
      <c r="B199" s="230"/>
      <c r="C199" s="230"/>
      <c r="D199" s="230"/>
      <c r="E199" s="230"/>
      <c r="F199" s="230"/>
      <c r="G199" s="230"/>
      <c r="H199" s="230"/>
      <c r="I199" s="230"/>
      <c r="J199" s="230"/>
      <c r="K199" s="230"/>
      <c r="L199" s="230"/>
      <c r="M199" s="230"/>
      <c r="N199" s="230"/>
    </row>
    <row r="200" spans="1:14">
      <c r="A200" s="230"/>
      <c r="B200" s="230"/>
      <c r="C200" s="230"/>
      <c r="D200" s="230"/>
      <c r="E200" s="230"/>
      <c r="F200" s="230"/>
      <c r="G200" s="230"/>
      <c r="H200" s="230"/>
      <c r="I200" s="230"/>
      <c r="J200" s="230"/>
      <c r="K200" s="230"/>
      <c r="L200" s="230"/>
      <c r="M200" s="230"/>
      <c r="N200" s="230"/>
    </row>
    <row r="201" spans="1:14">
      <c r="A201" s="230"/>
      <c r="B201" s="230"/>
      <c r="C201" s="230"/>
      <c r="D201" s="230"/>
      <c r="E201" s="230"/>
      <c r="F201" s="230"/>
      <c r="G201" s="230"/>
      <c r="H201" s="230"/>
      <c r="I201" s="230"/>
      <c r="J201" s="230"/>
      <c r="K201" s="230"/>
      <c r="L201" s="230"/>
      <c r="M201" s="230"/>
      <c r="N201" s="230"/>
    </row>
    <row r="202" spans="1:14">
      <c r="A202" s="230"/>
      <c r="B202" s="230"/>
      <c r="C202" s="230"/>
      <c r="D202" s="230"/>
      <c r="E202" s="230"/>
      <c r="F202" s="230"/>
      <c r="G202" s="230"/>
      <c r="H202" s="230"/>
      <c r="I202" s="230"/>
      <c r="J202" s="230"/>
      <c r="K202" s="230"/>
      <c r="L202" s="230"/>
      <c r="M202" s="230"/>
      <c r="N202" s="230"/>
    </row>
    <row r="203" spans="1:14">
      <c r="A203" s="230"/>
      <c r="B203" s="230"/>
      <c r="C203" s="230"/>
      <c r="D203" s="230"/>
      <c r="E203" s="230"/>
      <c r="F203" s="230"/>
      <c r="G203" s="230"/>
      <c r="H203" s="230"/>
      <c r="I203" s="230"/>
      <c r="J203" s="230"/>
      <c r="K203" s="230"/>
      <c r="L203" s="230"/>
      <c r="M203" s="230"/>
      <c r="N203" s="230"/>
    </row>
    <row r="204" spans="1:14">
      <c r="A204" s="230"/>
      <c r="B204" s="230"/>
      <c r="C204" s="230"/>
      <c r="D204" s="230"/>
      <c r="E204" s="230"/>
      <c r="F204" s="230"/>
      <c r="G204" s="230"/>
      <c r="H204" s="230"/>
      <c r="I204" s="230"/>
      <c r="J204" s="230"/>
      <c r="K204" s="230"/>
      <c r="L204" s="230"/>
      <c r="M204" s="230"/>
      <c r="N204" s="230"/>
    </row>
    <row r="205" spans="1:14">
      <c r="A205" s="230"/>
      <c r="B205" s="230"/>
      <c r="C205" s="230"/>
      <c r="D205" s="230"/>
      <c r="E205" s="230"/>
      <c r="F205" s="230"/>
      <c r="G205" s="230"/>
      <c r="H205" s="230"/>
      <c r="I205" s="230"/>
      <c r="J205" s="230"/>
      <c r="K205" s="230"/>
      <c r="L205" s="230"/>
      <c r="M205" s="230"/>
      <c r="N205" s="230"/>
    </row>
    <row r="206" spans="1:14">
      <c r="A206" s="230"/>
      <c r="B206" s="230"/>
      <c r="C206" s="230"/>
      <c r="D206" s="230"/>
      <c r="E206" s="230"/>
      <c r="F206" s="230"/>
      <c r="G206" s="230"/>
      <c r="H206" s="230"/>
      <c r="I206" s="230"/>
      <c r="J206" s="230"/>
      <c r="K206" s="230"/>
      <c r="L206" s="230"/>
      <c r="M206" s="230"/>
      <c r="N206" s="230"/>
    </row>
    <row r="207" spans="1:14">
      <c r="A207" s="230"/>
      <c r="B207" s="230"/>
      <c r="C207" s="230"/>
      <c r="D207" s="230"/>
      <c r="E207" s="230"/>
      <c r="F207" s="230"/>
      <c r="G207" s="230"/>
      <c r="H207" s="230"/>
      <c r="I207" s="230"/>
      <c r="J207" s="230"/>
      <c r="K207" s="230"/>
      <c r="L207" s="230"/>
      <c r="M207" s="230"/>
      <c r="N207" s="230"/>
    </row>
    <row r="208" spans="1:14">
      <c r="A208" s="230"/>
      <c r="B208" s="230"/>
      <c r="C208" s="230"/>
      <c r="D208" s="230"/>
      <c r="E208" s="230"/>
      <c r="F208" s="230"/>
      <c r="G208" s="230"/>
      <c r="H208" s="230"/>
      <c r="I208" s="230"/>
      <c r="J208" s="230"/>
      <c r="K208" s="230"/>
      <c r="L208" s="230"/>
      <c r="M208" s="230"/>
      <c r="N208" s="230"/>
    </row>
    <row r="209" spans="1:14">
      <c r="A209" s="230"/>
      <c r="B209" s="230"/>
      <c r="C209" s="230"/>
      <c r="D209" s="230"/>
      <c r="E209" s="230"/>
      <c r="F209" s="230"/>
      <c r="G209" s="230"/>
      <c r="H209" s="230"/>
      <c r="I209" s="230"/>
      <c r="J209" s="230"/>
      <c r="K209" s="230"/>
      <c r="L209" s="230"/>
      <c r="M209" s="230"/>
      <c r="N209" s="230"/>
    </row>
    <row r="210" spans="1:14">
      <c r="A210" s="230"/>
      <c r="B210" s="230"/>
      <c r="C210" s="230"/>
      <c r="D210" s="230"/>
      <c r="E210" s="230"/>
      <c r="F210" s="230"/>
      <c r="G210" s="230"/>
      <c r="H210" s="230"/>
      <c r="I210" s="230"/>
      <c r="J210" s="230"/>
      <c r="K210" s="230"/>
      <c r="L210" s="230"/>
      <c r="M210" s="230"/>
      <c r="N210" s="230"/>
    </row>
    <row r="211" spans="1:14">
      <c r="A211" s="230"/>
      <c r="B211" s="230"/>
      <c r="C211" s="230"/>
      <c r="D211" s="230"/>
      <c r="E211" s="230"/>
      <c r="F211" s="230"/>
      <c r="G211" s="230"/>
      <c r="H211" s="230"/>
      <c r="I211" s="230"/>
      <c r="J211" s="230"/>
      <c r="K211" s="230"/>
      <c r="L211" s="230"/>
      <c r="M211" s="230"/>
      <c r="N211" s="230"/>
    </row>
    <row r="212" spans="1:14">
      <c r="A212" s="230"/>
      <c r="B212" s="230"/>
      <c r="C212" s="230"/>
      <c r="D212" s="230"/>
      <c r="E212" s="230"/>
      <c r="F212" s="230"/>
      <c r="G212" s="230"/>
      <c r="H212" s="230"/>
      <c r="I212" s="230"/>
      <c r="J212" s="230"/>
      <c r="K212" s="230"/>
      <c r="L212" s="230"/>
      <c r="M212" s="230"/>
      <c r="N212" s="230"/>
    </row>
    <row r="213" spans="1:14">
      <c r="A213" s="230"/>
      <c r="B213" s="230"/>
      <c r="C213" s="230"/>
      <c r="D213" s="230"/>
      <c r="E213" s="230"/>
      <c r="F213" s="230"/>
      <c r="G213" s="230"/>
      <c r="H213" s="230"/>
      <c r="I213" s="230"/>
      <c r="J213" s="230"/>
      <c r="K213" s="230"/>
      <c r="L213" s="230"/>
      <c r="M213" s="230"/>
      <c r="N213" s="230"/>
    </row>
    <row r="214" spans="1:14">
      <c r="A214" s="230"/>
      <c r="B214" s="230"/>
      <c r="C214" s="230"/>
      <c r="D214" s="230"/>
      <c r="E214" s="230"/>
      <c r="F214" s="230"/>
      <c r="G214" s="230"/>
      <c r="H214" s="230"/>
      <c r="I214" s="230"/>
      <c r="J214" s="230"/>
      <c r="K214" s="230"/>
      <c r="L214" s="230"/>
      <c r="M214" s="230"/>
      <c r="N214" s="230"/>
    </row>
    <row r="215" spans="1:14">
      <c r="A215" s="230"/>
      <c r="B215" s="230"/>
      <c r="C215" s="230"/>
      <c r="D215" s="230"/>
      <c r="E215" s="230"/>
      <c r="F215" s="230"/>
      <c r="G215" s="230"/>
      <c r="H215" s="230"/>
      <c r="I215" s="230"/>
      <c r="J215" s="230"/>
      <c r="K215" s="230"/>
      <c r="L215" s="230"/>
      <c r="M215" s="230"/>
      <c r="N215" s="230"/>
    </row>
    <row r="216" spans="1:14">
      <c r="A216" s="230"/>
      <c r="B216" s="230"/>
      <c r="C216" s="230"/>
      <c r="D216" s="230"/>
      <c r="E216" s="230"/>
      <c r="F216" s="230"/>
      <c r="G216" s="230"/>
      <c r="H216" s="230"/>
      <c r="I216" s="230"/>
      <c r="J216" s="230"/>
      <c r="K216" s="230"/>
      <c r="L216" s="230"/>
      <c r="M216" s="230"/>
      <c r="N216" s="230"/>
    </row>
    <row r="217" spans="1:14">
      <c r="A217" s="230"/>
      <c r="B217" s="230"/>
      <c r="C217" s="230"/>
      <c r="D217" s="230"/>
      <c r="E217" s="230"/>
      <c r="F217" s="230"/>
      <c r="G217" s="230"/>
      <c r="H217" s="230"/>
      <c r="I217" s="230"/>
      <c r="J217" s="230"/>
      <c r="K217" s="230"/>
      <c r="L217" s="230"/>
      <c r="M217" s="230"/>
      <c r="N217" s="230"/>
    </row>
    <row r="218" spans="1:14">
      <c r="A218" s="230"/>
      <c r="B218" s="230"/>
      <c r="C218" s="230"/>
      <c r="D218" s="230"/>
      <c r="E218" s="230"/>
      <c r="F218" s="230"/>
      <c r="G218" s="230"/>
      <c r="H218" s="230"/>
      <c r="I218" s="230"/>
      <c r="J218" s="230"/>
      <c r="K218" s="230"/>
      <c r="L218" s="230"/>
      <c r="M218" s="230"/>
      <c r="N218" s="230"/>
    </row>
    <row r="219" spans="1:14">
      <c r="A219" s="230"/>
      <c r="B219" s="230"/>
      <c r="C219" s="230"/>
      <c r="D219" s="230"/>
      <c r="E219" s="230"/>
      <c r="F219" s="230"/>
      <c r="G219" s="230"/>
      <c r="H219" s="230"/>
      <c r="I219" s="230"/>
      <c r="J219" s="230"/>
      <c r="K219" s="230"/>
      <c r="L219" s="230"/>
      <c r="M219" s="230"/>
      <c r="N219" s="230"/>
    </row>
    <row r="220" spans="1:14">
      <c r="A220" s="230"/>
      <c r="B220" s="230"/>
      <c r="C220" s="230"/>
      <c r="D220" s="230"/>
      <c r="E220" s="230"/>
      <c r="F220" s="230"/>
      <c r="G220" s="230"/>
      <c r="H220" s="230"/>
      <c r="I220" s="230"/>
      <c r="J220" s="230"/>
      <c r="K220" s="230"/>
      <c r="L220" s="230"/>
      <c r="M220" s="230"/>
      <c r="N220" s="230"/>
    </row>
    <row r="221" spans="1:14">
      <c r="A221" s="230"/>
      <c r="B221" s="230"/>
      <c r="C221" s="230"/>
      <c r="D221" s="230"/>
      <c r="E221" s="230"/>
      <c r="F221" s="230"/>
      <c r="G221" s="230"/>
      <c r="H221" s="230"/>
      <c r="I221" s="230"/>
      <c r="J221" s="230"/>
      <c r="K221" s="230"/>
      <c r="L221" s="230"/>
      <c r="M221" s="230"/>
      <c r="N221" s="230"/>
    </row>
    <row r="222" spans="1:14">
      <c r="A222" s="230"/>
      <c r="B222" s="230"/>
      <c r="C222" s="230"/>
      <c r="D222" s="230"/>
      <c r="E222" s="230"/>
      <c r="F222" s="230"/>
      <c r="G222" s="230"/>
      <c r="H222" s="230"/>
      <c r="I222" s="230"/>
      <c r="J222" s="230"/>
      <c r="K222" s="230"/>
      <c r="L222" s="230"/>
      <c r="M222" s="230"/>
      <c r="N222" s="230"/>
    </row>
    <row r="223" spans="1:14">
      <c r="A223" s="230"/>
      <c r="B223" s="230"/>
      <c r="C223" s="230"/>
      <c r="D223" s="230"/>
      <c r="E223" s="230"/>
      <c r="F223" s="230"/>
      <c r="G223" s="230"/>
      <c r="H223" s="230"/>
      <c r="I223" s="230"/>
      <c r="J223" s="230"/>
      <c r="K223" s="230"/>
      <c r="L223" s="230"/>
      <c r="M223" s="230"/>
      <c r="N223" s="230"/>
    </row>
    <row r="224" spans="1:14">
      <c r="A224" s="230"/>
      <c r="B224" s="230"/>
      <c r="C224" s="230"/>
      <c r="D224" s="230"/>
      <c r="E224" s="230"/>
      <c r="F224" s="230"/>
      <c r="G224" s="230"/>
      <c r="H224" s="230"/>
      <c r="I224" s="230"/>
      <c r="J224" s="230"/>
      <c r="K224" s="230"/>
      <c r="L224" s="230"/>
      <c r="M224" s="230"/>
      <c r="N224" s="230"/>
    </row>
    <row r="225" spans="1:14">
      <c r="A225" s="230"/>
      <c r="B225" s="230"/>
      <c r="C225" s="230"/>
      <c r="D225" s="230"/>
      <c r="E225" s="230"/>
      <c r="F225" s="230"/>
      <c r="G225" s="230"/>
      <c r="H225" s="230"/>
      <c r="I225" s="230"/>
      <c r="J225" s="230"/>
      <c r="K225" s="230"/>
      <c r="L225" s="230"/>
      <c r="M225" s="230"/>
      <c r="N225" s="230"/>
    </row>
    <row r="226" spans="1:14">
      <c r="A226" s="230"/>
      <c r="B226" s="230"/>
      <c r="C226" s="230"/>
      <c r="D226" s="230"/>
      <c r="E226" s="230"/>
      <c r="F226" s="230"/>
      <c r="G226" s="230"/>
      <c r="H226" s="230"/>
      <c r="I226" s="230"/>
      <c r="J226" s="230"/>
      <c r="K226" s="230"/>
      <c r="L226" s="230"/>
      <c r="M226" s="230"/>
      <c r="N226" s="230"/>
    </row>
    <row r="227" spans="1:14">
      <c r="A227" s="230"/>
      <c r="B227" s="230"/>
      <c r="C227" s="230"/>
      <c r="D227" s="230"/>
      <c r="E227" s="230"/>
      <c r="F227" s="230"/>
      <c r="G227" s="230"/>
      <c r="H227" s="230"/>
      <c r="I227" s="230"/>
      <c r="J227" s="230"/>
      <c r="K227" s="230"/>
      <c r="L227" s="230"/>
      <c r="M227" s="230"/>
      <c r="N227" s="230"/>
    </row>
    <row r="228" spans="1:14">
      <c r="A228" s="230"/>
      <c r="B228" s="230"/>
      <c r="C228" s="230"/>
      <c r="D228" s="230"/>
      <c r="E228" s="230"/>
      <c r="F228" s="230"/>
      <c r="G228" s="230"/>
      <c r="H228" s="230"/>
      <c r="I228" s="230"/>
      <c r="J228" s="230"/>
      <c r="K228" s="230"/>
      <c r="L228" s="230"/>
      <c r="M228" s="230"/>
      <c r="N228" s="230"/>
    </row>
    <row r="229" spans="1:14">
      <c r="A229" s="230"/>
      <c r="B229" s="230"/>
      <c r="C229" s="230"/>
      <c r="D229" s="230"/>
      <c r="E229" s="230"/>
      <c r="F229" s="230"/>
      <c r="G229" s="230"/>
      <c r="H229" s="230"/>
      <c r="I229" s="230"/>
      <c r="J229" s="230"/>
      <c r="K229" s="230"/>
      <c r="L229" s="230"/>
      <c r="M229" s="230"/>
      <c r="N229" s="230"/>
    </row>
    <row r="230" spans="1:14">
      <c r="A230" s="230"/>
      <c r="B230" s="230"/>
      <c r="C230" s="230"/>
      <c r="D230" s="230"/>
      <c r="E230" s="230"/>
      <c r="F230" s="230"/>
      <c r="G230" s="230"/>
      <c r="H230" s="230"/>
      <c r="I230" s="230"/>
      <c r="J230" s="230"/>
      <c r="K230" s="230"/>
      <c r="L230" s="230"/>
      <c r="M230" s="230"/>
      <c r="N230" s="230"/>
    </row>
    <row r="231" spans="1:14">
      <c r="A231" s="230"/>
      <c r="B231" s="230"/>
      <c r="C231" s="230"/>
      <c r="D231" s="230"/>
      <c r="E231" s="230"/>
      <c r="F231" s="230"/>
      <c r="G231" s="230"/>
      <c r="H231" s="230"/>
      <c r="I231" s="230"/>
      <c r="J231" s="230"/>
      <c r="K231" s="230"/>
      <c r="L231" s="230"/>
      <c r="M231" s="230"/>
      <c r="N231" s="230"/>
    </row>
    <row r="232" spans="1:14">
      <c r="A232" s="230"/>
      <c r="B232" s="230"/>
      <c r="C232" s="230"/>
      <c r="D232" s="230"/>
      <c r="E232" s="230"/>
      <c r="F232" s="230"/>
      <c r="G232" s="230"/>
      <c r="H232" s="230"/>
      <c r="I232" s="230"/>
      <c r="J232" s="230"/>
      <c r="K232" s="230"/>
      <c r="L232" s="230"/>
      <c r="M232" s="230"/>
      <c r="N232" s="230"/>
    </row>
    <row r="233" spans="1:14">
      <c r="A233" s="230"/>
      <c r="B233" s="230"/>
      <c r="C233" s="230"/>
      <c r="D233" s="230"/>
      <c r="E233" s="230"/>
      <c r="F233" s="230"/>
      <c r="G233" s="230"/>
      <c r="H233" s="230"/>
      <c r="I233" s="230"/>
      <c r="J233" s="230"/>
      <c r="K233" s="230"/>
      <c r="L233" s="230"/>
      <c r="M233" s="230"/>
      <c r="N233" s="230"/>
    </row>
    <row r="234" spans="1:14">
      <c r="A234" s="230"/>
      <c r="B234" s="230"/>
      <c r="C234" s="230"/>
      <c r="D234" s="230"/>
      <c r="E234" s="230"/>
      <c r="F234" s="230"/>
      <c r="G234" s="230"/>
      <c r="H234" s="230"/>
      <c r="I234" s="230"/>
      <c r="J234" s="230"/>
      <c r="K234" s="230"/>
      <c r="L234" s="230"/>
      <c r="M234" s="230"/>
      <c r="N234" s="230"/>
    </row>
    <row r="235" spans="1:14">
      <c r="A235" s="230"/>
      <c r="B235" s="230"/>
      <c r="C235" s="230"/>
      <c r="D235" s="230"/>
      <c r="E235" s="230"/>
      <c r="F235" s="230"/>
      <c r="G235" s="230"/>
      <c r="H235" s="230"/>
      <c r="I235" s="230"/>
      <c r="J235" s="230"/>
      <c r="K235" s="230"/>
      <c r="L235" s="230"/>
      <c r="M235" s="230"/>
      <c r="N235" s="230"/>
    </row>
    <row r="236" spans="1:14">
      <c r="A236" s="230"/>
      <c r="B236" s="230"/>
      <c r="C236" s="230"/>
      <c r="D236" s="230"/>
      <c r="E236" s="230"/>
      <c r="F236" s="230"/>
      <c r="G236" s="230"/>
      <c r="H236" s="230"/>
      <c r="I236" s="230"/>
      <c r="J236" s="230"/>
      <c r="K236" s="230"/>
      <c r="L236" s="230"/>
      <c r="M236" s="230"/>
      <c r="N236" s="230"/>
    </row>
    <row r="237" spans="1:14">
      <c r="A237" s="230"/>
      <c r="B237" s="230"/>
      <c r="C237" s="230"/>
      <c r="D237" s="230"/>
      <c r="E237" s="230"/>
      <c r="F237" s="230"/>
      <c r="G237" s="230"/>
      <c r="H237" s="230"/>
      <c r="I237" s="230"/>
      <c r="J237" s="230"/>
      <c r="K237" s="230"/>
      <c r="L237" s="230"/>
      <c r="M237" s="230"/>
      <c r="N237" s="230"/>
    </row>
    <row r="238" spans="1:14">
      <c r="A238" s="230"/>
      <c r="B238" s="230"/>
      <c r="C238" s="230"/>
      <c r="D238" s="230"/>
      <c r="E238" s="230"/>
      <c r="F238" s="230"/>
      <c r="G238" s="230"/>
      <c r="H238" s="230"/>
      <c r="I238" s="230"/>
      <c r="J238" s="230"/>
      <c r="K238" s="230"/>
      <c r="L238" s="230"/>
      <c r="M238" s="230"/>
      <c r="N238" s="230"/>
    </row>
    <row r="239" spans="1:14">
      <c r="A239" s="230"/>
      <c r="B239" s="230"/>
      <c r="C239" s="230"/>
      <c r="D239" s="230"/>
      <c r="E239" s="230"/>
      <c r="F239" s="230"/>
      <c r="G239" s="230"/>
      <c r="H239" s="230"/>
      <c r="I239" s="230"/>
      <c r="J239" s="230"/>
      <c r="K239" s="230"/>
      <c r="L239" s="230"/>
      <c r="M239" s="230"/>
      <c r="N239" s="230"/>
    </row>
    <row r="240" spans="1:14">
      <c r="A240" s="230"/>
      <c r="B240" s="230"/>
      <c r="C240" s="230"/>
      <c r="D240" s="230"/>
      <c r="E240" s="230"/>
      <c r="F240" s="230"/>
      <c r="G240" s="230"/>
      <c r="H240" s="230"/>
      <c r="I240" s="230"/>
      <c r="J240" s="230"/>
      <c r="K240" s="230"/>
      <c r="L240" s="230"/>
      <c r="M240" s="230"/>
      <c r="N240" s="230"/>
    </row>
    <row r="241" spans="1:14">
      <c r="A241" s="230"/>
      <c r="B241" s="230"/>
      <c r="C241" s="230"/>
      <c r="D241" s="230"/>
      <c r="E241" s="230"/>
      <c r="F241" s="230"/>
      <c r="G241" s="230"/>
      <c r="H241" s="230"/>
      <c r="I241" s="230"/>
      <c r="J241" s="230"/>
      <c r="K241" s="230"/>
      <c r="L241" s="230"/>
      <c r="M241" s="230"/>
      <c r="N241" s="230"/>
    </row>
    <row r="242" spans="1:14">
      <c r="A242" s="230"/>
      <c r="B242" s="230"/>
      <c r="C242" s="230"/>
      <c r="D242" s="230"/>
      <c r="E242" s="230"/>
      <c r="F242" s="230"/>
      <c r="G242" s="230"/>
      <c r="H242" s="230"/>
      <c r="I242" s="230"/>
      <c r="J242" s="230"/>
      <c r="K242" s="230"/>
      <c r="L242" s="230"/>
      <c r="M242" s="230"/>
      <c r="N242" s="230"/>
    </row>
    <row r="243" spans="1:14">
      <c r="A243" s="230"/>
      <c r="B243" s="230"/>
      <c r="C243" s="230"/>
      <c r="D243" s="230"/>
      <c r="E243" s="230"/>
      <c r="F243" s="230"/>
      <c r="G243" s="230"/>
      <c r="H243" s="230"/>
      <c r="I243" s="230"/>
      <c r="J243" s="230"/>
      <c r="K243" s="230"/>
      <c r="L243" s="230"/>
      <c r="M243" s="230"/>
      <c r="N243" s="230"/>
    </row>
    <row r="244" spans="1:14">
      <c r="A244" s="230"/>
      <c r="B244" s="230"/>
      <c r="C244" s="230"/>
      <c r="D244" s="230"/>
      <c r="E244" s="230"/>
      <c r="F244" s="230"/>
      <c r="G244" s="230"/>
      <c r="H244" s="230"/>
      <c r="I244" s="230"/>
      <c r="J244" s="230"/>
      <c r="K244" s="230"/>
      <c r="L244" s="230"/>
      <c r="M244" s="230"/>
      <c r="N244" s="230"/>
    </row>
    <row r="245" spans="1:14">
      <c r="A245" s="230"/>
      <c r="B245" s="230"/>
      <c r="C245" s="230"/>
      <c r="D245" s="230"/>
      <c r="E245" s="230"/>
      <c r="F245" s="230"/>
      <c r="G245" s="230"/>
      <c r="H245" s="230"/>
      <c r="I245" s="230"/>
      <c r="J245" s="230"/>
      <c r="K245" s="230"/>
      <c r="L245" s="230"/>
      <c r="M245" s="230"/>
      <c r="N245" s="230"/>
    </row>
    <row r="246" spans="1:14">
      <c r="A246" s="230"/>
      <c r="B246" s="230"/>
      <c r="C246" s="230"/>
      <c r="D246" s="230"/>
      <c r="E246" s="230"/>
      <c r="F246" s="230"/>
      <c r="G246" s="230"/>
      <c r="H246" s="230"/>
      <c r="I246" s="230"/>
      <c r="J246" s="230"/>
      <c r="K246" s="230"/>
      <c r="L246" s="230"/>
      <c r="M246" s="230"/>
      <c r="N246" s="230"/>
    </row>
    <row r="247" spans="1:14">
      <c r="A247" s="230"/>
      <c r="B247" s="230"/>
      <c r="C247" s="230"/>
      <c r="D247" s="230"/>
      <c r="E247" s="230"/>
      <c r="F247" s="230"/>
      <c r="G247" s="230"/>
      <c r="H247" s="230"/>
      <c r="I247" s="230"/>
      <c r="J247" s="230"/>
      <c r="K247" s="230"/>
      <c r="L247" s="230"/>
      <c r="M247" s="230"/>
      <c r="N247" s="230"/>
    </row>
    <row r="248" spans="1:14">
      <c r="A248" s="230"/>
      <c r="B248" s="230"/>
      <c r="C248" s="230"/>
      <c r="D248" s="230"/>
      <c r="E248" s="230"/>
      <c r="F248" s="230"/>
      <c r="G248" s="230"/>
      <c r="H248" s="230"/>
      <c r="I248" s="230"/>
      <c r="J248" s="230"/>
      <c r="K248" s="230"/>
      <c r="L248" s="230"/>
      <c r="M248" s="230"/>
      <c r="N248" s="230"/>
    </row>
    <row r="249" spans="1:14">
      <c r="A249" s="230"/>
      <c r="B249" s="230"/>
      <c r="C249" s="230"/>
      <c r="D249" s="230"/>
      <c r="E249" s="230"/>
      <c r="F249" s="230"/>
      <c r="G249" s="230"/>
      <c r="H249" s="230"/>
      <c r="I249" s="230"/>
      <c r="J249" s="230"/>
      <c r="K249" s="230"/>
      <c r="L249" s="230"/>
      <c r="M249" s="230"/>
      <c r="N249" s="230"/>
    </row>
    <row r="250" spans="1:14">
      <c r="A250" s="230"/>
      <c r="B250" s="230"/>
      <c r="C250" s="230"/>
      <c r="D250" s="230"/>
      <c r="E250" s="230"/>
      <c r="F250" s="230"/>
      <c r="G250" s="230"/>
      <c r="H250" s="230"/>
      <c r="I250" s="230"/>
      <c r="J250" s="230"/>
      <c r="K250" s="230"/>
      <c r="L250" s="230"/>
      <c r="M250" s="230"/>
      <c r="N250" s="230"/>
    </row>
    <row r="251" spans="1:14">
      <c r="A251" s="230"/>
      <c r="B251" s="230"/>
      <c r="C251" s="230"/>
      <c r="D251" s="230"/>
      <c r="E251" s="230"/>
      <c r="F251" s="230"/>
      <c r="G251" s="230"/>
      <c r="H251" s="230"/>
      <c r="I251" s="230"/>
      <c r="J251" s="230"/>
      <c r="K251" s="230"/>
      <c r="L251" s="230"/>
      <c r="M251" s="230"/>
      <c r="N251" s="230"/>
    </row>
    <row r="252" spans="1:14">
      <c r="A252" s="230"/>
      <c r="B252" s="230"/>
      <c r="C252" s="230"/>
      <c r="D252" s="230"/>
      <c r="E252" s="230"/>
      <c r="F252" s="230"/>
      <c r="G252" s="230"/>
      <c r="H252" s="230"/>
      <c r="I252" s="230"/>
      <c r="J252" s="230"/>
      <c r="K252" s="230"/>
      <c r="L252" s="230"/>
      <c r="M252" s="230"/>
      <c r="N252" s="230"/>
    </row>
    <row r="253" spans="1:14">
      <c r="A253" s="230"/>
      <c r="B253" s="230"/>
      <c r="C253" s="230"/>
      <c r="D253" s="230"/>
      <c r="E253" s="230"/>
      <c r="F253" s="230"/>
      <c r="G253" s="230"/>
      <c r="H253" s="230"/>
      <c r="I253" s="230"/>
      <c r="J253" s="230"/>
      <c r="K253" s="230"/>
      <c r="L253" s="230"/>
      <c r="M253" s="230"/>
      <c r="N253" s="230"/>
    </row>
    <row r="254" spans="1:14">
      <c r="A254" s="230"/>
      <c r="B254" s="230"/>
      <c r="C254" s="230"/>
      <c r="D254" s="230"/>
      <c r="E254" s="230"/>
      <c r="F254" s="230"/>
      <c r="G254" s="230"/>
      <c r="H254" s="230"/>
      <c r="I254" s="230"/>
      <c r="J254" s="230"/>
      <c r="K254" s="230"/>
      <c r="L254" s="230"/>
      <c r="M254" s="230"/>
      <c r="N254" s="230"/>
    </row>
    <row r="255" spans="1:14">
      <c r="A255" s="230"/>
      <c r="B255" s="230"/>
      <c r="C255" s="230"/>
      <c r="D255" s="230"/>
      <c r="E255" s="230"/>
      <c r="F255" s="230"/>
      <c r="G255" s="230"/>
      <c r="H255" s="230"/>
      <c r="I255" s="230"/>
      <c r="J255" s="230"/>
      <c r="K255" s="230"/>
      <c r="L255" s="230"/>
      <c r="M255" s="230"/>
      <c r="N255" s="230"/>
    </row>
    <row r="256" spans="1:14">
      <c r="A256" s="230"/>
      <c r="B256" s="230"/>
      <c r="C256" s="230"/>
      <c r="D256" s="230"/>
      <c r="E256" s="230"/>
      <c r="F256" s="230"/>
      <c r="G256" s="230"/>
      <c r="H256" s="230"/>
      <c r="I256" s="230"/>
      <c r="J256" s="230"/>
      <c r="K256" s="230"/>
      <c r="L256" s="230"/>
      <c r="M256" s="230"/>
      <c r="N256" s="230"/>
    </row>
    <row r="257" spans="1:14">
      <c r="A257" s="230"/>
      <c r="B257" s="230"/>
      <c r="C257" s="230"/>
      <c r="D257" s="230"/>
      <c r="E257" s="230"/>
      <c r="F257" s="230"/>
      <c r="G257" s="230"/>
      <c r="H257" s="230"/>
      <c r="I257" s="230"/>
      <c r="J257" s="230"/>
      <c r="K257" s="230"/>
      <c r="L257" s="230"/>
      <c r="M257" s="230"/>
      <c r="N257" s="230"/>
    </row>
    <row r="258" spans="1:14">
      <c r="A258" s="230"/>
      <c r="B258" s="230"/>
      <c r="C258" s="230"/>
      <c r="D258" s="230"/>
      <c r="E258" s="230"/>
      <c r="F258" s="230"/>
      <c r="G258" s="230"/>
      <c r="H258" s="230"/>
      <c r="I258" s="230"/>
      <c r="J258" s="230"/>
      <c r="K258" s="230"/>
      <c r="L258" s="230"/>
      <c r="M258" s="230"/>
      <c r="N258" s="230"/>
    </row>
    <row r="259" spans="1:14">
      <c r="A259" s="230"/>
      <c r="B259" s="230"/>
      <c r="C259" s="230"/>
      <c r="D259" s="230"/>
      <c r="E259" s="230"/>
      <c r="F259" s="230"/>
      <c r="G259" s="230"/>
      <c r="H259" s="230"/>
      <c r="I259" s="230"/>
      <c r="J259" s="230"/>
      <c r="K259" s="230"/>
      <c r="L259" s="230"/>
      <c r="M259" s="230"/>
      <c r="N259" s="230"/>
    </row>
    <row r="260" spans="1:14">
      <c r="A260" s="230"/>
      <c r="B260" s="230"/>
      <c r="C260" s="230"/>
      <c r="D260" s="230"/>
      <c r="E260" s="230"/>
      <c r="F260" s="230"/>
      <c r="G260" s="230"/>
      <c r="H260" s="230"/>
      <c r="I260" s="230"/>
      <c r="J260" s="230"/>
      <c r="K260" s="230"/>
      <c r="L260" s="230"/>
      <c r="M260" s="230"/>
      <c r="N260" s="230"/>
    </row>
    <row r="261" spans="1:14">
      <c r="A261" s="230"/>
      <c r="B261" s="230"/>
      <c r="C261" s="230"/>
      <c r="D261" s="230"/>
      <c r="E261" s="230"/>
      <c r="F261" s="230"/>
      <c r="G261" s="230"/>
      <c r="H261" s="230"/>
      <c r="I261" s="230"/>
      <c r="J261" s="230"/>
      <c r="K261" s="230"/>
      <c r="L261" s="230"/>
      <c r="M261" s="230"/>
      <c r="N261" s="230"/>
    </row>
    <row r="262" spans="1:14">
      <c r="A262" s="230"/>
      <c r="B262" s="230"/>
      <c r="C262" s="230"/>
      <c r="D262" s="230"/>
      <c r="E262" s="230"/>
      <c r="F262" s="230"/>
      <c r="G262" s="230"/>
      <c r="H262" s="230"/>
      <c r="I262" s="230"/>
      <c r="J262" s="230"/>
      <c r="K262" s="230"/>
      <c r="L262" s="230"/>
      <c r="M262" s="230"/>
      <c r="N262" s="230"/>
    </row>
    <row r="263" spans="1:14">
      <c r="A263" s="230"/>
      <c r="B263" s="230"/>
      <c r="C263" s="230"/>
      <c r="D263" s="230"/>
      <c r="E263" s="230"/>
      <c r="F263" s="230"/>
      <c r="G263" s="230"/>
      <c r="H263" s="230"/>
      <c r="I263" s="230"/>
      <c r="J263" s="230"/>
      <c r="K263" s="230"/>
      <c r="L263" s="230"/>
      <c r="M263" s="230"/>
      <c r="N263" s="230"/>
    </row>
    <row r="264" spans="1:14">
      <c r="A264" s="230"/>
      <c r="B264" s="230"/>
      <c r="C264" s="230"/>
      <c r="D264" s="230"/>
      <c r="E264" s="230"/>
      <c r="F264" s="230"/>
      <c r="G264" s="230"/>
      <c r="H264" s="230"/>
      <c r="I264" s="230"/>
      <c r="J264" s="230"/>
      <c r="K264" s="230"/>
      <c r="L264" s="230"/>
      <c r="M264" s="230"/>
      <c r="N264" s="230"/>
    </row>
    <row r="265" spans="1:14">
      <c r="A265" s="230"/>
      <c r="B265" s="230"/>
      <c r="C265" s="230"/>
      <c r="D265" s="230"/>
      <c r="E265" s="230"/>
      <c r="F265" s="230"/>
      <c r="G265" s="230"/>
      <c r="H265" s="230"/>
      <c r="I265" s="230"/>
      <c r="J265" s="230"/>
      <c r="K265" s="230"/>
      <c r="L265" s="230"/>
      <c r="M265" s="230"/>
      <c r="N265" s="230"/>
    </row>
    <row r="266" spans="1:14">
      <c r="A266" s="230"/>
      <c r="B266" s="230"/>
      <c r="C266" s="230"/>
      <c r="D266" s="230"/>
      <c r="E266" s="230"/>
      <c r="F266" s="230"/>
      <c r="G266" s="230"/>
      <c r="H266" s="230"/>
      <c r="I266" s="230"/>
      <c r="J266" s="230"/>
      <c r="K266" s="230"/>
      <c r="L266" s="230"/>
      <c r="M266" s="230"/>
      <c r="N266" s="230"/>
    </row>
    <row r="267" spans="1:14">
      <c r="A267" s="230"/>
      <c r="B267" s="230"/>
      <c r="C267" s="230"/>
      <c r="D267" s="230"/>
      <c r="E267" s="230"/>
      <c r="F267" s="230"/>
      <c r="G267" s="230"/>
      <c r="H267" s="230"/>
      <c r="I267" s="230"/>
      <c r="J267" s="230"/>
      <c r="K267" s="230"/>
      <c r="L267" s="230"/>
      <c r="M267" s="230"/>
      <c r="N267" s="230"/>
    </row>
    <row r="268" spans="1:14">
      <c r="A268" s="230"/>
      <c r="B268" s="230"/>
      <c r="C268" s="230"/>
      <c r="D268" s="230"/>
      <c r="E268" s="230"/>
      <c r="F268" s="230"/>
      <c r="G268" s="230"/>
      <c r="H268" s="230"/>
      <c r="I268" s="230"/>
      <c r="J268" s="230"/>
      <c r="K268" s="230"/>
      <c r="L268" s="230"/>
      <c r="M268" s="230"/>
      <c r="N268" s="230"/>
    </row>
    <row r="269" spans="1:14">
      <c r="A269" s="230"/>
      <c r="B269" s="230"/>
      <c r="C269" s="230"/>
      <c r="D269" s="230"/>
      <c r="E269" s="230"/>
      <c r="F269" s="230"/>
      <c r="G269" s="230"/>
      <c r="H269" s="230"/>
      <c r="I269" s="230"/>
      <c r="J269" s="230"/>
      <c r="K269" s="230"/>
      <c r="L269" s="230"/>
      <c r="M269" s="230"/>
      <c r="N269" s="230"/>
    </row>
    <row r="270" spans="1:14">
      <c r="A270" s="230"/>
      <c r="B270" s="230"/>
      <c r="C270" s="230"/>
      <c r="D270" s="230"/>
      <c r="E270" s="230"/>
      <c r="F270" s="230"/>
      <c r="G270" s="230"/>
      <c r="H270" s="230"/>
      <c r="I270" s="230"/>
      <c r="J270" s="230"/>
      <c r="K270" s="230"/>
      <c r="L270" s="230"/>
      <c r="M270" s="230"/>
      <c r="N270" s="230"/>
    </row>
    <row r="271" spans="1:14">
      <c r="A271" s="230"/>
      <c r="B271" s="230"/>
      <c r="C271" s="230"/>
      <c r="D271" s="230"/>
      <c r="E271" s="230"/>
      <c r="F271" s="230"/>
      <c r="G271" s="230"/>
      <c r="H271" s="230"/>
      <c r="I271" s="230"/>
      <c r="J271" s="230"/>
      <c r="K271" s="230"/>
      <c r="L271" s="230"/>
      <c r="M271" s="230"/>
      <c r="N271" s="230"/>
    </row>
    <row r="272" spans="1:14">
      <c r="A272" s="230"/>
      <c r="B272" s="230"/>
      <c r="C272" s="230"/>
      <c r="D272" s="230"/>
      <c r="E272" s="230"/>
      <c r="F272" s="230"/>
      <c r="G272" s="230"/>
      <c r="H272" s="230"/>
      <c r="I272" s="230"/>
      <c r="J272" s="230"/>
      <c r="K272" s="230"/>
      <c r="L272" s="230"/>
      <c r="M272" s="230"/>
      <c r="N272" s="230"/>
    </row>
    <row r="273" spans="1:14">
      <c r="A273" s="230"/>
      <c r="B273" s="230"/>
      <c r="C273" s="230"/>
      <c r="D273" s="230"/>
      <c r="E273" s="230"/>
      <c r="F273" s="230"/>
      <c r="G273" s="230"/>
      <c r="H273" s="230"/>
      <c r="I273" s="230"/>
      <c r="J273" s="230"/>
      <c r="K273" s="230"/>
      <c r="L273" s="230"/>
      <c r="M273" s="230"/>
      <c r="N273" s="230"/>
    </row>
    <row r="274" spans="1:14">
      <c r="A274" s="230"/>
      <c r="B274" s="230"/>
      <c r="C274" s="230"/>
      <c r="D274" s="230"/>
      <c r="E274" s="230"/>
      <c r="F274" s="230"/>
      <c r="G274" s="230"/>
      <c r="H274" s="230"/>
      <c r="I274" s="230"/>
      <c r="J274" s="230"/>
      <c r="K274" s="230"/>
      <c r="L274" s="230"/>
      <c r="M274" s="230"/>
      <c r="N274" s="230"/>
    </row>
    <row r="275" spans="1:14">
      <c r="A275" s="230"/>
      <c r="B275" s="230"/>
      <c r="C275" s="230"/>
      <c r="D275" s="230"/>
      <c r="E275" s="230"/>
      <c r="F275" s="230"/>
      <c r="G275" s="230"/>
      <c r="H275" s="230"/>
      <c r="I275" s="230"/>
      <c r="J275" s="230"/>
      <c r="K275" s="230"/>
      <c r="L275" s="230"/>
      <c r="M275" s="230"/>
      <c r="N275" s="230"/>
    </row>
    <row r="276" spans="1:14">
      <c r="A276" s="230"/>
      <c r="B276" s="230"/>
      <c r="C276" s="230"/>
      <c r="D276" s="230"/>
      <c r="E276" s="230"/>
      <c r="F276" s="230"/>
      <c r="G276" s="230"/>
      <c r="H276" s="230"/>
      <c r="I276" s="230"/>
      <c r="J276" s="230"/>
      <c r="K276" s="230"/>
      <c r="L276" s="230"/>
      <c r="M276" s="230"/>
      <c r="N276" s="230"/>
    </row>
    <row r="277" spans="1:14">
      <c r="A277" s="230"/>
      <c r="B277" s="230"/>
      <c r="C277" s="230"/>
      <c r="D277" s="230"/>
      <c r="E277" s="230"/>
      <c r="F277" s="230"/>
      <c r="G277" s="230"/>
      <c r="H277" s="230"/>
      <c r="I277" s="230"/>
      <c r="J277" s="230"/>
      <c r="K277" s="230"/>
      <c r="L277" s="230"/>
      <c r="M277" s="230"/>
      <c r="N277" s="230"/>
    </row>
    <row r="278" spans="1:14">
      <c r="A278" s="230"/>
      <c r="B278" s="230"/>
      <c r="C278" s="230"/>
      <c r="D278" s="230"/>
      <c r="E278" s="230"/>
      <c r="F278" s="230"/>
      <c r="G278" s="230"/>
      <c r="H278" s="230"/>
      <c r="I278" s="230"/>
      <c r="J278" s="230"/>
      <c r="K278" s="230"/>
      <c r="L278" s="230"/>
      <c r="M278" s="230"/>
      <c r="N278" s="230"/>
    </row>
    <row r="279" spans="1:14">
      <c r="A279" s="230"/>
      <c r="B279" s="230"/>
      <c r="C279" s="230"/>
      <c r="D279" s="230"/>
      <c r="E279" s="230"/>
      <c r="F279" s="230"/>
      <c r="G279" s="230"/>
      <c r="H279" s="230"/>
      <c r="I279" s="230"/>
      <c r="J279" s="230"/>
      <c r="K279" s="230"/>
      <c r="L279" s="230"/>
      <c r="M279" s="230"/>
      <c r="N279" s="230"/>
    </row>
    <row r="280" spans="1:14">
      <c r="A280" s="230"/>
      <c r="B280" s="230"/>
      <c r="C280" s="230"/>
      <c r="D280" s="230"/>
      <c r="E280" s="230"/>
      <c r="F280" s="230"/>
      <c r="G280" s="230"/>
      <c r="H280" s="230"/>
      <c r="I280" s="230"/>
      <c r="J280" s="230"/>
      <c r="K280" s="230"/>
      <c r="L280" s="230"/>
      <c r="M280" s="230"/>
      <c r="N280" s="230"/>
    </row>
    <row r="281" spans="1:14">
      <c r="A281" s="230"/>
      <c r="B281" s="230"/>
      <c r="C281" s="230"/>
      <c r="D281" s="230"/>
      <c r="E281" s="230"/>
      <c r="F281" s="230"/>
      <c r="G281" s="230"/>
      <c r="H281" s="230"/>
      <c r="I281" s="230"/>
      <c r="J281" s="230"/>
      <c r="K281" s="230"/>
      <c r="L281" s="230"/>
      <c r="M281" s="230"/>
      <c r="N281" s="230"/>
    </row>
    <row r="282" spans="1:14">
      <c r="A282" s="230"/>
      <c r="B282" s="230"/>
      <c r="C282" s="230"/>
      <c r="D282" s="230"/>
      <c r="E282" s="230"/>
      <c r="F282" s="230"/>
      <c r="G282" s="230"/>
      <c r="H282" s="230"/>
      <c r="I282" s="230"/>
      <c r="J282" s="230"/>
      <c r="K282" s="230"/>
      <c r="L282" s="230"/>
      <c r="M282" s="230"/>
      <c r="N282" s="230"/>
    </row>
    <row r="283" spans="1:14">
      <c r="A283" s="230"/>
      <c r="B283" s="230"/>
      <c r="C283" s="230"/>
      <c r="D283" s="230"/>
      <c r="E283" s="230"/>
      <c r="F283" s="230"/>
      <c r="G283" s="230"/>
      <c r="H283" s="230"/>
      <c r="I283" s="230"/>
      <c r="J283" s="230"/>
      <c r="K283" s="230"/>
      <c r="L283" s="230"/>
      <c r="M283" s="230"/>
      <c r="N283" s="230"/>
    </row>
    <row r="284" spans="1:14">
      <c r="A284" s="230"/>
      <c r="B284" s="230"/>
      <c r="C284" s="230"/>
      <c r="D284" s="230"/>
      <c r="E284" s="230"/>
      <c r="F284" s="230"/>
      <c r="G284" s="230"/>
      <c r="H284" s="230"/>
      <c r="I284" s="230"/>
      <c r="J284" s="230"/>
      <c r="K284" s="230"/>
      <c r="L284" s="230"/>
      <c r="M284" s="230"/>
      <c r="N284" s="230"/>
    </row>
    <row r="285" spans="1:14">
      <c r="A285" s="230"/>
      <c r="B285" s="230"/>
      <c r="C285" s="230"/>
      <c r="D285" s="230"/>
      <c r="E285" s="230"/>
      <c r="F285" s="230"/>
      <c r="G285" s="230"/>
      <c r="H285" s="230"/>
      <c r="I285" s="230"/>
      <c r="J285" s="230"/>
      <c r="K285" s="230"/>
      <c r="L285" s="230"/>
      <c r="M285" s="230"/>
      <c r="N285" s="230"/>
    </row>
    <row r="286" spans="1:14">
      <c r="A286" s="230"/>
      <c r="B286" s="230"/>
      <c r="C286" s="230"/>
      <c r="D286" s="230"/>
      <c r="E286" s="230"/>
      <c r="F286" s="230"/>
      <c r="G286" s="230"/>
      <c r="H286" s="230"/>
      <c r="I286" s="230"/>
      <c r="J286" s="230"/>
      <c r="K286" s="230"/>
      <c r="L286" s="230"/>
      <c r="M286" s="230"/>
      <c r="N286" s="230"/>
    </row>
    <row r="287" spans="1:14">
      <c r="A287" s="230"/>
      <c r="B287" s="230"/>
      <c r="C287" s="230"/>
      <c r="D287" s="230"/>
      <c r="E287" s="230"/>
      <c r="F287" s="230"/>
      <c r="G287" s="230"/>
      <c r="H287" s="230"/>
      <c r="I287" s="230"/>
      <c r="J287" s="230"/>
      <c r="K287" s="230"/>
      <c r="L287" s="230"/>
      <c r="M287" s="230"/>
      <c r="N287" s="230"/>
    </row>
    <row r="288" spans="1:14">
      <c r="A288" s="230"/>
      <c r="B288" s="230"/>
      <c r="C288" s="230"/>
      <c r="D288" s="230"/>
      <c r="E288" s="230"/>
      <c r="F288" s="230"/>
      <c r="G288" s="230"/>
      <c r="H288" s="230"/>
      <c r="I288" s="230"/>
      <c r="J288" s="230"/>
      <c r="K288" s="230"/>
      <c r="L288" s="230"/>
      <c r="M288" s="230"/>
      <c r="N288" s="230"/>
    </row>
    <row r="289" spans="1:14">
      <c r="A289" s="230"/>
      <c r="B289" s="230"/>
      <c r="C289" s="230"/>
      <c r="D289" s="230"/>
      <c r="E289" s="230"/>
      <c r="F289" s="230"/>
      <c r="G289" s="230"/>
      <c r="H289" s="230"/>
      <c r="I289" s="230"/>
      <c r="J289" s="230"/>
      <c r="K289" s="230"/>
      <c r="L289" s="230"/>
      <c r="M289" s="230"/>
      <c r="N289" s="230"/>
    </row>
    <row r="290" spans="1:14">
      <c r="A290" s="230"/>
      <c r="B290" s="230"/>
      <c r="C290" s="230"/>
      <c r="D290" s="230"/>
      <c r="E290" s="230"/>
      <c r="F290" s="230"/>
      <c r="G290" s="230"/>
      <c r="H290" s="230"/>
      <c r="I290" s="230"/>
      <c r="J290" s="230"/>
      <c r="K290" s="230"/>
      <c r="L290" s="230"/>
      <c r="M290" s="230"/>
      <c r="N290" s="230"/>
    </row>
    <row r="291" spans="1:14">
      <c r="A291" s="230"/>
      <c r="B291" s="230"/>
      <c r="C291" s="230"/>
      <c r="D291" s="230"/>
      <c r="E291" s="230"/>
      <c r="F291" s="230"/>
      <c r="G291" s="230"/>
      <c r="H291" s="230"/>
      <c r="I291" s="230"/>
      <c r="J291" s="230"/>
      <c r="K291" s="230"/>
      <c r="L291" s="230"/>
      <c r="M291" s="230"/>
      <c r="N291" s="230"/>
    </row>
    <row r="292" spans="1:14">
      <c r="A292" s="230"/>
      <c r="B292" s="230"/>
      <c r="C292" s="230"/>
      <c r="D292" s="230"/>
      <c r="E292" s="230"/>
      <c r="F292" s="230"/>
      <c r="G292" s="230"/>
      <c r="H292" s="230"/>
      <c r="I292" s="230"/>
      <c r="J292" s="230"/>
      <c r="K292" s="230"/>
      <c r="L292" s="230"/>
      <c r="M292" s="230"/>
      <c r="N292" s="230"/>
    </row>
    <row r="293" spans="1:14">
      <c r="A293" s="230"/>
      <c r="B293" s="230"/>
      <c r="C293" s="230"/>
      <c r="D293" s="230"/>
      <c r="E293" s="230"/>
      <c r="F293" s="230"/>
      <c r="G293" s="230"/>
      <c r="H293" s="230"/>
      <c r="I293" s="230"/>
      <c r="J293" s="230"/>
      <c r="K293" s="230"/>
      <c r="L293" s="230"/>
      <c r="M293" s="230"/>
      <c r="N293" s="230"/>
    </row>
    <row r="294" spans="1:14">
      <c r="A294" s="230"/>
      <c r="B294" s="230"/>
      <c r="C294" s="230"/>
      <c r="D294" s="230"/>
      <c r="E294" s="230"/>
      <c r="F294" s="230"/>
      <c r="G294" s="230"/>
      <c r="H294" s="230"/>
      <c r="I294" s="230"/>
      <c r="J294" s="230"/>
      <c r="K294" s="230"/>
      <c r="L294" s="230"/>
      <c r="M294" s="230"/>
      <c r="N294" s="230"/>
    </row>
    <row r="295" spans="1:14">
      <c r="A295" s="230"/>
      <c r="B295" s="230"/>
      <c r="C295" s="230"/>
      <c r="D295" s="230"/>
      <c r="E295" s="230"/>
      <c r="F295" s="230"/>
      <c r="G295" s="230"/>
      <c r="H295" s="230"/>
      <c r="I295" s="230"/>
      <c r="J295" s="230"/>
      <c r="K295" s="230"/>
      <c r="L295" s="230"/>
      <c r="M295" s="230"/>
      <c r="N295" s="230"/>
    </row>
    <row r="296" spans="1:14">
      <c r="A296" s="230"/>
      <c r="B296" s="230"/>
      <c r="C296" s="230"/>
      <c r="D296" s="230"/>
      <c r="E296" s="230"/>
      <c r="F296" s="230"/>
      <c r="G296" s="230"/>
      <c r="H296" s="230"/>
      <c r="I296" s="230"/>
      <c r="J296" s="230"/>
      <c r="K296" s="230"/>
      <c r="L296" s="230"/>
      <c r="M296" s="230"/>
      <c r="N296" s="230"/>
    </row>
    <row r="297" spans="1:14">
      <c r="A297" s="230"/>
      <c r="B297" s="230"/>
      <c r="C297" s="230"/>
      <c r="D297" s="230"/>
      <c r="E297" s="230"/>
      <c r="F297" s="230"/>
      <c r="G297" s="230"/>
      <c r="H297" s="230"/>
      <c r="I297" s="230"/>
      <c r="J297" s="230"/>
      <c r="K297" s="230"/>
      <c r="L297" s="230"/>
      <c r="M297" s="230"/>
      <c r="N297" s="230"/>
    </row>
    <row r="298" spans="1:14">
      <c r="A298" s="230"/>
      <c r="B298" s="230"/>
      <c r="C298" s="230"/>
      <c r="D298" s="230"/>
      <c r="E298" s="230"/>
      <c r="F298" s="230"/>
      <c r="G298" s="230"/>
      <c r="H298" s="230"/>
      <c r="I298" s="230"/>
      <c r="J298" s="230"/>
      <c r="K298" s="230"/>
      <c r="L298" s="230"/>
      <c r="M298" s="230"/>
      <c r="N298" s="230"/>
    </row>
    <row r="299" spans="1:14">
      <c r="A299" s="230"/>
      <c r="B299" s="230"/>
      <c r="C299" s="230"/>
      <c r="D299" s="230"/>
      <c r="E299" s="230"/>
      <c r="F299" s="230"/>
      <c r="G299" s="230"/>
      <c r="H299" s="230"/>
      <c r="I299" s="230"/>
      <c r="J299" s="230"/>
      <c r="K299" s="230"/>
      <c r="L299" s="230"/>
      <c r="M299" s="230"/>
      <c r="N299" s="230"/>
    </row>
    <row r="300" spans="1:14">
      <c r="A300" s="230"/>
      <c r="B300" s="230"/>
      <c r="C300" s="230"/>
      <c r="D300" s="230"/>
      <c r="E300" s="230"/>
      <c r="F300" s="230"/>
      <c r="G300" s="230"/>
      <c r="H300" s="230"/>
      <c r="I300" s="230"/>
      <c r="J300" s="230"/>
      <c r="K300" s="230"/>
      <c r="L300" s="230"/>
      <c r="M300" s="230"/>
      <c r="N300" s="230"/>
    </row>
    <row r="301" spans="1:14">
      <c r="A301" s="230"/>
      <c r="B301" s="230"/>
      <c r="C301" s="230"/>
      <c r="D301" s="230"/>
      <c r="E301" s="230"/>
      <c r="F301" s="230"/>
      <c r="G301" s="230"/>
      <c r="H301" s="230"/>
      <c r="I301" s="230"/>
      <c r="J301" s="230"/>
      <c r="K301" s="230"/>
      <c r="L301" s="230"/>
      <c r="M301" s="230"/>
      <c r="N301" s="230"/>
    </row>
    <row r="302" spans="1:14">
      <c r="A302" s="230"/>
      <c r="B302" s="230"/>
      <c r="C302" s="230"/>
      <c r="D302" s="230"/>
      <c r="E302" s="230"/>
      <c r="F302" s="230"/>
      <c r="G302" s="230"/>
      <c r="H302" s="230"/>
      <c r="I302" s="230"/>
      <c r="J302" s="230"/>
      <c r="K302" s="230"/>
      <c r="L302" s="230"/>
      <c r="M302" s="230"/>
      <c r="N302" s="230"/>
    </row>
    <row r="303" spans="1:14">
      <c r="A303" s="230"/>
      <c r="B303" s="230"/>
      <c r="C303" s="230"/>
      <c r="D303" s="230"/>
      <c r="E303" s="230"/>
      <c r="F303" s="230"/>
      <c r="G303" s="230"/>
      <c r="H303" s="230"/>
      <c r="I303" s="230"/>
      <c r="J303" s="230"/>
      <c r="K303" s="230"/>
      <c r="L303" s="230"/>
      <c r="M303" s="230"/>
      <c r="N303" s="230"/>
    </row>
    <row r="304" spans="1:14">
      <c r="A304" s="230"/>
      <c r="B304" s="230"/>
      <c r="C304" s="230"/>
      <c r="D304" s="230"/>
      <c r="E304" s="230"/>
      <c r="F304" s="230"/>
      <c r="G304" s="230"/>
      <c r="H304" s="230"/>
      <c r="I304" s="230"/>
      <c r="J304" s="230"/>
      <c r="K304" s="230"/>
      <c r="L304" s="230"/>
      <c r="M304" s="230"/>
      <c r="N304" s="230"/>
    </row>
    <row r="305" spans="1:14">
      <c r="A305" s="230"/>
      <c r="B305" s="230"/>
      <c r="C305" s="230"/>
      <c r="D305" s="230"/>
      <c r="E305" s="230"/>
      <c r="F305" s="230"/>
      <c r="G305" s="230"/>
      <c r="H305" s="230"/>
      <c r="I305" s="230"/>
      <c r="J305" s="230"/>
      <c r="K305" s="230"/>
      <c r="L305" s="230"/>
      <c r="M305" s="230"/>
      <c r="N305" s="230"/>
    </row>
    <row r="306" spans="1:14">
      <c r="A306" s="230"/>
      <c r="B306" s="230"/>
      <c r="C306" s="230"/>
      <c r="D306" s="230"/>
      <c r="E306" s="230"/>
      <c r="F306" s="230"/>
      <c r="G306" s="230"/>
      <c r="H306" s="230"/>
      <c r="I306" s="230"/>
      <c r="J306" s="230"/>
      <c r="K306" s="230"/>
      <c r="L306" s="230"/>
      <c r="M306" s="230"/>
      <c r="N306" s="230"/>
    </row>
    <row r="307" spans="1:14">
      <c r="A307" s="230"/>
      <c r="B307" s="230"/>
      <c r="C307" s="230"/>
      <c r="D307" s="230"/>
      <c r="E307" s="230"/>
      <c r="F307" s="230"/>
      <c r="G307" s="230"/>
      <c r="H307" s="230"/>
      <c r="I307" s="230"/>
      <c r="J307" s="230"/>
      <c r="K307" s="230"/>
      <c r="L307" s="230"/>
      <c r="M307" s="230"/>
      <c r="N307" s="230"/>
    </row>
    <row r="308" spans="1:14">
      <c r="A308" s="230"/>
      <c r="B308" s="230"/>
      <c r="C308" s="230"/>
      <c r="D308" s="230"/>
      <c r="E308" s="230"/>
      <c r="F308" s="230"/>
      <c r="G308" s="230"/>
      <c r="H308" s="230"/>
      <c r="I308" s="230"/>
      <c r="J308" s="230"/>
      <c r="K308" s="230"/>
      <c r="L308" s="230"/>
      <c r="M308" s="230"/>
      <c r="N308" s="230"/>
    </row>
    <row r="309" spans="1:14">
      <c r="A309" s="230"/>
      <c r="B309" s="230"/>
      <c r="C309" s="230"/>
      <c r="D309" s="230"/>
      <c r="E309" s="230"/>
      <c r="F309" s="230"/>
      <c r="G309" s="230"/>
      <c r="H309" s="230"/>
      <c r="I309" s="230"/>
      <c r="J309" s="230"/>
      <c r="K309" s="230"/>
      <c r="L309" s="230"/>
      <c r="M309" s="230"/>
      <c r="N309" s="230"/>
    </row>
    <row r="310" spans="1:14">
      <c r="A310" s="230"/>
      <c r="B310" s="230"/>
      <c r="C310" s="230"/>
      <c r="D310" s="230"/>
      <c r="E310" s="230"/>
      <c r="F310" s="230"/>
      <c r="G310" s="230"/>
      <c r="H310" s="230"/>
      <c r="I310" s="230"/>
      <c r="J310" s="230"/>
      <c r="K310" s="230"/>
      <c r="L310" s="230"/>
      <c r="M310" s="230"/>
      <c r="N310" s="230"/>
    </row>
    <row r="311" spans="1:14">
      <c r="A311" s="230"/>
      <c r="B311" s="230"/>
      <c r="C311" s="230"/>
      <c r="D311" s="230"/>
      <c r="E311" s="230"/>
      <c r="F311" s="230"/>
      <c r="G311" s="230"/>
      <c r="H311" s="230"/>
      <c r="I311" s="230"/>
      <c r="J311" s="230"/>
      <c r="K311" s="230"/>
      <c r="L311" s="230"/>
      <c r="M311" s="230"/>
      <c r="N311" s="230"/>
    </row>
    <row r="312" spans="1:14">
      <c r="A312" s="230"/>
      <c r="B312" s="230"/>
      <c r="C312" s="230"/>
      <c r="D312" s="230"/>
      <c r="E312" s="230"/>
      <c r="F312" s="230"/>
      <c r="G312" s="230"/>
      <c r="H312" s="230"/>
      <c r="I312" s="230"/>
      <c r="J312" s="230"/>
      <c r="K312" s="230"/>
      <c r="L312" s="230"/>
      <c r="M312" s="230"/>
      <c r="N312" s="230"/>
    </row>
    <row r="313" spans="1:14">
      <c r="A313" s="230"/>
      <c r="B313" s="230"/>
      <c r="C313" s="230"/>
      <c r="D313" s="230"/>
      <c r="E313" s="230"/>
      <c r="F313" s="230"/>
      <c r="G313" s="230"/>
      <c r="H313" s="230"/>
      <c r="I313" s="230"/>
      <c r="J313" s="230"/>
      <c r="K313" s="230"/>
      <c r="L313" s="230"/>
      <c r="M313" s="230"/>
      <c r="N313" s="230"/>
    </row>
    <row r="314" spans="1:14">
      <c r="A314" s="230"/>
      <c r="B314" s="230"/>
      <c r="C314" s="230"/>
      <c r="D314" s="230"/>
      <c r="E314" s="230"/>
      <c r="F314" s="230"/>
      <c r="G314" s="230"/>
      <c r="H314" s="230"/>
      <c r="I314" s="230"/>
      <c r="J314" s="230"/>
      <c r="K314" s="230"/>
      <c r="L314" s="230"/>
      <c r="M314" s="230"/>
      <c r="N314" s="230"/>
    </row>
    <row r="315" spans="1:14">
      <c r="A315" s="230"/>
      <c r="B315" s="230"/>
      <c r="C315" s="230"/>
      <c r="D315" s="230"/>
      <c r="E315" s="230"/>
      <c r="F315" s="230"/>
      <c r="G315" s="230"/>
      <c r="H315" s="230"/>
      <c r="I315" s="230"/>
      <c r="J315" s="230"/>
      <c r="K315" s="230"/>
      <c r="L315" s="230"/>
      <c r="M315" s="230"/>
      <c r="N315" s="230"/>
    </row>
    <row r="316" spans="1:14">
      <c r="A316" s="230"/>
      <c r="B316" s="230"/>
      <c r="C316" s="230"/>
      <c r="D316" s="230"/>
      <c r="E316" s="230"/>
      <c r="F316" s="230"/>
      <c r="G316" s="230"/>
      <c r="H316" s="230"/>
      <c r="I316" s="230"/>
      <c r="J316" s="230"/>
      <c r="K316" s="230"/>
      <c r="L316" s="230"/>
      <c r="M316" s="230"/>
      <c r="N316" s="230"/>
    </row>
    <row r="317" spans="1:14">
      <c r="A317" s="230"/>
      <c r="B317" s="230"/>
      <c r="C317" s="230"/>
      <c r="D317" s="230"/>
      <c r="E317" s="230"/>
      <c r="F317" s="230"/>
      <c r="G317" s="230"/>
      <c r="H317" s="230"/>
      <c r="I317" s="230"/>
      <c r="J317" s="230"/>
      <c r="K317" s="230"/>
      <c r="L317" s="230"/>
      <c r="M317" s="230"/>
      <c r="N317" s="230"/>
    </row>
    <row r="318" spans="1:14">
      <c r="A318" s="230"/>
      <c r="B318" s="230"/>
      <c r="C318" s="230"/>
      <c r="D318" s="230"/>
      <c r="E318" s="230"/>
      <c r="F318" s="230"/>
      <c r="G318" s="230"/>
      <c r="H318" s="230"/>
      <c r="I318" s="230"/>
      <c r="J318" s="230"/>
      <c r="K318" s="230"/>
      <c r="L318" s="230"/>
      <c r="M318" s="230"/>
      <c r="N318" s="230"/>
    </row>
    <row r="319" spans="1:14">
      <c r="A319" s="230"/>
      <c r="B319" s="230"/>
      <c r="C319" s="230"/>
      <c r="D319" s="230"/>
      <c r="E319" s="230"/>
      <c r="F319" s="230"/>
      <c r="G319" s="230"/>
      <c r="H319" s="230"/>
      <c r="I319" s="230"/>
      <c r="J319" s="230"/>
      <c r="K319" s="230"/>
      <c r="L319" s="230"/>
      <c r="M319" s="230"/>
      <c r="N319" s="230"/>
    </row>
    <row r="320" spans="1:14">
      <c r="A320" s="230"/>
      <c r="B320" s="230"/>
      <c r="C320" s="230"/>
      <c r="D320" s="230"/>
      <c r="E320" s="230"/>
      <c r="F320" s="230"/>
      <c r="G320" s="230"/>
      <c r="H320" s="230"/>
      <c r="I320" s="230"/>
      <c r="J320" s="230"/>
      <c r="K320" s="230"/>
      <c r="L320" s="230"/>
      <c r="M320" s="230"/>
      <c r="N320" s="230"/>
    </row>
    <row r="321" spans="1:14">
      <c r="A321" s="230"/>
      <c r="B321" s="230"/>
      <c r="C321" s="230"/>
      <c r="D321" s="230"/>
      <c r="E321" s="230"/>
      <c r="F321" s="230"/>
      <c r="G321" s="230"/>
      <c r="H321" s="230"/>
      <c r="I321" s="230"/>
      <c r="J321" s="230"/>
      <c r="K321" s="230"/>
      <c r="L321" s="230"/>
      <c r="M321" s="230"/>
      <c r="N321" s="230"/>
    </row>
    <row r="322" spans="1:14">
      <c r="A322" s="230"/>
      <c r="B322" s="230"/>
      <c r="C322" s="230"/>
      <c r="D322" s="230"/>
      <c r="E322" s="230"/>
      <c r="F322" s="230"/>
      <c r="G322" s="230"/>
      <c r="H322" s="230"/>
      <c r="I322" s="230"/>
      <c r="J322" s="230"/>
      <c r="K322" s="230"/>
      <c r="L322" s="230"/>
      <c r="M322" s="230"/>
      <c r="N322" s="230"/>
    </row>
    <row r="323" spans="1:14">
      <c r="A323" s="230"/>
      <c r="B323" s="230"/>
      <c r="C323" s="230"/>
      <c r="D323" s="230"/>
      <c r="E323" s="230"/>
      <c r="F323" s="230"/>
      <c r="G323" s="230"/>
      <c r="H323" s="230"/>
      <c r="I323" s="230"/>
      <c r="J323" s="230"/>
      <c r="K323" s="230"/>
      <c r="L323" s="230"/>
      <c r="M323" s="230"/>
      <c r="N323" s="230"/>
    </row>
    <row r="324" spans="1:14">
      <c r="A324" s="230"/>
      <c r="B324" s="230"/>
      <c r="C324" s="230"/>
      <c r="D324" s="230"/>
      <c r="E324" s="230"/>
      <c r="F324" s="230"/>
      <c r="G324" s="230"/>
      <c r="H324" s="230"/>
      <c r="I324" s="230"/>
      <c r="J324" s="230"/>
      <c r="K324" s="230"/>
      <c r="L324" s="230"/>
      <c r="M324" s="230"/>
      <c r="N324" s="230"/>
    </row>
    <row r="325" spans="1:14">
      <c r="A325" s="230"/>
      <c r="B325" s="230"/>
      <c r="C325" s="230"/>
      <c r="D325" s="230"/>
      <c r="E325" s="230"/>
      <c r="F325" s="230"/>
      <c r="G325" s="230"/>
      <c r="H325" s="230"/>
      <c r="I325" s="230"/>
      <c r="J325" s="230"/>
      <c r="K325" s="230"/>
      <c r="L325" s="230"/>
      <c r="M325" s="230"/>
      <c r="N325" s="230"/>
    </row>
    <row r="326" spans="1:14">
      <c r="A326" s="230"/>
      <c r="B326" s="230"/>
      <c r="C326" s="230"/>
      <c r="D326" s="230"/>
      <c r="E326" s="230"/>
      <c r="F326" s="230"/>
      <c r="G326" s="230"/>
      <c r="H326" s="230"/>
      <c r="I326" s="230"/>
      <c r="J326" s="230"/>
      <c r="K326" s="230"/>
      <c r="L326" s="230"/>
      <c r="M326" s="230"/>
      <c r="N326" s="230"/>
    </row>
    <row r="327" spans="1:14">
      <c r="A327" s="230"/>
      <c r="B327" s="230"/>
      <c r="C327" s="230"/>
      <c r="D327" s="230"/>
      <c r="E327" s="230"/>
      <c r="F327" s="230"/>
      <c r="G327" s="230"/>
      <c r="H327" s="230"/>
      <c r="I327" s="230"/>
      <c r="J327" s="230"/>
      <c r="K327" s="230"/>
      <c r="L327" s="230"/>
      <c r="M327" s="230"/>
      <c r="N327" s="230"/>
    </row>
    <row r="328" spans="1:14">
      <c r="A328" s="230"/>
      <c r="B328" s="230"/>
      <c r="C328" s="230"/>
      <c r="D328" s="230"/>
      <c r="E328" s="230"/>
      <c r="F328" s="230"/>
      <c r="G328" s="230"/>
      <c r="H328" s="230"/>
      <c r="I328" s="230"/>
      <c r="J328" s="230"/>
      <c r="K328" s="230"/>
      <c r="L328" s="230"/>
      <c r="M328" s="230"/>
      <c r="N328" s="230"/>
    </row>
    <row r="329" spans="1:14">
      <c r="A329" s="230"/>
      <c r="B329" s="230"/>
      <c r="C329" s="230"/>
      <c r="D329" s="230"/>
      <c r="E329" s="230"/>
      <c r="F329" s="230"/>
      <c r="G329" s="230"/>
      <c r="H329" s="230"/>
      <c r="I329" s="230"/>
      <c r="J329" s="230"/>
      <c r="K329" s="230"/>
      <c r="L329" s="230"/>
      <c r="M329" s="230"/>
      <c r="N329" s="230"/>
    </row>
    <row r="330" spans="1:14">
      <c r="A330" s="230"/>
      <c r="B330" s="230"/>
      <c r="C330" s="230"/>
      <c r="D330" s="230"/>
      <c r="E330" s="230"/>
      <c r="F330" s="230"/>
      <c r="G330" s="230"/>
      <c r="H330" s="230"/>
      <c r="I330" s="230"/>
      <c r="J330" s="230"/>
      <c r="K330" s="230"/>
      <c r="L330" s="230"/>
      <c r="M330" s="230"/>
      <c r="N330" s="230"/>
    </row>
    <row r="331" spans="1:14">
      <c r="A331" s="230"/>
      <c r="B331" s="230"/>
      <c r="C331" s="230"/>
      <c r="D331" s="230"/>
      <c r="E331" s="230"/>
      <c r="F331" s="230"/>
      <c r="G331" s="230"/>
      <c r="H331" s="230"/>
      <c r="I331" s="230"/>
      <c r="J331" s="230"/>
      <c r="K331" s="230"/>
      <c r="L331" s="230"/>
      <c r="M331" s="230"/>
      <c r="N331" s="230"/>
    </row>
    <row r="332" spans="1:14">
      <c r="A332" s="230"/>
      <c r="B332" s="230"/>
      <c r="C332" s="230"/>
      <c r="D332" s="230"/>
      <c r="E332" s="230"/>
      <c r="F332" s="230"/>
      <c r="G332" s="230"/>
      <c r="H332" s="230"/>
      <c r="I332" s="230"/>
      <c r="J332" s="230"/>
      <c r="K332" s="230"/>
      <c r="L332" s="230"/>
      <c r="M332" s="230"/>
      <c r="N332" s="230"/>
    </row>
    <row r="333" spans="1:14">
      <c r="A333" s="230"/>
      <c r="B333" s="230"/>
      <c r="C333" s="230"/>
      <c r="D333" s="230"/>
      <c r="E333" s="230"/>
      <c r="F333" s="230"/>
      <c r="G333" s="230"/>
      <c r="H333" s="230"/>
      <c r="I333" s="230"/>
      <c r="J333" s="230"/>
      <c r="K333" s="230"/>
      <c r="L333" s="230"/>
      <c r="M333" s="230"/>
      <c r="N333" s="230"/>
    </row>
    <row r="334" spans="1:14">
      <c r="A334" s="230"/>
      <c r="B334" s="230"/>
      <c r="C334" s="230"/>
      <c r="D334" s="230"/>
      <c r="E334" s="230"/>
      <c r="F334" s="230"/>
      <c r="G334" s="230"/>
      <c r="H334" s="230"/>
      <c r="I334" s="230"/>
      <c r="J334" s="230"/>
      <c r="K334" s="230"/>
      <c r="L334" s="230"/>
      <c r="M334" s="230"/>
      <c r="N334" s="230"/>
    </row>
    <row r="335" spans="1:14">
      <c r="A335" s="230"/>
      <c r="B335" s="230"/>
      <c r="C335" s="230"/>
      <c r="D335" s="230"/>
      <c r="E335" s="230"/>
      <c r="F335" s="230"/>
      <c r="G335" s="230"/>
      <c r="H335" s="230"/>
      <c r="I335" s="230"/>
      <c r="J335" s="230"/>
      <c r="K335" s="230"/>
      <c r="L335" s="230"/>
      <c r="M335" s="230"/>
      <c r="N335" s="230"/>
    </row>
    <row r="336" spans="1:14">
      <c r="A336" s="230"/>
      <c r="B336" s="230"/>
      <c r="C336" s="230"/>
      <c r="D336" s="230"/>
      <c r="E336" s="230"/>
      <c r="F336" s="230"/>
      <c r="G336" s="230"/>
      <c r="H336" s="230"/>
      <c r="I336" s="230"/>
      <c r="J336" s="230"/>
      <c r="K336" s="230"/>
      <c r="L336" s="230"/>
      <c r="M336" s="230"/>
      <c r="N336" s="230"/>
    </row>
    <row r="337" spans="1:14">
      <c r="A337" s="230"/>
      <c r="B337" s="230"/>
      <c r="C337" s="230"/>
      <c r="D337" s="230"/>
      <c r="E337" s="230"/>
      <c r="F337" s="230"/>
      <c r="G337" s="230"/>
      <c r="H337" s="230"/>
      <c r="I337" s="230"/>
      <c r="J337" s="230"/>
      <c r="K337" s="230"/>
      <c r="L337" s="230"/>
      <c r="M337" s="230"/>
      <c r="N337" s="230"/>
    </row>
    <row r="338" spans="1:14">
      <c r="A338" s="230"/>
      <c r="B338" s="230"/>
      <c r="C338" s="230"/>
      <c r="D338" s="230"/>
      <c r="E338" s="230"/>
      <c r="F338" s="230"/>
      <c r="G338" s="230"/>
      <c r="H338" s="230"/>
      <c r="I338" s="230"/>
      <c r="J338" s="230"/>
      <c r="K338" s="230"/>
      <c r="L338" s="230"/>
      <c r="M338" s="230"/>
      <c r="N338" s="230"/>
    </row>
    <row r="339" spans="1:14">
      <c r="A339" s="230"/>
      <c r="B339" s="230"/>
      <c r="C339" s="230"/>
      <c r="D339" s="230"/>
      <c r="E339" s="230"/>
      <c r="F339" s="230"/>
      <c r="G339" s="230"/>
      <c r="H339" s="230"/>
      <c r="I339" s="230"/>
      <c r="J339" s="230"/>
      <c r="K339" s="230"/>
      <c r="L339" s="230"/>
      <c r="M339" s="230"/>
      <c r="N339" s="230"/>
    </row>
    <row r="340" spans="1:14">
      <c r="A340" s="230"/>
      <c r="B340" s="230"/>
      <c r="C340" s="230"/>
      <c r="D340" s="230"/>
      <c r="E340" s="230"/>
      <c r="F340" s="230"/>
      <c r="G340" s="230"/>
      <c r="H340" s="230"/>
      <c r="I340" s="230"/>
      <c r="J340" s="230"/>
      <c r="K340" s="230"/>
      <c r="L340" s="230"/>
      <c r="M340" s="230"/>
      <c r="N340" s="230"/>
    </row>
    <row r="341" spans="1:14">
      <c r="A341" s="230"/>
      <c r="B341" s="230"/>
      <c r="C341" s="230"/>
      <c r="D341" s="230"/>
      <c r="E341" s="230"/>
      <c r="F341" s="230"/>
      <c r="G341" s="230"/>
      <c r="H341" s="230"/>
      <c r="I341" s="230"/>
      <c r="J341" s="230"/>
      <c r="K341" s="230"/>
      <c r="L341" s="230"/>
      <c r="M341" s="230"/>
      <c r="N341" s="230"/>
    </row>
    <row r="342" spans="1:14">
      <c r="A342" s="230"/>
      <c r="B342" s="230"/>
      <c r="C342" s="230"/>
      <c r="D342" s="230"/>
      <c r="E342" s="230"/>
      <c r="F342" s="230"/>
      <c r="G342" s="230"/>
      <c r="H342" s="230"/>
      <c r="I342" s="230"/>
      <c r="J342" s="230"/>
      <c r="K342" s="230"/>
      <c r="L342" s="230"/>
      <c r="M342" s="230"/>
      <c r="N342" s="230"/>
    </row>
    <row r="343" spans="1:14">
      <c r="A343" s="230"/>
      <c r="B343" s="230"/>
      <c r="C343" s="230"/>
      <c r="D343" s="230"/>
      <c r="E343" s="230"/>
      <c r="F343" s="230"/>
      <c r="G343" s="230"/>
      <c r="H343" s="230"/>
      <c r="I343" s="230"/>
      <c r="J343" s="230"/>
      <c r="K343" s="230"/>
      <c r="L343" s="230"/>
      <c r="M343" s="230"/>
      <c r="N343" s="230"/>
    </row>
    <row r="344" spans="1:14">
      <c r="A344" s="230"/>
      <c r="B344" s="230"/>
      <c r="C344" s="230"/>
      <c r="D344" s="230"/>
      <c r="E344" s="230"/>
      <c r="F344" s="230"/>
      <c r="G344" s="230"/>
      <c r="H344" s="230"/>
      <c r="I344" s="230"/>
      <c r="J344" s="230"/>
      <c r="K344" s="230"/>
      <c r="L344" s="230"/>
      <c r="M344" s="230"/>
      <c r="N344" s="230"/>
    </row>
    <row r="345" spans="1:14">
      <c r="A345" s="230"/>
      <c r="B345" s="230"/>
      <c r="C345" s="230"/>
      <c r="D345" s="230"/>
      <c r="E345" s="230"/>
      <c r="F345" s="230"/>
      <c r="G345" s="230"/>
      <c r="H345" s="230"/>
      <c r="I345" s="230"/>
      <c r="J345" s="230"/>
      <c r="K345" s="230"/>
      <c r="L345" s="230"/>
      <c r="M345" s="230"/>
      <c r="N345" s="230"/>
    </row>
    <row r="346" spans="1:14">
      <c r="A346" s="230"/>
      <c r="B346" s="230"/>
      <c r="C346" s="230"/>
      <c r="D346" s="230"/>
      <c r="E346" s="230"/>
      <c r="F346" s="230"/>
      <c r="G346" s="230"/>
      <c r="H346" s="230"/>
      <c r="I346" s="230"/>
      <c r="J346" s="230"/>
      <c r="K346" s="230"/>
      <c r="L346" s="230"/>
      <c r="M346" s="230"/>
      <c r="N346" s="230"/>
    </row>
    <row r="347" spans="1:14">
      <c r="A347" s="230"/>
      <c r="B347" s="230"/>
      <c r="C347" s="230"/>
      <c r="D347" s="230"/>
      <c r="E347" s="230"/>
      <c r="F347" s="230"/>
      <c r="G347" s="230"/>
      <c r="H347" s="230"/>
      <c r="I347" s="230"/>
      <c r="J347" s="230"/>
      <c r="K347" s="230"/>
      <c r="L347" s="230"/>
      <c r="M347" s="230"/>
      <c r="N347" s="230"/>
    </row>
    <row r="348" spans="1:14">
      <c r="A348" s="230"/>
      <c r="B348" s="230"/>
      <c r="C348" s="230"/>
      <c r="D348" s="230"/>
      <c r="E348" s="230"/>
      <c r="F348" s="230"/>
      <c r="G348" s="230"/>
      <c r="H348" s="230"/>
      <c r="I348" s="230"/>
      <c r="J348" s="230"/>
      <c r="K348" s="230"/>
      <c r="L348" s="230"/>
      <c r="M348" s="230"/>
      <c r="N348" s="230"/>
    </row>
    <row r="349" spans="1:14">
      <c r="A349" s="230"/>
      <c r="B349" s="230"/>
      <c r="C349" s="230"/>
      <c r="D349" s="230"/>
      <c r="E349" s="230"/>
      <c r="F349" s="230"/>
      <c r="G349" s="230"/>
      <c r="H349" s="230"/>
      <c r="I349" s="230"/>
      <c r="J349" s="230"/>
      <c r="K349" s="230"/>
      <c r="L349" s="230"/>
      <c r="M349" s="230"/>
      <c r="N349" s="230"/>
    </row>
    <row r="350" spans="1:14">
      <c r="A350" s="230"/>
      <c r="B350" s="230"/>
      <c r="C350" s="230"/>
      <c r="D350" s="230"/>
      <c r="E350" s="230"/>
      <c r="F350" s="230"/>
      <c r="G350" s="230"/>
      <c r="H350" s="230"/>
      <c r="I350" s="230"/>
      <c r="J350" s="230"/>
      <c r="K350" s="230"/>
      <c r="L350" s="230"/>
      <c r="M350" s="230"/>
      <c r="N350" s="230"/>
    </row>
    <row r="351" spans="1:14">
      <c r="A351" s="230"/>
      <c r="B351" s="230"/>
      <c r="C351" s="230"/>
      <c r="D351" s="230"/>
      <c r="E351" s="230"/>
      <c r="F351" s="230"/>
      <c r="G351" s="230"/>
      <c r="H351" s="230"/>
      <c r="I351" s="230"/>
      <c r="J351" s="230"/>
      <c r="K351" s="230"/>
      <c r="L351" s="230"/>
      <c r="M351" s="230"/>
      <c r="N351" s="230"/>
    </row>
    <row r="352" spans="1:14">
      <c r="A352" s="230"/>
      <c r="B352" s="230"/>
      <c r="C352" s="230"/>
      <c r="D352" s="230"/>
      <c r="E352" s="230"/>
      <c r="F352" s="230"/>
      <c r="G352" s="230"/>
      <c r="H352" s="230"/>
      <c r="I352" s="230"/>
      <c r="J352" s="230"/>
      <c r="K352" s="230"/>
      <c r="L352" s="230"/>
      <c r="M352" s="230"/>
      <c r="N352" s="230"/>
    </row>
    <row r="353" spans="1:14">
      <c r="A353" s="230"/>
      <c r="B353" s="230"/>
      <c r="C353" s="230"/>
      <c r="D353" s="230"/>
      <c r="E353" s="230"/>
      <c r="F353" s="230"/>
      <c r="G353" s="230"/>
      <c r="H353" s="230"/>
      <c r="I353" s="230"/>
      <c r="J353" s="230"/>
      <c r="K353" s="230"/>
      <c r="L353" s="230"/>
      <c r="M353" s="230"/>
      <c r="N353" s="230"/>
    </row>
    <row r="354" spans="1:14">
      <c r="A354" s="230"/>
      <c r="B354" s="230"/>
      <c r="C354" s="230"/>
      <c r="D354" s="230"/>
      <c r="E354" s="230"/>
      <c r="F354" s="230"/>
      <c r="G354" s="230"/>
      <c r="H354" s="230"/>
      <c r="I354" s="230"/>
      <c r="J354" s="230"/>
      <c r="K354" s="230"/>
      <c r="L354" s="230"/>
      <c r="M354" s="230"/>
      <c r="N354" s="230"/>
    </row>
    <row r="355" spans="1:14">
      <c r="A355" s="230"/>
      <c r="B355" s="230"/>
      <c r="C355" s="230"/>
      <c r="D355" s="230"/>
      <c r="E355" s="230"/>
      <c r="F355" s="230"/>
      <c r="G355" s="230"/>
      <c r="H355" s="230"/>
      <c r="I355" s="230"/>
      <c r="J355" s="230"/>
      <c r="K355" s="230"/>
      <c r="L355" s="230"/>
      <c r="M355" s="230"/>
      <c r="N355" s="230"/>
    </row>
    <row r="356" spans="1:14">
      <c r="A356" s="230"/>
      <c r="B356" s="230"/>
      <c r="C356" s="230"/>
      <c r="D356" s="230"/>
      <c r="E356" s="230"/>
      <c r="F356" s="230"/>
      <c r="G356" s="230"/>
      <c r="H356" s="230"/>
      <c r="I356" s="230"/>
      <c r="J356" s="230"/>
      <c r="K356" s="230"/>
      <c r="L356" s="230"/>
      <c r="M356" s="230"/>
      <c r="N356" s="230"/>
    </row>
    <row r="357" spans="1:14">
      <c r="A357" s="230"/>
      <c r="B357" s="230"/>
      <c r="C357" s="230"/>
      <c r="D357" s="230"/>
      <c r="E357" s="230"/>
      <c r="F357" s="230"/>
      <c r="G357" s="230"/>
      <c r="H357" s="230"/>
      <c r="I357" s="230"/>
      <c r="J357" s="230"/>
      <c r="K357" s="230"/>
      <c r="L357" s="230"/>
      <c r="M357" s="230"/>
      <c r="N357" s="230"/>
    </row>
    <row r="358" spans="1:14">
      <c r="A358" s="230"/>
      <c r="B358" s="230"/>
      <c r="C358" s="230"/>
      <c r="D358" s="230"/>
      <c r="E358" s="230"/>
      <c r="F358" s="230"/>
      <c r="G358" s="230"/>
      <c r="H358" s="230"/>
      <c r="I358" s="230"/>
      <c r="J358" s="230"/>
      <c r="K358" s="230"/>
      <c r="L358" s="230"/>
      <c r="M358" s="230"/>
      <c r="N358" s="230"/>
    </row>
    <row r="359" spans="1:14">
      <c r="A359" s="230"/>
      <c r="B359" s="230"/>
      <c r="C359" s="230"/>
      <c r="D359" s="230"/>
      <c r="E359" s="230"/>
      <c r="F359" s="230"/>
      <c r="G359" s="230"/>
      <c r="H359" s="230"/>
      <c r="I359" s="230"/>
      <c r="J359" s="230"/>
      <c r="K359" s="230"/>
      <c r="L359" s="230"/>
      <c r="M359" s="230"/>
      <c r="N359" s="230"/>
    </row>
    <row r="360" spans="1:14">
      <c r="A360" s="230"/>
      <c r="B360" s="230"/>
      <c r="C360" s="230"/>
      <c r="D360" s="230"/>
      <c r="E360" s="230"/>
      <c r="F360" s="230"/>
      <c r="G360" s="230"/>
      <c r="H360" s="230"/>
      <c r="I360" s="230"/>
      <c r="J360" s="230"/>
      <c r="K360" s="230"/>
      <c r="L360" s="230"/>
      <c r="M360" s="230"/>
      <c r="N360" s="230"/>
    </row>
    <row r="361" spans="1:14">
      <c r="A361" s="230"/>
      <c r="B361" s="230"/>
      <c r="C361" s="230"/>
      <c r="D361" s="230"/>
      <c r="E361" s="230"/>
      <c r="F361" s="230"/>
      <c r="G361" s="230"/>
      <c r="H361" s="230"/>
      <c r="I361" s="230"/>
      <c r="J361" s="230"/>
      <c r="K361" s="230"/>
      <c r="L361" s="230"/>
      <c r="M361" s="230"/>
      <c r="N361" s="230"/>
    </row>
    <row r="362" spans="1:14">
      <c r="A362" s="230"/>
      <c r="B362" s="230"/>
      <c r="C362" s="230"/>
      <c r="D362" s="230"/>
      <c r="E362" s="230"/>
      <c r="F362" s="230"/>
      <c r="G362" s="230"/>
      <c r="H362" s="230"/>
      <c r="I362" s="230"/>
      <c r="J362" s="230"/>
      <c r="K362" s="230"/>
      <c r="L362" s="230"/>
      <c r="M362" s="230"/>
      <c r="N362" s="230"/>
    </row>
    <row r="363" spans="1:14">
      <c r="A363" s="230"/>
      <c r="B363" s="230"/>
      <c r="C363" s="230"/>
      <c r="D363" s="230"/>
      <c r="E363" s="230"/>
      <c r="F363" s="230"/>
      <c r="G363" s="230"/>
      <c r="H363" s="230"/>
      <c r="I363" s="230"/>
      <c r="J363" s="230"/>
      <c r="K363" s="230"/>
      <c r="L363" s="230"/>
      <c r="M363" s="230"/>
      <c r="N363" s="230"/>
    </row>
    <row r="364" spans="1:14">
      <c r="A364" s="230"/>
      <c r="B364" s="230"/>
      <c r="C364" s="230"/>
      <c r="D364" s="230"/>
      <c r="E364" s="230"/>
      <c r="F364" s="230"/>
      <c r="G364" s="230"/>
      <c r="H364" s="230"/>
      <c r="I364" s="230"/>
      <c r="J364" s="230"/>
      <c r="K364" s="230"/>
      <c r="L364" s="230"/>
      <c r="M364" s="230"/>
      <c r="N364" s="230"/>
    </row>
    <row r="365" spans="1:14">
      <c r="A365" s="230"/>
      <c r="B365" s="230"/>
      <c r="C365" s="230"/>
      <c r="D365" s="230"/>
      <c r="E365" s="230"/>
      <c r="F365" s="230"/>
      <c r="G365" s="230"/>
      <c r="H365" s="230"/>
      <c r="I365" s="230"/>
      <c r="J365" s="230"/>
      <c r="K365" s="230"/>
      <c r="L365" s="230"/>
      <c r="M365" s="230"/>
      <c r="N365" s="230"/>
    </row>
    <row r="366" spans="1:14">
      <c r="A366" s="230"/>
      <c r="B366" s="230"/>
      <c r="C366" s="230"/>
      <c r="D366" s="230"/>
      <c r="E366" s="230"/>
      <c r="F366" s="230"/>
      <c r="G366" s="230"/>
      <c r="H366" s="230"/>
      <c r="I366" s="230"/>
      <c r="J366" s="230"/>
      <c r="K366" s="230"/>
      <c r="L366" s="230"/>
      <c r="M366" s="230"/>
      <c r="N366" s="230"/>
    </row>
    <row r="367" spans="1:14">
      <c r="A367" s="230"/>
      <c r="B367" s="230"/>
      <c r="C367" s="230"/>
      <c r="D367" s="230"/>
      <c r="E367" s="230"/>
      <c r="F367" s="230"/>
      <c r="G367" s="230"/>
      <c r="H367" s="230"/>
      <c r="I367" s="230"/>
      <c r="J367" s="230"/>
      <c r="K367" s="230"/>
      <c r="L367" s="230"/>
      <c r="M367" s="230"/>
      <c r="N367" s="230"/>
    </row>
    <row r="368" spans="1:14">
      <c r="A368" s="230"/>
      <c r="B368" s="230"/>
      <c r="C368" s="230"/>
      <c r="D368" s="230"/>
      <c r="E368" s="230"/>
      <c r="F368" s="230"/>
      <c r="G368" s="230"/>
      <c r="H368" s="230"/>
      <c r="I368" s="230"/>
      <c r="J368" s="230"/>
      <c r="K368" s="230"/>
      <c r="L368" s="230"/>
      <c r="M368" s="230"/>
      <c r="N368" s="230"/>
    </row>
    <row r="369" spans="1:14">
      <c r="A369" s="230"/>
      <c r="B369" s="230"/>
      <c r="C369" s="230"/>
      <c r="D369" s="230"/>
      <c r="E369" s="230"/>
      <c r="F369" s="230"/>
      <c r="G369" s="230"/>
      <c r="H369" s="230"/>
      <c r="I369" s="230"/>
      <c r="J369" s="230"/>
      <c r="K369" s="230"/>
      <c r="L369" s="230"/>
      <c r="M369" s="230"/>
      <c r="N369" s="230"/>
    </row>
    <row r="370" spans="1:14">
      <c r="A370" s="230"/>
      <c r="B370" s="230"/>
      <c r="C370" s="230"/>
      <c r="D370" s="230"/>
      <c r="E370" s="230"/>
      <c r="F370" s="230"/>
      <c r="G370" s="230"/>
      <c r="H370" s="230"/>
      <c r="I370" s="230"/>
      <c r="J370" s="230"/>
      <c r="K370" s="230"/>
      <c r="L370" s="230"/>
      <c r="M370" s="230"/>
      <c r="N370" s="230"/>
    </row>
    <row r="371" spans="1:14">
      <c r="A371" s="230"/>
      <c r="B371" s="230"/>
      <c r="C371" s="230"/>
      <c r="D371" s="230"/>
      <c r="E371" s="230"/>
      <c r="F371" s="230"/>
      <c r="G371" s="230"/>
      <c r="H371" s="230"/>
      <c r="I371" s="230"/>
      <c r="J371" s="230"/>
      <c r="K371" s="230"/>
      <c r="L371" s="230"/>
      <c r="M371" s="230"/>
      <c r="N371" s="230"/>
    </row>
    <row r="372" spans="1:14">
      <c r="A372" s="230"/>
      <c r="B372" s="230"/>
      <c r="C372" s="230"/>
      <c r="D372" s="230"/>
      <c r="E372" s="230"/>
      <c r="F372" s="230"/>
      <c r="G372" s="230"/>
      <c r="H372" s="230"/>
      <c r="I372" s="230"/>
      <c r="J372" s="230"/>
      <c r="K372" s="230"/>
      <c r="L372" s="230"/>
      <c r="M372" s="230"/>
      <c r="N372" s="230"/>
    </row>
    <row r="373" spans="1:14">
      <c r="A373" s="230"/>
      <c r="B373" s="230"/>
      <c r="C373" s="230"/>
      <c r="D373" s="230"/>
      <c r="E373" s="230"/>
      <c r="F373" s="230"/>
      <c r="G373" s="230"/>
      <c r="H373" s="230"/>
      <c r="I373" s="230"/>
      <c r="J373" s="230"/>
      <c r="K373" s="230"/>
      <c r="L373" s="230"/>
      <c r="M373" s="230"/>
      <c r="N373" s="230"/>
    </row>
    <row r="374" spans="1:14">
      <c r="A374" s="230"/>
      <c r="B374" s="230"/>
      <c r="C374" s="230"/>
      <c r="D374" s="230"/>
      <c r="E374" s="230"/>
      <c r="F374" s="230"/>
      <c r="G374" s="230"/>
      <c r="H374" s="230"/>
      <c r="I374" s="230"/>
      <c r="J374" s="230"/>
      <c r="K374" s="230"/>
      <c r="L374" s="230"/>
      <c r="M374" s="230"/>
      <c r="N374" s="230"/>
    </row>
    <row r="375" spans="1:14">
      <c r="A375" s="230"/>
      <c r="B375" s="230"/>
      <c r="C375" s="230"/>
      <c r="D375" s="230"/>
      <c r="E375" s="230"/>
      <c r="F375" s="230"/>
      <c r="G375" s="230"/>
      <c r="H375" s="230"/>
      <c r="I375" s="230"/>
      <c r="J375" s="230"/>
      <c r="K375" s="230"/>
      <c r="L375" s="230"/>
      <c r="M375" s="230"/>
      <c r="N375" s="230"/>
    </row>
    <row r="376" spans="1:14">
      <c r="A376" s="230"/>
      <c r="B376" s="230"/>
      <c r="C376" s="230"/>
      <c r="D376" s="230"/>
      <c r="E376" s="230"/>
      <c r="F376" s="230"/>
      <c r="G376" s="230"/>
      <c r="H376" s="230"/>
      <c r="I376" s="230"/>
      <c r="J376" s="230"/>
      <c r="K376" s="230"/>
      <c r="L376" s="230"/>
      <c r="M376" s="230"/>
      <c r="N376" s="230"/>
    </row>
    <row r="377" spans="1:14">
      <c r="A377" s="230"/>
      <c r="B377" s="230"/>
      <c r="C377" s="230"/>
      <c r="D377" s="230"/>
      <c r="E377" s="230"/>
      <c r="F377" s="230"/>
      <c r="G377" s="230"/>
      <c r="H377" s="230"/>
      <c r="I377" s="230"/>
      <c r="J377" s="230"/>
      <c r="K377" s="230"/>
      <c r="L377" s="230"/>
      <c r="M377" s="230"/>
      <c r="N377" s="230"/>
    </row>
    <row r="378" spans="1:14">
      <c r="A378" s="230"/>
      <c r="B378" s="230"/>
      <c r="C378" s="230"/>
      <c r="D378" s="230"/>
      <c r="E378" s="230"/>
      <c r="F378" s="230"/>
      <c r="G378" s="230"/>
      <c r="H378" s="230"/>
      <c r="I378" s="230"/>
      <c r="J378" s="230"/>
      <c r="K378" s="230"/>
      <c r="L378" s="230"/>
      <c r="M378" s="230"/>
      <c r="N378" s="230"/>
    </row>
    <row r="379" spans="1:14">
      <c r="A379" s="230"/>
      <c r="B379" s="230"/>
      <c r="C379" s="230"/>
      <c r="D379" s="230"/>
      <c r="E379" s="230"/>
      <c r="F379" s="230"/>
      <c r="G379" s="230"/>
      <c r="H379" s="230"/>
      <c r="I379" s="230"/>
      <c r="J379" s="230"/>
      <c r="K379" s="230"/>
      <c r="L379" s="230"/>
      <c r="M379" s="230"/>
      <c r="N379" s="230"/>
    </row>
    <row r="380" spans="1:14">
      <c r="A380" s="230"/>
      <c r="B380" s="230"/>
      <c r="C380" s="230"/>
      <c r="D380" s="230"/>
      <c r="E380" s="230"/>
      <c r="F380" s="230"/>
      <c r="G380" s="230"/>
      <c r="H380" s="230"/>
      <c r="I380" s="230"/>
      <c r="J380" s="230"/>
      <c r="K380" s="230"/>
      <c r="L380" s="230"/>
      <c r="M380" s="230"/>
      <c r="N380" s="230"/>
    </row>
    <row r="381" spans="1:14">
      <c r="A381" s="230"/>
      <c r="B381" s="230"/>
      <c r="C381" s="230"/>
      <c r="D381" s="230"/>
      <c r="E381" s="230"/>
      <c r="F381" s="230"/>
      <c r="G381" s="230"/>
      <c r="H381" s="230"/>
      <c r="I381" s="230"/>
      <c r="J381" s="230"/>
      <c r="K381" s="230"/>
      <c r="L381" s="230"/>
      <c r="M381" s="230"/>
      <c r="N381" s="230"/>
    </row>
    <row r="382" spans="1:14">
      <c r="A382" s="230"/>
      <c r="B382" s="230"/>
      <c r="C382" s="230"/>
      <c r="D382" s="230"/>
      <c r="E382" s="230"/>
      <c r="F382" s="230"/>
      <c r="G382" s="230"/>
      <c r="H382" s="230"/>
      <c r="I382" s="230"/>
      <c r="J382" s="230"/>
      <c r="K382" s="230"/>
      <c r="L382" s="230"/>
      <c r="M382" s="230"/>
      <c r="N382" s="230"/>
    </row>
    <row r="383" spans="1:14">
      <c r="A383" s="230"/>
      <c r="B383" s="230"/>
      <c r="C383" s="230"/>
      <c r="D383" s="230"/>
      <c r="E383" s="230"/>
      <c r="F383" s="230"/>
      <c r="G383" s="230"/>
      <c r="H383" s="230"/>
      <c r="I383" s="230"/>
      <c r="J383" s="230"/>
      <c r="K383" s="230"/>
      <c r="L383" s="230"/>
      <c r="M383" s="230"/>
      <c r="N383" s="230"/>
    </row>
    <row r="384" spans="1:14">
      <c r="A384" s="230"/>
      <c r="B384" s="230"/>
      <c r="C384" s="230"/>
      <c r="D384" s="230"/>
      <c r="E384" s="230"/>
      <c r="F384" s="230"/>
      <c r="G384" s="230"/>
      <c r="H384" s="230"/>
      <c r="I384" s="230"/>
      <c r="J384" s="230"/>
      <c r="K384" s="230"/>
      <c r="L384" s="230"/>
      <c r="M384" s="230"/>
      <c r="N384" s="230"/>
    </row>
    <row r="385" spans="1:14">
      <c r="A385" s="230"/>
      <c r="B385" s="230"/>
      <c r="C385" s="230"/>
      <c r="D385" s="230"/>
      <c r="E385" s="230"/>
      <c r="F385" s="230"/>
      <c r="G385" s="230"/>
      <c r="H385" s="230"/>
      <c r="I385" s="230"/>
      <c r="J385" s="230"/>
      <c r="K385" s="230"/>
      <c r="L385" s="230"/>
      <c r="M385" s="230"/>
      <c r="N385" s="230"/>
    </row>
    <row r="386" spans="1:14">
      <c r="A386" s="230"/>
      <c r="B386" s="230"/>
      <c r="C386" s="230"/>
      <c r="D386" s="230"/>
      <c r="E386" s="230"/>
      <c r="F386" s="230"/>
      <c r="G386" s="230"/>
      <c r="H386" s="230"/>
      <c r="I386" s="230"/>
      <c r="J386" s="230"/>
      <c r="K386" s="230"/>
      <c r="L386" s="230"/>
      <c r="M386" s="230"/>
      <c r="N386" s="230"/>
    </row>
    <row r="387" spans="1:14">
      <c r="A387" s="230"/>
      <c r="B387" s="230"/>
      <c r="C387" s="230"/>
      <c r="D387" s="230"/>
      <c r="E387" s="230"/>
      <c r="F387" s="230"/>
      <c r="G387" s="230"/>
      <c r="H387" s="230"/>
      <c r="I387" s="230"/>
      <c r="J387" s="230"/>
      <c r="K387" s="230"/>
      <c r="L387" s="230"/>
      <c r="M387" s="230"/>
      <c r="N387" s="230"/>
    </row>
    <row r="388" spans="1:14">
      <c r="A388" s="230"/>
      <c r="B388" s="230"/>
      <c r="C388" s="230"/>
      <c r="D388" s="230"/>
      <c r="E388" s="230"/>
      <c r="F388" s="230"/>
      <c r="G388" s="230"/>
      <c r="H388" s="230"/>
      <c r="I388" s="230"/>
      <c r="J388" s="230"/>
      <c r="K388" s="230"/>
      <c r="L388" s="230"/>
      <c r="M388" s="230"/>
      <c r="N388" s="230"/>
    </row>
    <row r="389" spans="1:14">
      <c r="A389" s="230"/>
      <c r="B389" s="230"/>
      <c r="C389" s="230"/>
      <c r="D389" s="230"/>
      <c r="E389" s="230"/>
      <c r="F389" s="230"/>
      <c r="G389" s="230"/>
      <c r="H389" s="230"/>
      <c r="I389" s="230"/>
      <c r="J389" s="230"/>
      <c r="K389" s="230"/>
      <c r="L389" s="230"/>
      <c r="M389" s="230"/>
      <c r="N389" s="230"/>
    </row>
    <row r="390" spans="1:14">
      <c r="A390" s="230"/>
      <c r="B390" s="230"/>
      <c r="C390" s="230"/>
      <c r="D390" s="230"/>
      <c r="E390" s="230"/>
      <c r="F390" s="230"/>
      <c r="G390" s="230"/>
      <c r="H390" s="230"/>
      <c r="I390" s="230"/>
      <c r="J390" s="230"/>
      <c r="K390" s="230"/>
      <c r="L390" s="230"/>
      <c r="M390" s="230"/>
      <c r="N390" s="230"/>
    </row>
    <row r="391" spans="1:14">
      <c r="A391" s="230"/>
      <c r="B391" s="230"/>
      <c r="C391" s="230"/>
      <c r="D391" s="230"/>
      <c r="E391" s="230"/>
      <c r="F391" s="230"/>
      <c r="G391" s="230"/>
      <c r="H391" s="230"/>
      <c r="I391" s="230"/>
      <c r="J391" s="230"/>
      <c r="K391" s="230"/>
      <c r="L391" s="230"/>
      <c r="M391" s="230"/>
      <c r="N391" s="230"/>
    </row>
    <row r="392" spans="1:14">
      <c r="A392" s="230"/>
      <c r="B392" s="230"/>
      <c r="C392" s="230"/>
      <c r="D392" s="230"/>
      <c r="E392" s="230"/>
      <c r="F392" s="230"/>
      <c r="G392" s="230"/>
      <c r="H392" s="230"/>
      <c r="I392" s="230"/>
      <c r="J392" s="230"/>
      <c r="K392" s="230"/>
      <c r="L392" s="230"/>
      <c r="M392" s="230"/>
      <c r="N392" s="230"/>
    </row>
    <row r="393" spans="1:14">
      <c r="A393" s="230"/>
      <c r="B393" s="230"/>
      <c r="C393" s="230"/>
      <c r="D393" s="230"/>
      <c r="E393" s="230"/>
      <c r="F393" s="230"/>
      <c r="G393" s="230"/>
      <c r="H393" s="230"/>
      <c r="I393" s="230"/>
      <c r="J393" s="230"/>
      <c r="K393" s="230"/>
      <c r="L393" s="230"/>
      <c r="M393" s="230"/>
      <c r="N393" s="230"/>
    </row>
    <row r="394" spans="1:14">
      <c r="A394" s="230"/>
      <c r="B394" s="230"/>
      <c r="C394" s="230"/>
      <c r="D394" s="230"/>
      <c r="E394" s="230"/>
      <c r="F394" s="230"/>
      <c r="G394" s="230"/>
      <c r="H394" s="230"/>
      <c r="I394" s="230"/>
      <c r="J394" s="230"/>
      <c r="K394" s="230"/>
      <c r="L394" s="230"/>
      <c r="M394" s="230"/>
      <c r="N394" s="230"/>
    </row>
    <row r="395" spans="1:14">
      <c r="A395" s="230"/>
      <c r="B395" s="230"/>
      <c r="C395" s="230"/>
      <c r="D395" s="230"/>
      <c r="E395" s="230"/>
      <c r="F395" s="230"/>
      <c r="G395" s="230"/>
      <c r="H395" s="230"/>
      <c r="I395" s="230"/>
      <c r="J395" s="230"/>
      <c r="K395" s="230"/>
      <c r="L395" s="230"/>
      <c r="M395" s="230"/>
      <c r="N395" s="230"/>
    </row>
    <row r="396" spans="1:14">
      <c r="A396" s="230"/>
      <c r="B396" s="230"/>
      <c r="C396" s="230"/>
      <c r="D396" s="230"/>
      <c r="E396" s="230"/>
      <c r="F396" s="230"/>
      <c r="G396" s="230"/>
      <c r="H396" s="230"/>
      <c r="I396" s="230"/>
      <c r="J396" s="230"/>
      <c r="K396" s="230"/>
      <c r="L396" s="230"/>
      <c r="M396" s="230"/>
      <c r="N396" s="230"/>
    </row>
    <row r="397" spans="1:14">
      <c r="A397" s="230"/>
      <c r="B397" s="230"/>
      <c r="C397" s="230"/>
      <c r="D397" s="230"/>
      <c r="E397" s="230"/>
      <c r="F397" s="230"/>
      <c r="G397" s="230"/>
      <c r="H397" s="230"/>
      <c r="I397" s="230"/>
      <c r="J397" s="230"/>
      <c r="K397" s="230"/>
      <c r="L397" s="230"/>
      <c r="M397" s="230"/>
      <c r="N397" s="230"/>
    </row>
    <row r="398" spans="1:14">
      <c r="A398" s="230"/>
      <c r="B398" s="230"/>
      <c r="C398" s="230"/>
      <c r="D398" s="230"/>
      <c r="E398" s="230"/>
      <c r="F398" s="230"/>
      <c r="G398" s="230"/>
      <c r="H398" s="230"/>
      <c r="I398" s="230"/>
      <c r="J398" s="230"/>
      <c r="K398" s="230"/>
      <c r="L398" s="230"/>
      <c r="M398" s="230"/>
      <c r="N398" s="230"/>
    </row>
    <row r="399" spans="1:14">
      <c r="A399" s="230"/>
      <c r="B399" s="230"/>
      <c r="C399" s="230"/>
      <c r="D399" s="230"/>
      <c r="E399" s="230"/>
      <c r="F399" s="230"/>
      <c r="G399" s="230"/>
      <c r="H399" s="230"/>
      <c r="I399" s="230"/>
      <c r="J399" s="230"/>
      <c r="K399" s="230"/>
      <c r="L399" s="230"/>
      <c r="M399" s="230"/>
      <c r="N399" s="230"/>
    </row>
    <row r="400" spans="1:14">
      <c r="A400" s="230"/>
      <c r="B400" s="230"/>
      <c r="C400" s="230"/>
      <c r="D400" s="230"/>
      <c r="E400" s="230"/>
      <c r="F400" s="230"/>
      <c r="G400" s="230"/>
      <c r="H400" s="230"/>
      <c r="I400" s="230"/>
      <c r="J400" s="230"/>
      <c r="K400" s="230"/>
      <c r="L400" s="230"/>
      <c r="M400" s="230"/>
      <c r="N400" s="230"/>
    </row>
    <row r="401" spans="1:14">
      <c r="A401" s="230"/>
      <c r="B401" s="230"/>
      <c r="C401" s="230"/>
      <c r="D401" s="230"/>
      <c r="E401" s="230"/>
      <c r="F401" s="230"/>
      <c r="G401" s="230"/>
      <c r="H401" s="230"/>
      <c r="I401" s="230"/>
      <c r="J401" s="230"/>
      <c r="K401" s="230"/>
      <c r="L401" s="230"/>
      <c r="M401" s="230"/>
      <c r="N401" s="230"/>
    </row>
    <row r="402" spans="1:14">
      <c r="A402" s="230"/>
      <c r="B402" s="230"/>
      <c r="C402" s="230"/>
      <c r="D402" s="230"/>
      <c r="E402" s="230"/>
      <c r="F402" s="230"/>
      <c r="G402" s="230"/>
      <c r="H402" s="230"/>
      <c r="I402" s="230"/>
      <c r="J402" s="230"/>
      <c r="K402" s="230"/>
      <c r="L402" s="230"/>
      <c r="M402" s="230"/>
      <c r="N402" s="230"/>
    </row>
    <row r="403" spans="1:14">
      <c r="A403" s="230"/>
      <c r="B403" s="230"/>
      <c r="C403" s="230"/>
      <c r="D403" s="230"/>
      <c r="E403" s="230"/>
      <c r="F403" s="230"/>
      <c r="G403" s="230"/>
      <c r="H403" s="230"/>
      <c r="I403" s="230"/>
      <c r="J403" s="230"/>
      <c r="K403" s="230"/>
      <c r="L403" s="230"/>
      <c r="M403" s="230"/>
      <c r="N403" s="230"/>
    </row>
    <row r="404" spans="1:14">
      <c r="A404" s="230"/>
      <c r="B404" s="230"/>
      <c r="C404" s="230"/>
      <c r="D404" s="230"/>
      <c r="E404" s="230"/>
      <c r="F404" s="230"/>
      <c r="G404" s="230"/>
      <c r="H404" s="230"/>
      <c r="I404" s="230"/>
      <c r="J404" s="230"/>
      <c r="K404" s="230"/>
      <c r="L404" s="230"/>
      <c r="M404" s="230"/>
      <c r="N404" s="230"/>
    </row>
    <row r="405" spans="1:14">
      <c r="A405" s="230"/>
      <c r="B405" s="230"/>
      <c r="C405" s="230"/>
      <c r="D405" s="230"/>
      <c r="E405" s="230"/>
      <c r="F405" s="230"/>
      <c r="G405" s="230"/>
      <c r="H405" s="230"/>
      <c r="I405" s="230"/>
      <c r="J405" s="230"/>
      <c r="K405" s="230"/>
      <c r="L405" s="230"/>
      <c r="M405" s="230"/>
      <c r="N405" s="230"/>
    </row>
    <row r="406" spans="1:14">
      <c r="A406" s="230"/>
      <c r="B406" s="230"/>
      <c r="C406" s="230"/>
      <c r="D406" s="230"/>
      <c r="E406" s="230"/>
      <c r="F406" s="230"/>
      <c r="G406" s="230"/>
      <c r="H406" s="230"/>
      <c r="I406" s="230"/>
      <c r="J406" s="230"/>
      <c r="K406" s="230"/>
      <c r="L406" s="230"/>
      <c r="M406" s="230"/>
      <c r="N406" s="230"/>
    </row>
    <row r="407" spans="1:14">
      <c r="A407" s="230"/>
      <c r="B407" s="230"/>
      <c r="C407" s="230"/>
      <c r="D407" s="230"/>
      <c r="E407" s="230"/>
      <c r="F407" s="230"/>
      <c r="G407" s="230"/>
      <c r="H407" s="230"/>
      <c r="I407" s="230"/>
      <c r="J407" s="230"/>
      <c r="K407" s="230"/>
      <c r="L407" s="230"/>
      <c r="M407" s="230"/>
      <c r="N407" s="230"/>
    </row>
    <row r="408" spans="1:14">
      <c r="A408" s="230"/>
      <c r="B408" s="230"/>
      <c r="C408" s="230"/>
      <c r="D408" s="230"/>
      <c r="E408" s="230"/>
      <c r="F408" s="230"/>
      <c r="G408" s="230"/>
      <c r="H408" s="230"/>
      <c r="I408" s="230"/>
      <c r="J408" s="230"/>
      <c r="K408" s="230"/>
      <c r="L408" s="230"/>
      <c r="M408" s="230"/>
      <c r="N408" s="230"/>
    </row>
    <row r="409" spans="1:14">
      <c r="A409" s="230"/>
      <c r="B409" s="230"/>
      <c r="C409" s="230"/>
      <c r="D409" s="230"/>
      <c r="E409" s="230"/>
      <c r="F409" s="230"/>
      <c r="G409" s="230"/>
      <c r="H409" s="230"/>
      <c r="I409" s="230"/>
      <c r="J409" s="230"/>
      <c r="K409" s="230"/>
      <c r="L409" s="230"/>
      <c r="M409" s="230"/>
      <c r="N409" s="230"/>
    </row>
    <row r="410" spans="1:14">
      <c r="A410" s="230"/>
      <c r="B410" s="230"/>
      <c r="C410" s="230"/>
      <c r="D410" s="230"/>
      <c r="E410" s="230"/>
      <c r="F410" s="230"/>
      <c r="G410" s="230"/>
      <c r="H410" s="230"/>
      <c r="I410" s="230"/>
      <c r="J410" s="230"/>
      <c r="K410" s="230"/>
      <c r="L410" s="230"/>
      <c r="M410" s="230"/>
      <c r="N410" s="230"/>
    </row>
    <row r="411" spans="1:14">
      <c r="A411" s="230"/>
      <c r="B411" s="230"/>
      <c r="C411" s="230"/>
      <c r="D411" s="230"/>
      <c r="E411" s="230"/>
      <c r="F411" s="230"/>
      <c r="G411" s="230"/>
      <c r="H411" s="230"/>
      <c r="I411" s="230"/>
      <c r="J411" s="230"/>
      <c r="K411" s="230"/>
      <c r="L411" s="230"/>
      <c r="M411" s="230"/>
      <c r="N411" s="230"/>
    </row>
    <row r="412" spans="1:14">
      <c r="A412" s="230"/>
      <c r="B412" s="230"/>
      <c r="C412" s="230"/>
      <c r="D412" s="230"/>
      <c r="E412" s="230"/>
      <c r="F412" s="230"/>
      <c r="G412" s="230"/>
      <c r="H412" s="230"/>
      <c r="I412" s="230"/>
      <c r="J412" s="230"/>
      <c r="K412" s="230"/>
      <c r="L412" s="230"/>
      <c r="M412" s="230"/>
      <c r="N412" s="230"/>
    </row>
    <row r="413" spans="1:14">
      <c r="A413" s="230"/>
      <c r="B413" s="230"/>
      <c r="C413" s="230"/>
      <c r="D413" s="230"/>
      <c r="E413" s="230"/>
      <c r="F413" s="230"/>
      <c r="G413" s="230"/>
      <c r="H413" s="230"/>
      <c r="I413" s="230"/>
      <c r="J413" s="230"/>
      <c r="K413" s="230"/>
      <c r="L413" s="230"/>
      <c r="M413" s="230"/>
      <c r="N413" s="230"/>
    </row>
    <row r="414" spans="1:14">
      <c r="A414" s="230"/>
      <c r="B414" s="230"/>
      <c r="C414" s="230"/>
      <c r="D414" s="230"/>
      <c r="E414" s="230"/>
      <c r="F414" s="230"/>
      <c r="G414" s="230"/>
      <c r="H414" s="230"/>
      <c r="I414" s="230"/>
      <c r="J414" s="230"/>
      <c r="K414" s="230"/>
      <c r="L414" s="230"/>
      <c r="M414" s="230"/>
      <c r="N414" s="230"/>
    </row>
    <row r="415" spans="1:14">
      <c r="A415" s="230"/>
      <c r="B415" s="230"/>
      <c r="C415" s="230"/>
      <c r="D415" s="230"/>
      <c r="E415" s="230"/>
      <c r="F415" s="230"/>
      <c r="G415" s="230"/>
      <c r="H415" s="230"/>
      <c r="I415" s="230"/>
      <c r="J415" s="230"/>
      <c r="K415" s="230"/>
      <c r="L415" s="230"/>
      <c r="M415" s="230"/>
      <c r="N415" s="230"/>
    </row>
  </sheetData>
  <customSheetViews>
    <customSheetView guid="{1BA452AD-1A45-4D9C-9666-ADFFA6F2F567}" scale="60" colorId="22" showPageBreaks="1" printArea="1" view="pageBreakPreview" topLeftCell="C1">
      <selection activeCell="J77" sqref="J77"/>
      <colBreaks count="1" manualBreakCount="1">
        <brk id="5" max="1048575" man="1"/>
      </colBreaks>
      <pageMargins left="0.9" right="0.4" top="0.3" bottom="0.3" header="0" footer="0"/>
      <printOptions horizontalCentered="1" verticalCentered="1"/>
      <pageSetup scale="63" fitToHeight="2" orientation="portrait" r:id="rId1"/>
      <headerFooter alignWithMargins="0"/>
    </customSheetView>
    <customSheetView guid="{EEF7ABD6-0F96-4791-B749-C06F707E7673}" scale="60" colorId="22" showPageBreaks="1" printArea="1" view="pageBreakPreview" showRuler="0">
      <selection activeCell="E59" sqref="E59"/>
      <colBreaks count="1" manualBreakCount="1">
        <brk id="5" max="1048575" man="1"/>
      </colBreaks>
      <pageMargins left="0.9" right="0.4" top="0.3" bottom="0.3" header="0" footer="0"/>
      <printOptions horizontalCentered="1" verticalCentered="1"/>
      <pageSetup scale="63" fitToHeight="2" orientation="portrait" r:id="rId2"/>
      <headerFooter alignWithMargins="0"/>
    </customSheetView>
    <customSheetView guid="{A7D7DB3C-AFE6-468E-8C6B-9531F6711497}" scale="60" colorId="22" showPageBreaks="1" printArea="1" view="pageBreakPreview" showRuler="0" topLeftCell="D1">
      <selection activeCell="H42" sqref="H42"/>
      <colBreaks count="1" manualBreakCount="1">
        <brk id="5" max="1048575" man="1"/>
      </colBreaks>
      <pageMargins left="0.9" right="0.4" top="0.3" bottom="0.3" header="0" footer="0"/>
      <printOptions horizontalCentered="1" verticalCentered="1"/>
      <pageSetup scale="63" fitToHeight="2" orientation="portrait" r:id="rId3"/>
      <headerFooter alignWithMargins="0"/>
    </customSheetView>
    <customSheetView guid="{4436FEB5-BFEC-4348-9286-CB706802873E}" scale="60" colorId="22" showPageBreaks="1" printArea="1" view="pageBreakPreview" showRuler="0" topLeftCell="D1">
      <selection activeCell="H42" sqref="H42"/>
      <colBreaks count="1" manualBreakCount="1">
        <brk id="5" max="1048575" man="1"/>
      </colBreaks>
      <pageMargins left="0.9" right="0.4" top="0.3" bottom="0.3" header="0" footer="0"/>
      <printOptions horizontalCentered="1" verticalCentered="1"/>
      <pageSetup scale="63" fitToHeight="2" orientation="portrait" r:id="rId4"/>
      <headerFooter alignWithMargins="0"/>
    </customSheetView>
    <customSheetView guid="{044CF00C-469F-44B3-B2C4-9B4049CE70CB}" scale="60" colorId="22" showPageBreaks="1" fitToPage="1" printArea="1" view="pageBreakPreview" showRuler="0">
      <selection activeCell="A2" sqref="A2"/>
      <rowBreaks count="1" manualBreakCount="1">
        <brk id="62" max="16383" man="1"/>
      </rowBreaks>
      <colBreaks count="1" manualBreakCount="1">
        <brk id="5" max="1048575" man="1"/>
      </colBreaks>
      <pageMargins left="0.9" right="0.4" top="0.3" bottom="0.3" header="0" footer="0"/>
      <printOptions horizontalCentered="1" verticalCentered="1"/>
      <pageSetup scale="66" orientation="portrait" r:id="rId5"/>
      <headerFooter alignWithMargins="0"/>
    </customSheetView>
    <customSheetView guid="{4826FCC0-BDD6-4B2C-ACC6-ACE271DDF0E3}" scale="60" colorId="22" showPageBreaks="1" printArea="1" view="pageBreakPreview" showRuler="0">
      <selection activeCell="E59" sqref="E59"/>
      <colBreaks count="1" manualBreakCount="1">
        <brk id="5" max="1048575" man="1"/>
      </colBreaks>
      <pageMargins left="0.9" right="0.4" top="0.3" bottom="0.3" header="0" footer="0"/>
      <printOptions horizontalCentered="1" verticalCentered="1"/>
      <pageSetup scale="63" fitToHeight="2" orientation="portrait" r:id="rId6"/>
      <headerFooter alignWithMargins="0"/>
    </customSheetView>
    <customSheetView guid="{EF376D10-23D6-4FE2-AB5B-4460D52CC93F}" scale="60" colorId="22" showPageBreaks="1" printArea="1" view="pageBreakPreview" showRuler="0">
      <selection activeCell="E59" sqref="E59"/>
      <colBreaks count="1" manualBreakCount="1">
        <brk id="5" max="1048575" man="1"/>
      </colBreaks>
      <pageMargins left="0.9" right="0.4" top="0.3" bottom="0.3" header="0" footer="0"/>
      <printOptions horizontalCentered="1" verticalCentered="1"/>
      <pageSetup scale="63" fitToHeight="2" orientation="portrait" r:id="rId7"/>
      <headerFooter alignWithMargins="0"/>
    </customSheetView>
    <customSheetView guid="{1C046605-15CE-44F1-BFCD-2CA8588E7ACF}" scale="60" colorId="22" showPageBreaks="1" printArea="1" view="pageBreakPreview" showRuler="0" topLeftCell="A7">
      <selection activeCell="E42" sqref="E42"/>
      <colBreaks count="1" manualBreakCount="1">
        <brk id="5" max="1048575" man="1"/>
      </colBreaks>
      <pageMargins left="0.9" right="0.4" top="0.3" bottom="0.3" header="0" footer="0"/>
      <printOptions horizontalCentered="1" verticalCentered="1"/>
      <pageSetup scale="63" fitToHeight="2" orientation="portrait" r:id="rId8"/>
      <headerFooter alignWithMargins="0"/>
    </customSheetView>
    <customSheetView guid="{3911D713-188C-46A1-A299-F21DD3B7A146}" scale="60" colorId="22" showPageBreaks="1" printArea="1" view="pageBreakPreview" showRuler="0" topLeftCell="A7">
      <selection activeCell="E42" sqref="E42"/>
      <colBreaks count="1" manualBreakCount="1">
        <brk id="5" max="1048575" man="1"/>
      </colBreaks>
      <pageMargins left="0.9" right="0.4" top="0.3" bottom="0.3" header="0" footer="0"/>
      <printOptions horizontalCentered="1" verticalCentered="1"/>
      <pageSetup scale="63" fitToHeight="2" orientation="portrait" r:id="rId9"/>
      <headerFooter alignWithMargins="0"/>
    </customSheetView>
    <customSheetView guid="{78BB1E60-60BE-4F56-9763-075185EFEFAB}" scale="60" colorId="22" showPageBreaks="1" printArea="1" view="pageBreakPreview">
      <selection activeCell="A12" sqref="A12"/>
      <colBreaks count="1" manualBreakCount="1">
        <brk id="5" max="1048575" man="1"/>
      </colBreaks>
      <pageMargins left="0.9" right="0.4" top="0.3" bottom="0.3" header="0" footer="0"/>
      <printOptions horizontalCentered="1" verticalCentered="1"/>
      <pageSetup scale="63" fitToHeight="2" orientation="portrait" r:id="rId10"/>
      <headerFooter alignWithMargins="0"/>
    </customSheetView>
    <customSheetView guid="{9C30803E-1E2D-4850-B0A5-591CA6F246A1}" scale="60" colorId="22" showPageBreaks="1" printArea="1" view="pageBreakPreview">
      <selection activeCell="A12" sqref="A12"/>
      <colBreaks count="1" manualBreakCount="1">
        <brk id="5" max="1048575" man="1"/>
      </colBreaks>
      <pageMargins left="0.9" right="0.4" top="0.3" bottom="0.3" header="0" footer="0"/>
      <printOptions horizontalCentered="1" verticalCentered="1"/>
      <pageSetup scale="63" fitToHeight="2" orientation="portrait" r:id="rId11"/>
      <headerFooter alignWithMargins="0"/>
    </customSheetView>
    <customSheetView guid="{3B1006FF-A2CA-49E7-9B25-DAC8815279AF}" scale="60" colorId="22" showPageBreaks="1" printArea="1" view="pageBreakPreview">
      <selection activeCell="A12" sqref="A12"/>
      <colBreaks count="1" manualBreakCount="1">
        <brk id="5" max="1048575" man="1"/>
      </colBreaks>
      <pageMargins left="0.9" right="0.4" top="0.3" bottom="0.3" header="0" footer="0"/>
      <printOptions horizontalCentered="1" verticalCentered="1"/>
      <pageSetup scale="63" fitToHeight="2" orientation="portrait" r:id="rId12"/>
      <headerFooter alignWithMargins="0"/>
    </customSheetView>
    <customSheetView guid="{FB1A60C8-E1F9-4DF0-8E0E-1C965F86027F}" scale="60" colorId="22" showPageBreaks="1" printArea="1" view="pageBreakPreview">
      <selection activeCell="A12" sqref="A12"/>
      <colBreaks count="1" manualBreakCount="1">
        <brk id="5" max="1048575" man="1"/>
      </colBreaks>
      <pageMargins left="0.9" right="0.4" top="0.3" bottom="0.3" header="0" footer="0"/>
      <printOptions horizontalCentered="1" verticalCentered="1"/>
      <pageSetup scale="63" fitToHeight="2" orientation="portrait" r:id="rId13"/>
      <headerFooter alignWithMargins="0"/>
    </customSheetView>
    <customSheetView guid="{C5B6D812-CBE6-46AA-99F7-02494E9802B4}" scale="70" colorId="22" showPageBreaks="1" printArea="1" view="pageBreakPreview" topLeftCell="A5">
      <selection activeCell="B27" sqref="B27"/>
      <colBreaks count="1" manualBreakCount="1">
        <brk id="5" max="1048575" man="1"/>
      </colBreaks>
      <pageMargins left="0.9" right="0.4" top="0.3" bottom="0.3" header="0" footer="0"/>
      <printOptions horizontalCentered="1" verticalCentered="1"/>
      <pageSetup scale="63" fitToHeight="2" orientation="portrait" r:id="rId14"/>
      <headerFooter alignWithMargins="0"/>
    </customSheetView>
  </customSheetViews>
  <mergeCells count="4">
    <mergeCell ref="F13:H13"/>
    <mergeCell ref="F14:H14"/>
    <mergeCell ref="F15:H15"/>
    <mergeCell ref="F16:H16"/>
  </mergeCells>
  <phoneticPr fontId="0" type="noConversion"/>
  <printOptions horizontalCentered="1" verticalCentered="1"/>
  <pageMargins left="0.9" right="0.4" top="0.3" bottom="0.3" header="0" footer="0"/>
  <pageSetup scale="63" fitToHeight="2" orientation="portrait" r:id="rId15"/>
  <headerFooter alignWithMargins="0"/>
  <colBreaks count="1" manualBreakCount="1">
    <brk id="5" max="1048575" man="1"/>
  </colBreaks>
  <customProperties>
    <customPr name="_pios_id" r:id="rId16"/>
  </customProperties>
</worksheet>
</file>

<file path=xl/worksheets/sheet34.xml><?xml version="1.0" encoding="utf-8"?>
<worksheet xmlns="http://schemas.openxmlformats.org/spreadsheetml/2006/main" xmlns:r="http://schemas.openxmlformats.org/officeDocument/2006/relationships">
  <sheetPr transitionEvaluation="1" codeName="Sheet34" enableFormatConditionsCalculation="0"/>
  <dimension ref="A1:E121"/>
  <sheetViews>
    <sheetView defaultGridColor="0" colorId="22" zoomScale="75" zoomScaleNormal="75" zoomScaleSheetLayoutView="70" workbookViewId="0"/>
  </sheetViews>
  <sheetFormatPr defaultColWidth="9.77734375" defaultRowHeight="15"/>
  <cols>
    <col min="1" max="1" width="4.77734375" customWidth="1"/>
    <col min="2" max="2" width="30.77734375" customWidth="1"/>
    <col min="3" max="3" width="20.6640625" customWidth="1"/>
    <col min="4" max="4" width="25.6640625" customWidth="1"/>
    <col min="5" max="5" width="33.109375" customWidth="1"/>
    <col min="6" max="6" width="3.5546875" customWidth="1"/>
  </cols>
  <sheetData>
    <row r="1" spans="1:5" ht="15.75" thickBot="1">
      <c r="A1" s="186" t="str">
        <f>'Data sheet'!$A$63</f>
        <v>Annual Report of New York American Water Company, Inc. (f/k/a Long Island Water Corp)                                    Year Ended  December 31, 2013</v>
      </c>
      <c r="B1" s="230"/>
      <c r="C1" s="230"/>
      <c r="D1" s="1635"/>
      <c r="E1" s="1635"/>
    </row>
    <row r="2" spans="1:5">
      <c r="A2" s="142"/>
      <c r="B2" s="143"/>
      <c r="C2" s="143"/>
      <c r="D2" s="143"/>
      <c r="E2" s="144"/>
    </row>
    <row r="3" spans="1:5" ht="15.75">
      <c r="A3" s="130" t="s">
        <v>4370</v>
      </c>
      <c r="B3" s="128"/>
      <c r="C3" s="128"/>
      <c r="D3" s="128"/>
      <c r="E3" s="145"/>
    </row>
    <row r="4" spans="1:5" ht="15.75">
      <c r="A4" s="130" t="s">
        <v>2157</v>
      </c>
      <c r="B4" s="128"/>
      <c r="C4" s="128"/>
      <c r="D4" s="128"/>
      <c r="E4" s="145"/>
    </row>
    <row r="5" spans="1:5">
      <c r="A5" s="610" t="s">
        <v>2158</v>
      </c>
      <c r="B5" s="128"/>
      <c r="C5" s="128"/>
      <c r="D5" s="128"/>
      <c r="E5" s="145"/>
    </row>
    <row r="6" spans="1:5">
      <c r="A6" s="663"/>
      <c r="B6" s="146"/>
      <c r="C6" s="146"/>
      <c r="D6" s="146"/>
      <c r="E6" s="603"/>
    </row>
    <row r="7" spans="1:5">
      <c r="A7" s="940" t="s">
        <v>2159</v>
      </c>
      <c r="B7" s="101"/>
      <c r="C7" s="101"/>
      <c r="D7" s="941" t="s">
        <v>2160</v>
      </c>
      <c r="E7" s="104"/>
    </row>
    <row r="8" spans="1:5">
      <c r="A8" s="942" t="s">
        <v>2161</v>
      </c>
      <c r="B8" s="97"/>
      <c r="C8" s="97"/>
      <c r="D8" s="119" t="s">
        <v>2162</v>
      </c>
      <c r="E8" s="98"/>
    </row>
    <row r="9" spans="1:5">
      <c r="A9" s="942" t="s">
        <v>1098</v>
      </c>
      <c r="B9" s="97"/>
      <c r="C9" s="97"/>
      <c r="D9" s="119" t="s">
        <v>1099</v>
      </c>
      <c r="E9" s="98"/>
    </row>
    <row r="10" spans="1:5">
      <c r="A10" s="942" t="s">
        <v>1653</v>
      </c>
      <c r="B10" s="97"/>
      <c r="C10" s="97"/>
      <c r="D10" s="119" t="s">
        <v>1654</v>
      </c>
      <c r="E10" s="98"/>
    </row>
    <row r="11" spans="1:5">
      <c r="A11" s="942" t="s">
        <v>1707</v>
      </c>
      <c r="B11" s="97"/>
      <c r="C11" s="97"/>
      <c r="D11" s="119" t="s">
        <v>1708</v>
      </c>
      <c r="E11" s="98"/>
    </row>
    <row r="12" spans="1:5">
      <c r="A12" s="942" t="s">
        <v>1709</v>
      </c>
      <c r="B12" s="97"/>
      <c r="C12" s="97"/>
      <c r="D12" s="119" t="s">
        <v>4153</v>
      </c>
      <c r="E12" s="98"/>
    </row>
    <row r="13" spans="1:5">
      <c r="A13" s="943" t="s">
        <v>3338</v>
      </c>
      <c r="B13" s="109"/>
      <c r="C13" s="109"/>
      <c r="D13" s="780" t="s">
        <v>3339</v>
      </c>
      <c r="E13" s="112"/>
    </row>
    <row r="14" spans="1:5">
      <c r="A14" s="520" t="s">
        <v>1129</v>
      </c>
      <c r="B14" s="101" t="s">
        <v>3340</v>
      </c>
      <c r="C14" s="101"/>
      <c r="D14" s="798" t="s">
        <v>3341</v>
      </c>
      <c r="E14" s="802" t="s">
        <v>430</v>
      </c>
    </row>
    <row r="15" spans="1:5">
      <c r="A15" s="521" t="s">
        <v>3324</v>
      </c>
      <c r="B15" s="109" t="s">
        <v>2505</v>
      </c>
      <c r="C15" s="109"/>
      <c r="D15" s="800" t="s">
        <v>4033</v>
      </c>
      <c r="E15" s="458" t="s">
        <v>4034</v>
      </c>
    </row>
    <row r="16" spans="1:5">
      <c r="A16" s="520">
        <v>1</v>
      </c>
      <c r="B16" s="477" t="s">
        <v>2506</v>
      </c>
      <c r="C16" s="97"/>
      <c r="D16" s="557"/>
      <c r="E16" s="461"/>
    </row>
    <row r="17" spans="1:5">
      <c r="A17" s="444">
        <v>2</v>
      </c>
      <c r="B17" s="97" t="s">
        <v>177</v>
      </c>
      <c r="C17" s="97"/>
      <c r="D17" s="557"/>
      <c r="E17" s="469"/>
    </row>
    <row r="18" spans="1:5">
      <c r="A18" s="444">
        <v>3</v>
      </c>
      <c r="B18" s="97"/>
      <c r="C18" s="97"/>
      <c r="D18" s="557"/>
      <c r="E18" s="461"/>
    </row>
    <row r="19" spans="1:5">
      <c r="A19" s="444">
        <v>4</v>
      </c>
      <c r="B19" s="97"/>
      <c r="C19" s="97"/>
      <c r="D19" s="557"/>
      <c r="E19" s="461"/>
    </row>
    <row r="20" spans="1:5">
      <c r="A20" s="444">
        <v>5</v>
      </c>
      <c r="B20" s="97"/>
      <c r="C20" s="97"/>
      <c r="D20" s="557"/>
      <c r="E20" s="461"/>
    </row>
    <row r="21" spans="1:5">
      <c r="A21" s="444">
        <v>6</v>
      </c>
      <c r="B21" s="105" t="s">
        <v>1050</v>
      </c>
      <c r="C21" s="97"/>
      <c r="D21" s="426">
        <f>SUM(D17:D20)</f>
        <v>0</v>
      </c>
      <c r="E21" s="423">
        <f>SUM(E17:E20)</f>
        <v>0</v>
      </c>
    </row>
    <row r="22" spans="1:5">
      <c r="A22" s="444">
        <v>7</v>
      </c>
      <c r="B22" s="97"/>
      <c r="C22" s="97"/>
      <c r="D22" s="557"/>
      <c r="E22" s="461"/>
    </row>
    <row r="23" spans="1:5">
      <c r="A23" s="444">
        <v>8</v>
      </c>
      <c r="B23" s="477" t="s">
        <v>4368</v>
      </c>
      <c r="C23" s="97"/>
      <c r="D23" s="557"/>
      <c r="E23" s="461"/>
    </row>
    <row r="24" spans="1:5">
      <c r="A24" s="444">
        <v>9</v>
      </c>
      <c r="B24" s="97" t="s">
        <v>177</v>
      </c>
      <c r="C24" s="97"/>
      <c r="D24" s="557"/>
      <c r="E24" s="469"/>
    </row>
    <row r="25" spans="1:5">
      <c r="A25" s="444">
        <v>10</v>
      </c>
      <c r="B25" s="97"/>
      <c r="C25" s="97"/>
      <c r="D25" s="557"/>
      <c r="E25" s="461"/>
    </row>
    <row r="26" spans="1:5">
      <c r="A26" s="444">
        <v>11</v>
      </c>
      <c r="B26" s="97"/>
      <c r="C26" s="97"/>
      <c r="D26" s="557"/>
      <c r="E26" s="461"/>
    </row>
    <row r="27" spans="1:5">
      <c r="A27" s="444">
        <v>12</v>
      </c>
      <c r="B27" s="97"/>
      <c r="C27" s="97"/>
      <c r="D27" s="557"/>
      <c r="E27" s="461"/>
    </row>
    <row r="28" spans="1:5">
      <c r="A28" s="444">
        <v>13</v>
      </c>
      <c r="B28" s="105" t="s">
        <v>1050</v>
      </c>
      <c r="C28" s="97"/>
      <c r="D28" s="426">
        <f>SUM(D24:D27)</f>
        <v>0</v>
      </c>
      <c r="E28" s="423">
        <f>SUM(E24:E27)</f>
        <v>0</v>
      </c>
    </row>
    <row r="29" spans="1:5">
      <c r="A29" s="444">
        <v>14</v>
      </c>
      <c r="B29" s="97"/>
      <c r="C29" s="97"/>
      <c r="D29" s="557"/>
      <c r="E29" s="461"/>
    </row>
    <row r="30" spans="1:5">
      <c r="A30" s="444">
        <v>15</v>
      </c>
      <c r="B30" s="477" t="s">
        <v>3475</v>
      </c>
      <c r="C30" s="97"/>
      <c r="D30" s="557"/>
      <c r="E30" s="461"/>
    </row>
    <row r="31" spans="1:5">
      <c r="A31" s="444">
        <v>16</v>
      </c>
      <c r="B31" s="97" t="s">
        <v>177</v>
      </c>
      <c r="C31" s="97"/>
      <c r="D31" s="557"/>
      <c r="E31" s="469"/>
    </row>
    <row r="32" spans="1:5">
      <c r="A32" s="444">
        <v>17</v>
      </c>
      <c r="B32" s="97"/>
      <c r="C32" s="97"/>
      <c r="D32" s="557"/>
      <c r="E32" s="461"/>
    </row>
    <row r="33" spans="1:5">
      <c r="A33" s="444">
        <v>18</v>
      </c>
      <c r="B33" s="97"/>
      <c r="C33" s="97"/>
      <c r="D33" s="557"/>
      <c r="E33" s="461"/>
    </row>
    <row r="34" spans="1:5">
      <c r="A34" s="444">
        <v>19</v>
      </c>
      <c r="B34" s="97"/>
      <c r="C34" s="97"/>
      <c r="D34" s="557"/>
      <c r="E34" s="461"/>
    </row>
    <row r="35" spans="1:5">
      <c r="A35" s="444">
        <v>20</v>
      </c>
      <c r="B35" s="105" t="s">
        <v>1050</v>
      </c>
      <c r="C35" s="97"/>
      <c r="D35" s="426">
        <f>SUM(D31:D34)</f>
        <v>0</v>
      </c>
      <c r="E35" s="423">
        <f>SUM(E31:E34)</f>
        <v>0</v>
      </c>
    </row>
    <row r="36" spans="1:5">
      <c r="A36" s="444">
        <v>21</v>
      </c>
      <c r="B36" s="97"/>
      <c r="C36" s="97"/>
      <c r="D36" s="557"/>
      <c r="E36" s="461"/>
    </row>
    <row r="37" spans="1:5">
      <c r="A37" s="444">
        <v>22</v>
      </c>
      <c r="B37" s="477" t="s">
        <v>2394</v>
      </c>
      <c r="C37" s="97"/>
      <c r="D37" s="557"/>
      <c r="E37" s="461"/>
    </row>
    <row r="38" spans="1:5">
      <c r="A38" s="444">
        <v>23</v>
      </c>
      <c r="B38" s="97" t="s">
        <v>177</v>
      </c>
      <c r="C38" s="97"/>
      <c r="D38" s="557"/>
      <c r="E38" s="469"/>
    </row>
    <row r="39" spans="1:5">
      <c r="A39" s="444">
        <v>24</v>
      </c>
      <c r="B39" s="97"/>
      <c r="C39" s="97"/>
      <c r="D39" s="557"/>
      <c r="E39" s="461"/>
    </row>
    <row r="40" spans="1:5">
      <c r="A40" s="444">
        <v>25</v>
      </c>
      <c r="B40" s="97"/>
      <c r="C40" s="97"/>
      <c r="D40" s="557"/>
      <c r="E40" s="461"/>
    </row>
    <row r="41" spans="1:5">
      <c r="A41" s="444">
        <v>26</v>
      </c>
      <c r="B41" s="97"/>
      <c r="C41" s="97"/>
      <c r="D41" s="557"/>
      <c r="E41" s="461"/>
    </row>
    <row r="42" spans="1:5">
      <c r="A42" s="444">
        <v>27</v>
      </c>
      <c r="B42" s="105" t="s">
        <v>1050</v>
      </c>
      <c r="C42" s="97"/>
      <c r="D42" s="426">
        <f>SUM(D38:D41)</f>
        <v>0</v>
      </c>
      <c r="E42" s="423">
        <f>SUM(E38:E41)</f>
        <v>0</v>
      </c>
    </row>
    <row r="43" spans="1:5">
      <c r="A43" s="444">
        <v>28</v>
      </c>
      <c r="B43" s="97"/>
      <c r="C43" s="97"/>
      <c r="D43" s="557"/>
      <c r="E43" s="461"/>
    </row>
    <row r="44" spans="1:5">
      <c r="A44" s="444">
        <v>29</v>
      </c>
      <c r="B44" s="477" t="s">
        <v>2395</v>
      </c>
      <c r="C44" s="97"/>
      <c r="D44" s="557"/>
      <c r="E44" s="461"/>
    </row>
    <row r="45" spans="1:5">
      <c r="A45" s="444">
        <v>30</v>
      </c>
      <c r="B45" s="97" t="s">
        <v>177</v>
      </c>
      <c r="C45" s="97"/>
      <c r="D45" s="557"/>
      <c r="E45" s="469"/>
    </row>
    <row r="46" spans="1:5">
      <c r="A46" s="444">
        <v>31</v>
      </c>
      <c r="B46" s="97"/>
      <c r="C46" s="97"/>
      <c r="D46" s="557"/>
      <c r="E46" s="461"/>
    </row>
    <row r="47" spans="1:5">
      <c r="A47" s="444">
        <v>32</v>
      </c>
      <c r="B47" s="97"/>
      <c r="C47" s="97"/>
      <c r="D47" s="557"/>
      <c r="E47" s="461"/>
    </row>
    <row r="48" spans="1:5">
      <c r="A48" s="444">
        <v>33</v>
      </c>
      <c r="B48" s="97"/>
      <c r="C48" s="97"/>
      <c r="D48" s="557"/>
      <c r="E48" s="461"/>
    </row>
    <row r="49" spans="1:5">
      <c r="A49" s="444">
        <v>34</v>
      </c>
      <c r="B49" s="97"/>
      <c r="C49" s="97"/>
      <c r="D49" s="557"/>
      <c r="E49" s="461"/>
    </row>
    <row r="50" spans="1:5">
      <c r="A50" s="444">
        <v>35</v>
      </c>
      <c r="B50" s="97"/>
      <c r="C50" s="97"/>
      <c r="D50" s="557"/>
      <c r="E50" s="461"/>
    </row>
    <row r="51" spans="1:5">
      <c r="A51" s="444">
        <v>36</v>
      </c>
      <c r="B51" s="105" t="s">
        <v>1050</v>
      </c>
      <c r="C51" s="97"/>
      <c r="D51" s="426">
        <f>SUM(D45:D50)</f>
        <v>0</v>
      </c>
      <c r="E51" s="423">
        <f>SUM(E45:E50)</f>
        <v>0</v>
      </c>
    </row>
    <row r="52" spans="1:5">
      <c r="A52" s="444">
        <v>37</v>
      </c>
      <c r="B52" s="97"/>
      <c r="C52" s="97"/>
      <c r="D52" s="557"/>
      <c r="E52" s="461"/>
    </row>
    <row r="53" spans="1:5">
      <c r="A53" s="444">
        <v>38</v>
      </c>
      <c r="B53" s="477" t="s">
        <v>2396</v>
      </c>
      <c r="C53" s="97"/>
      <c r="D53" s="557"/>
      <c r="E53" s="461"/>
    </row>
    <row r="54" spans="1:5">
      <c r="A54" s="444">
        <v>39</v>
      </c>
      <c r="B54" s="97" t="s">
        <v>177</v>
      </c>
      <c r="C54" s="97"/>
      <c r="D54" s="557"/>
      <c r="E54" s="469"/>
    </row>
    <row r="55" spans="1:5">
      <c r="A55" s="444">
        <v>40</v>
      </c>
      <c r="B55" s="97"/>
      <c r="C55" s="97"/>
      <c r="D55" s="557"/>
      <c r="E55" s="461"/>
    </row>
    <row r="56" spans="1:5">
      <c r="A56" s="444">
        <v>41</v>
      </c>
      <c r="B56" s="97"/>
      <c r="C56" s="97"/>
      <c r="D56" s="557"/>
      <c r="E56" s="461"/>
    </row>
    <row r="57" spans="1:5">
      <c r="A57" s="444">
        <v>42</v>
      </c>
      <c r="B57" s="97"/>
      <c r="C57" s="97"/>
      <c r="D57" s="557"/>
      <c r="E57" s="461" t="s">
        <v>4373</v>
      </c>
    </row>
    <row r="58" spans="1:5">
      <c r="A58" s="444">
        <v>43</v>
      </c>
      <c r="B58" s="97"/>
      <c r="C58" s="97"/>
      <c r="D58" s="557"/>
      <c r="E58" s="461"/>
    </row>
    <row r="59" spans="1:5">
      <c r="A59" s="444">
        <v>44</v>
      </c>
      <c r="B59" s="97"/>
      <c r="C59" s="97"/>
      <c r="D59" s="557"/>
      <c r="E59" s="461"/>
    </row>
    <row r="60" spans="1:5">
      <c r="A60" s="521">
        <v>45</v>
      </c>
      <c r="B60" s="97"/>
      <c r="C60" s="97"/>
      <c r="D60" s="557"/>
      <c r="E60" s="461"/>
    </row>
    <row r="61" spans="1:5" ht="15.75" thickBot="1">
      <c r="A61" s="480">
        <v>46</v>
      </c>
      <c r="B61" s="944" t="s">
        <v>2397</v>
      </c>
      <c r="C61" s="124"/>
      <c r="D61" s="774">
        <f>SUM(D54:D60)</f>
        <v>0</v>
      </c>
      <c r="E61" s="439">
        <f>SUM(E54:E60)</f>
        <v>0</v>
      </c>
    </row>
    <row r="62" spans="1:5">
      <c r="A62" s="230" t="s">
        <v>4066</v>
      </c>
      <c r="B62" s="230"/>
      <c r="C62" s="230"/>
      <c r="D62" s="230"/>
      <c r="E62" s="230"/>
    </row>
    <row r="63" spans="1:5">
      <c r="A63" s="128" t="s">
        <v>2398</v>
      </c>
      <c r="B63" s="128"/>
      <c r="C63" s="128"/>
      <c r="D63" s="128"/>
      <c r="E63" s="128"/>
    </row>
    <row r="64" spans="1:5">
      <c r="A64" s="230"/>
      <c r="B64" s="97"/>
      <c r="C64" s="230"/>
      <c r="D64" s="230"/>
      <c r="E64" s="230"/>
    </row>
    <row r="65" spans="1:5">
      <c r="A65" s="230"/>
      <c r="B65" s="230"/>
      <c r="C65" s="230"/>
      <c r="D65" s="230"/>
      <c r="E65" s="230"/>
    </row>
    <row r="66" spans="1:5">
      <c r="A66" s="230"/>
      <c r="B66" s="230"/>
      <c r="C66" s="230"/>
      <c r="D66" s="230"/>
      <c r="E66" s="230"/>
    </row>
    <row r="67" spans="1:5">
      <c r="A67" s="230"/>
      <c r="B67" s="230"/>
      <c r="C67" s="230"/>
      <c r="D67" s="230"/>
      <c r="E67" s="230"/>
    </row>
    <row r="68" spans="1:5">
      <c r="A68" s="230"/>
      <c r="B68" s="230"/>
      <c r="C68" s="230"/>
      <c r="D68" s="230"/>
      <c r="E68" s="230"/>
    </row>
    <row r="69" spans="1:5">
      <c r="A69" s="230"/>
      <c r="B69" s="230"/>
      <c r="C69" s="230"/>
      <c r="D69" s="230"/>
      <c r="E69" s="230"/>
    </row>
    <row r="70" spans="1:5">
      <c r="A70" s="97"/>
      <c r="B70" s="97"/>
      <c r="C70" s="230"/>
      <c r="D70" s="230"/>
      <c r="E70" s="230"/>
    </row>
    <row r="71" spans="1:5">
      <c r="A71" s="97"/>
      <c r="B71" s="97"/>
      <c r="C71" s="230"/>
      <c r="D71" s="230"/>
      <c r="E71" s="230"/>
    </row>
    <row r="72" spans="1:5">
      <c r="A72" s="97"/>
      <c r="B72" s="97"/>
      <c r="C72" s="230"/>
      <c r="D72" s="230"/>
      <c r="E72" s="230"/>
    </row>
    <row r="73" spans="1:5">
      <c r="A73" s="97"/>
      <c r="B73" s="97"/>
      <c r="C73" s="230"/>
      <c r="D73" s="230"/>
      <c r="E73" s="230"/>
    </row>
    <row r="74" spans="1:5">
      <c r="A74" s="97"/>
      <c r="B74" s="97"/>
      <c r="C74" s="230"/>
      <c r="D74" s="230"/>
      <c r="E74" s="230"/>
    </row>
    <row r="75" spans="1:5">
      <c r="A75" s="97"/>
      <c r="B75" s="97"/>
      <c r="C75" s="230"/>
      <c r="D75" s="230"/>
      <c r="E75" s="230"/>
    </row>
    <row r="76" spans="1:5">
      <c r="A76" s="97"/>
      <c r="B76" s="97"/>
      <c r="C76" s="230"/>
      <c r="D76" s="230"/>
      <c r="E76" s="230"/>
    </row>
    <row r="77" spans="1:5">
      <c r="A77" s="97"/>
      <c r="B77" s="97"/>
      <c r="C77" s="230"/>
      <c r="D77" s="230"/>
      <c r="E77" s="230"/>
    </row>
    <row r="78" spans="1:5">
      <c r="A78" s="97"/>
      <c r="B78" s="97"/>
      <c r="C78" s="230"/>
      <c r="D78" s="230"/>
      <c r="E78" s="230"/>
    </row>
    <row r="79" spans="1:5">
      <c r="A79" s="230"/>
      <c r="B79" s="230"/>
      <c r="C79" s="230"/>
      <c r="D79" s="230"/>
      <c r="E79" s="230"/>
    </row>
    <row r="80" spans="1:5">
      <c r="A80" s="230"/>
      <c r="B80" s="230"/>
      <c r="C80" s="230"/>
      <c r="D80" s="230"/>
      <c r="E80" s="230"/>
    </row>
    <row r="81" spans="1:5">
      <c r="A81" s="230"/>
      <c r="B81" s="230"/>
      <c r="C81" s="230"/>
      <c r="D81" s="230"/>
      <c r="E81" s="230"/>
    </row>
    <row r="82" spans="1:5">
      <c r="A82" s="230"/>
      <c r="B82" s="230"/>
      <c r="C82" s="230"/>
      <c r="D82" s="230"/>
      <c r="E82" s="230"/>
    </row>
    <row r="83" spans="1:5">
      <c r="A83" s="230"/>
      <c r="B83" s="230"/>
      <c r="C83" s="230"/>
      <c r="D83" s="230"/>
      <c r="E83" s="230"/>
    </row>
    <row r="84" spans="1:5">
      <c r="A84" s="230"/>
      <c r="B84" s="230"/>
      <c r="C84" s="230"/>
      <c r="D84" s="230"/>
      <c r="E84" s="230"/>
    </row>
    <row r="85" spans="1:5">
      <c r="A85" s="230"/>
      <c r="B85" s="230"/>
      <c r="C85" s="230"/>
      <c r="D85" s="230"/>
      <c r="E85" s="230"/>
    </row>
    <row r="86" spans="1:5">
      <c r="A86" s="230"/>
      <c r="B86" s="230"/>
      <c r="C86" s="230"/>
      <c r="D86" s="230"/>
      <c r="E86" s="230"/>
    </row>
    <row r="87" spans="1:5">
      <c r="A87" s="230"/>
      <c r="B87" s="230"/>
      <c r="C87" s="230"/>
      <c r="D87" s="230"/>
      <c r="E87" s="230"/>
    </row>
    <row r="88" spans="1:5">
      <c r="A88" s="230"/>
      <c r="B88" s="230"/>
      <c r="C88" s="230"/>
      <c r="D88" s="230"/>
      <c r="E88" s="230"/>
    </row>
    <row r="89" spans="1:5">
      <c r="A89" s="230"/>
      <c r="B89" s="230"/>
      <c r="C89" s="230"/>
      <c r="D89" s="230"/>
      <c r="E89" s="230"/>
    </row>
    <row r="90" spans="1:5">
      <c r="A90" s="230"/>
      <c r="B90" s="230"/>
      <c r="C90" s="230"/>
      <c r="D90" s="230"/>
      <c r="E90" s="230"/>
    </row>
    <row r="91" spans="1:5">
      <c r="A91" s="230"/>
      <c r="B91" s="230"/>
      <c r="C91" s="230"/>
      <c r="D91" s="230"/>
      <c r="E91" s="230"/>
    </row>
    <row r="92" spans="1:5">
      <c r="A92" s="230"/>
      <c r="B92" s="230"/>
      <c r="C92" s="230"/>
      <c r="D92" s="230"/>
      <c r="E92" s="230"/>
    </row>
    <row r="93" spans="1:5">
      <c r="A93" s="230"/>
      <c r="B93" s="230"/>
      <c r="C93" s="230"/>
      <c r="D93" s="230"/>
      <c r="E93" s="230"/>
    </row>
    <row r="94" spans="1:5">
      <c r="A94" s="230"/>
      <c r="B94" s="230"/>
      <c r="C94" s="230"/>
      <c r="D94" s="230"/>
      <c r="E94" s="230"/>
    </row>
    <row r="95" spans="1:5">
      <c r="A95" s="230"/>
      <c r="B95" s="230"/>
      <c r="C95" s="230"/>
      <c r="D95" s="230"/>
      <c r="E95" s="230"/>
    </row>
    <row r="96" spans="1:5">
      <c r="A96" s="230"/>
      <c r="B96" s="230"/>
      <c r="C96" s="230"/>
      <c r="D96" s="230"/>
      <c r="E96" s="230"/>
    </row>
    <row r="97" spans="1:5">
      <c r="A97" s="230"/>
      <c r="B97" s="230"/>
      <c r="C97" s="230"/>
      <c r="D97" s="230"/>
      <c r="E97" s="230"/>
    </row>
    <row r="98" spans="1:5">
      <c r="A98" s="230"/>
      <c r="B98" s="230"/>
      <c r="C98" s="230"/>
      <c r="D98" s="230"/>
      <c r="E98" s="230"/>
    </row>
    <row r="99" spans="1:5">
      <c r="A99" s="230"/>
      <c r="B99" s="230"/>
      <c r="C99" s="230"/>
      <c r="D99" s="230"/>
      <c r="E99" s="230"/>
    </row>
    <row r="100" spans="1:5">
      <c r="A100" s="230"/>
      <c r="B100" s="230"/>
      <c r="C100" s="230"/>
      <c r="D100" s="230"/>
      <c r="E100" s="230"/>
    </row>
    <row r="101" spans="1:5">
      <c r="A101" s="230"/>
      <c r="B101" s="230"/>
      <c r="C101" s="230"/>
      <c r="D101" s="230"/>
      <c r="E101" s="230"/>
    </row>
    <row r="102" spans="1:5">
      <c r="A102" s="230"/>
      <c r="B102" s="230"/>
      <c r="C102" s="230"/>
      <c r="D102" s="230"/>
      <c r="E102" s="230"/>
    </row>
    <row r="103" spans="1:5">
      <c r="A103" s="230"/>
      <c r="B103" s="230"/>
      <c r="C103" s="230"/>
      <c r="D103" s="230"/>
      <c r="E103" s="230"/>
    </row>
    <row r="104" spans="1:5">
      <c r="A104" s="230"/>
      <c r="B104" s="230"/>
      <c r="C104" s="230"/>
      <c r="D104" s="230"/>
      <c r="E104" s="230"/>
    </row>
    <row r="105" spans="1:5">
      <c r="A105" s="230"/>
      <c r="B105" s="230"/>
      <c r="C105" s="230"/>
      <c r="D105" s="230"/>
      <c r="E105" s="230"/>
    </row>
    <row r="106" spans="1:5">
      <c r="A106" s="230"/>
      <c r="B106" s="230"/>
      <c r="C106" s="230"/>
      <c r="D106" s="230"/>
      <c r="E106" s="230"/>
    </row>
    <row r="107" spans="1:5">
      <c r="A107" s="230"/>
      <c r="B107" s="230"/>
      <c r="C107" s="230"/>
      <c r="D107" s="230"/>
      <c r="E107" s="230"/>
    </row>
    <row r="108" spans="1:5">
      <c r="A108" s="230"/>
      <c r="B108" s="230"/>
      <c r="C108" s="230"/>
      <c r="D108" s="230"/>
      <c r="E108" s="230"/>
    </row>
    <row r="109" spans="1:5">
      <c r="A109" s="230"/>
      <c r="B109" s="230"/>
      <c r="C109" s="230"/>
      <c r="D109" s="230"/>
      <c r="E109" s="230"/>
    </row>
    <row r="110" spans="1:5">
      <c r="A110" s="230"/>
      <c r="B110" s="230"/>
      <c r="C110" s="230"/>
      <c r="D110" s="230"/>
      <c r="E110" s="230"/>
    </row>
    <row r="111" spans="1:5">
      <c r="A111" s="230"/>
      <c r="B111" s="230"/>
      <c r="C111" s="230"/>
      <c r="D111" s="230"/>
      <c r="E111" s="230"/>
    </row>
    <row r="112" spans="1:5">
      <c r="A112" s="230"/>
      <c r="B112" s="230"/>
      <c r="C112" s="230"/>
      <c r="D112" s="230"/>
      <c r="E112" s="230"/>
    </row>
    <row r="113" spans="1:5">
      <c r="A113" s="230"/>
      <c r="B113" s="230"/>
      <c r="C113" s="230"/>
      <c r="D113" s="230"/>
      <c r="E113" s="230"/>
    </row>
    <row r="114" spans="1:5">
      <c r="A114" s="230"/>
      <c r="B114" s="230"/>
      <c r="C114" s="230"/>
      <c r="D114" s="230"/>
      <c r="E114" s="230"/>
    </row>
    <row r="115" spans="1:5">
      <c r="A115" s="230"/>
      <c r="B115" s="230"/>
      <c r="C115" s="230"/>
      <c r="D115" s="230"/>
      <c r="E115" s="230"/>
    </row>
    <row r="116" spans="1:5">
      <c r="A116" s="230"/>
      <c r="B116" s="230"/>
      <c r="C116" s="230"/>
      <c r="D116" s="230"/>
      <c r="E116" s="230"/>
    </row>
    <row r="117" spans="1:5">
      <c r="A117" s="230"/>
      <c r="B117" s="230"/>
      <c r="C117" s="230"/>
      <c r="D117" s="230"/>
      <c r="E117" s="230"/>
    </row>
    <row r="118" spans="1:5">
      <c r="A118" s="230"/>
      <c r="B118" s="230"/>
      <c r="C118" s="230"/>
      <c r="D118" s="230"/>
      <c r="E118" s="230"/>
    </row>
    <row r="119" spans="1:5">
      <c r="A119" s="230"/>
      <c r="B119" s="230"/>
      <c r="C119" s="230"/>
      <c r="D119" s="230"/>
      <c r="E119" s="230"/>
    </row>
    <row r="120" spans="1:5">
      <c r="A120" s="230"/>
      <c r="B120" s="230"/>
      <c r="C120" s="230"/>
      <c r="D120" s="230"/>
      <c r="E120" s="230"/>
    </row>
    <row r="121" spans="1:5">
      <c r="A121" s="230"/>
      <c r="B121" s="230"/>
      <c r="C121" s="230"/>
      <c r="D121" s="230"/>
      <c r="E121" s="230"/>
    </row>
  </sheetData>
  <customSheetViews>
    <customSheetView guid="{1BA452AD-1A45-4D9C-9666-ADFFA6F2F567}" scale="60" colorId="22" showPageBreaks="1" printArea="1" view="pageBreakPreview">
      <selection activeCell="A76" sqref="A76"/>
      <pageMargins left="0.9" right="0.4" top="0.3" bottom="0.3" header="0.5" footer="0.5"/>
      <pageSetup scale="63" orientation="portrait" r:id="rId1"/>
      <headerFooter alignWithMargins="0"/>
    </customSheetView>
    <customSheetView guid="{EEF7ABD6-0F96-4791-B749-C06F707E7673}" scale="60" colorId="22" showPageBreaks="1" printArea="1" view="pageBreakPreview" showRuler="0">
      <selection activeCell="C104" sqref="C104"/>
      <pageMargins left="0.9" right="0.4" top="0.3" bottom="0.3" header="0.5" footer="0.5"/>
      <pageSetup scale="63" orientation="portrait" r:id="rId2"/>
      <headerFooter alignWithMargins="0"/>
    </customSheetView>
    <customSheetView guid="{A7D7DB3C-AFE6-468E-8C6B-9531F6711497}" scale="60" colorId="22" showPageBreaks="1" printArea="1" view="pageBreakPreview" showRuler="0">
      <selection activeCell="H5" sqref="H5"/>
      <pageMargins left="0.9" right="0.4" top="0.3" bottom="0.3" header="0.5" footer="0.5"/>
      <pageSetup scale="63" orientation="portrait" r:id="rId3"/>
      <headerFooter alignWithMargins="0"/>
    </customSheetView>
    <customSheetView guid="{4436FEB5-BFEC-4348-9286-CB706802873E}" scale="60" colorId="22" showPageBreaks="1" printArea="1" view="pageBreakPreview" showRuler="0">
      <selection activeCell="H5" sqref="H5"/>
      <pageMargins left="0.9" right="0.4" top="0.3" bottom="0.3" header="0.5" footer="0.5"/>
      <pageSetup scale="63" orientation="portrait" r:id="rId4"/>
      <headerFooter alignWithMargins="0"/>
    </customSheetView>
    <customSheetView guid="{044CF00C-469F-44B3-B2C4-9B4049CE70CB}" scale="75" colorId="22" showRuler="0">
      <selection activeCell="A2" sqref="A2"/>
      <pageMargins left="0.9" right="0.4" top="0.3" bottom="0.3" header="0.5" footer="0.5"/>
      <pageSetup scale="63" orientation="portrait" r:id="rId5"/>
      <headerFooter alignWithMargins="0"/>
    </customSheetView>
    <customSheetView guid="{4826FCC0-BDD6-4B2C-ACC6-ACE271DDF0E3}" scale="60" colorId="22" showPageBreaks="1" printArea="1" view="pageBreakPreview" showRuler="0">
      <selection activeCell="C104" sqref="C104"/>
      <pageMargins left="0.9" right="0.4" top="0.3" bottom="0.3" header="0.5" footer="0.5"/>
      <pageSetup scale="63" orientation="portrait" r:id="rId6"/>
      <headerFooter alignWithMargins="0"/>
    </customSheetView>
    <customSheetView guid="{EF376D10-23D6-4FE2-AB5B-4460D52CC93F}" scale="60" colorId="22" showPageBreaks="1" printArea="1" view="pageBreakPreview" showRuler="0">
      <selection activeCell="C104" sqref="C104"/>
      <pageMargins left="0.9" right="0.4" top="0.3" bottom="0.3" header="0.5" footer="0.5"/>
      <pageSetup scale="63" orientation="portrait" r:id="rId7"/>
      <headerFooter alignWithMargins="0"/>
    </customSheetView>
    <customSheetView guid="{1C046605-15CE-44F1-BFCD-2CA8588E7ACF}" scale="60" colorId="22" showPageBreaks="1" printArea="1" view="pageBreakPreview" showRuler="0">
      <selection activeCell="E42" sqref="E42"/>
      <pageMargins left="0.9" right="0.4" top="0.3" bottom="0.3" header="0.5" footer="0.5"/>
      <pageSetup scale="63" orientation="portrait" r:id="rId8"/>
      <headerFooter alignWithMargins="0"/>
    </customSheetView>
    <customSheetView guid="{3911D713-188C-46A1-A299-F21DD3B7A146}" scale="60" colorId="22" showPageBreaks="1" printArea="1" view="pageBreakPreview" showRuler="0">
      <selection activeCell="E42" sqref="E42"/>
      <pageMargins left="0.9" right="0.4" top="0.3" bottom="0.3" header="0.5" footer="0.5"/>
      <pageSetup scale="63" orientation="portrait" r:id="rId9"/>
      <headerFooter alignWithMargins="0"/>
    </customSheetView>
    <customSheetView guid="{78BB1E60-60BE-4F56-9763-075185EFEFAB}" scale="60" colorId="22" showPageBreaks="1" printArea="1" view="pageBreakPreview">
      <selection activeCell="A76" sqref="A76"/>
      <pageMargins left="0.9" right="0.4" top="0.3" bottom="0.3" header="0.5" footer="0.5"/>
      <pageSetup scale="63" orientation="portrait" r:id="rId10"/>
      <headerFooter alignWithMargins="0"/>
    </customSheetView>
    <customSheetView guid="{9C30803E-1E2D-4850-B0A5-591CA6F246A1}" scale="60" colorId="22" showPageBreaks="1" printArea="1" view="pageBreakPreview">
      <selection activeCell="A76" sqref="A76"/>
      <pageMargins left="0.9" right="0.4" top="0.3" bottom="0.3" header="0.5" footer="0.5"/>
      <pageSetup scale="63" orientation="portrait" r:id="rId11"/>
      <headerFooter alignWithMargins="0"/>
    </customSheetView>
    <customSheetView guid="{3B1006FF-A2CA-49E7-9B25-DAC8815279AF}" scale="60" colorId="22" showPageBreaks="1" printArea="1" view="pageBreakPreview">
      <selection activeCell="A76" sqref="A76"/>
      <pageMargins left="0.9" right="0.4" top="0.3" bottom="0.3" header="0.5" footer="0.5"/>
      <pageSetup scale="63" orientation="portrait" r:id="rId12"/>
      <headerFooter alignWithMargins="0"/>
    </customSheetView>
    <customSheetView guid="{FB1A60C8-E1F9-4DF0-8E0E-1C965F86027F}" scale="60" colorId="22" showPageBreaks="1" printArea="1" view="pageBreakPreview">
      <selection activeCell="A76" sqref="A76"/>
      <pageMargins left="0.9" right="0.4" top="0.3" bottom="0.3" header="0.5" footer="0.5"/>
      <pageSetup scale="63" orientation="portrait" r:id="rId13"/>
      <headerFooter alignWithMargins="0"/>
    </customSheetView>
    <customSheetView guid="{C5B6D812-CBE6-46AA-99F7-02494E9802B4}" scale="70" colorId="22" showPageBreaks="1" printArea="1" view="pageBreakPreview" topLeftCell="A5">
      <selection activeCell="C10" sqref="C10"/>
      <pageMargins left="0.9" right="0.4" top="0.3" bottom="0.3" header="0.5" footer="0.5"/>
      <pageSetup scale="63" orientation="portrait" r:id="rId14"/>
      <headerFooter alignWithMargins="0"/>
    </customSheetView>
  </customSheetViews>
  <phoneticPr fontId="0" type="noConversion"/>
  <pageMargins left="0.9" right="0.4" top="0.3" bottom="0.3" header="0.5" footer="0.5"/>
  <pageSetup scale="63" orientation="portrait" r:id="rId15"/>
  <headerFooter alignWithMargins="0"/>
  <customProperties>
    <customPr name="_pios_id" r:id="rId16"/>
  </customProperties>
</worksheet>
</file>

<file path=xl/worksheets/sheet35.xml><?xml version="1.0" encoding="utf-8"?>
<worksheet xmlns="http://schemas.openxmlformats.org/spreadsheetml/2006/main" xmlns:r="http://schemas.openxmlformats.org/officeDocument/2006/relationships">
  <sheetPr transitionEvaluation="1" codeName="Sheet35" enableFormatConditionsCalculation="0">
    <pageSetUpPr fitToPage="1"/>
  </sheetPr>
  <dimension ref="A1:E80"/>
  <sheetViews>
    <sheetView defaultGridColor="0" colorId="22" zoomScale="70" zoomScaleNormal="70" workbookViewId="0"/>
  </sheetViews>
  <sheetFormatPr defaultColWidth="9.77734375" defaultRowHeight="15"/>
  <cols>
    <col min="1" max="1" width="4.77734375" customWidth="1"/>
    <col min="2" max="2" width="32.44140625" customWidth="1"/>
    <col min="3" max="3" width="20" customWidth="1"/>
    <col min="4" max="4" width="22.33203125" customWidth="1"/>
    <col min="5" max="5" width="25.77734375" customWidth="1"/>
  </cols>
  <sheetData>
    <row r="1" spans="1:5" ht="15.75" thickBot="1">
      <c r="A1" s="186" t="str">
        <f>'Data sheet'!$A$59</f>
        <v>Annual Report of New York American Water Company, Inc. (f/k/a Long Island Water Corp)                                   Year Ended  December 31, 2013</v>
      </c>
      <c r="D1" s="1633"/>
      <c r="E1" s="1633"/>
    </row>
    <row r="2" spans="1:5">
      <c r="A2" s="90"/>
      <c r="B2" s="91"/>
      <c r="C2" s="91"/>
      <c r="D2" s="91"/>
      <c r="E2" s="92"/>
    </row>
    <row r="3" spans="1:5" ht="15.75">
      <c r="A3" s="130" t="s">
        <v>2399</v>
      </c>
      <c r="B3" s="131"/>
      <c r="C3" s="131"/>
      <c r="D3" s="131"/>
      <c r="E3" s="132"/>
    </row>
    <row r="4" spans="1:5">
      <c r="A4" s="136"/>
      <c r="B4" s="293"/>
      <c r="C4" s="293"/>
      <c r="D4" s="141"/>
      <c r="E4" s="294"/>
    </row>
    <row r="5" spans="1:5">
      <c r="A5" s="93"/>
      <c r="B5" s="11" t="s">
        <v>2400</v>
      </c>
      <c r="C5" s="11"/>
      <c r="D5" s="11"/>
      <c r="E5" s="338"/>
    </row>
    <row r="6" spans="1:5">
      <c r="A6" s="93"/>
      <c r="B6" s="11" t="s">
        <v>1526</v>
      </c>
      <c r="C6" s="11"/>
      <c r="D6" s="11"/>
      <c r="E6" s="338"/>
    </row>
    <row r="7" spans="1:5">
      <c r="A7" s="93"/>
      <c r="B7" s="11" t="s">
        <v>1527</v>
      </c>
      <c r="C7" s="11"/>
      <c r="D7" s="11"/>
      <c r="E7" s="338"/>
    </row>
    <row r="8" spans="1:5">
      <c r="A8" s="93"/>
      <c r="B8" s="11" t="s">
        <v>4011</v>
      </c>
      <c r="C8" s="11"/>
      <c r="D8" s="11"/>
      <c r="E8" s="338"/>
    </row>
    <row r="9" spans="1:5">
      <c r="A9" s="93"/>
      <c r="B9" s="11" t="s">
        <v>3428</v>
      </c>
      <c r="C9" s="11"/>
      <c r="D9" s="11"/>
      <c r="E9" s="338"/>
    </row>
    <row r="10" spans="1:5">
      <c r="A10" s="93"/>
      <c r="B10" s="11" t="s">
        <v>3429</v>
      </c>
      <c r="C10" s="11"/>
      <c r="D10" s="11"/>
      <c r="E10" s="338"/>
    </row>
    <row r="11" spans="1:5">
      <c r="A11" s="93"/>
      <c r="B11" s="11" t="s">
        <v>3430</v>
      </c>
      <c r="C11" s="11"/>
      <c r="D11" s="11"/>
      <c r="E11" s="338"/>
    </row>
    <row r="12" spans="1:5">
      <c r="A12" s="93"/>
      <c r="B12" s="11" t="s">
        <v>2619</v>
      </c>
      <c r="C12" s="11"/>
      <c r="D12" s="11"/>
      <c r="E12" s="338"/>
    </row>
    <row r="13" spans="1:5">
      <c r="A13" s="93"/>
      <c r="B13" s="11" t="s">
        <v>610</v>
      </c>
      <c r="C13" s="11"/>
      <c r="D13" s="11"/>
      <c r="E13" s="338"/>
    </row>
    <row r="14" spans="1:5">
      <c r="A14" s="93"/>
      <c r="B14" s="11" t="s">
        <v>611</v>
      </c>
      <c r="C14" s="11"/>
      <c r="D14" s="11"/>
      <c r="E14" s="338"/>
    </row>
    <row r="15" spans="1:5">
      <c r="A15" s="93"/>
      <c r="B15" s="11" t="s">
        <v>612</v>
      </c>
      <c r="C15" s="11"/>
      <c r="D15" s="11"/>
      <c r="E15" s="338"/>
    </row>
    <row r="16" spans="1:5">
      <c r="A16" s="93"/>
      <c r="B16" s="11" t="s">
        <v>4476</v>
      </c>
      <c r="C16" s="11"/>
      <c r="D16" s="11"/>
      <c r="E16" s="338"/>
    </row>
    <row r="17" spans="1:5">
      <c r="A17" s="93"/>
      <c r="B17" s="11" t="s">
        <v>971</v>
      </c>
      <c r="C17" s="11"/>
      <c r="D17" s="11"/>
      <c r="E17" s="338"/>
    </row>
    <row r="18" spans="1:5">
      <c r="A18" s="93"/>
      <c r="B18" s="11" t="s">
        <v>972</v>
      </c>
      <c r="C18" s="11"/>
      <c r="D18" s="11"/>
      <c r="E18" s="338"/>
    </row>
    <row r="19" spans="1:5">
      <c r="A19" s="93"/>
      <c r="B19" s="11" t="s">
        <v>973</v>
      </c>
      <c r="C19" s="11"/>
      <c r="D19" s="11"/>
      <c r="E19" s="338"/>
    </row>
    <row r="20" spans="1:5">
      <c r="A20" s="93"/>
      <c r="B20" s="11" t="s">
        <v>660</v>
      </c>
      <c r="C20" s="11"/>
      <c r="D20" s="11"/>
      <c r="E20" s="338"/>
    </row>
    <row r="21" spans="1:5">
      <c r="A21" s="93"/>
      <c r="B21" s="11"/>
      <c r="C21" s="11"/>
      <c r="D21" s="11"/>
      <c r="E21" s="338"/>
    </row>
    <row r="22" spans="1:5">
      <c r="A22" s="493" t="s">
        <v>1129</v>
      </c>
      <c r="B22" s="626" t="s">
        <v>429</v>
      </c>
      <c r="C22" s="375"/>
      <c r="D22" s="375"/>
      <c r="E22" s="781" t="s">
        <v>430</v>
      </c>
    </row>
    <row r="23" spans="1:5">
      <c r="A23" s="136" t="s">
        <v>3324</v>
      </c>
      <c r="B23" s="627" t="s">
        <v>4032</v>
      </c>
      <c r="C23" s="134"/>
      <c r="D23" s="134"/>
      <c r="E23" s="782" t="s">
        <v>4033</v>
      </c>
    </row>
    <row r="24" spans="1:5">
      <c r="A24" s="569">
        <v>1</v>
      </c>
      <c r="B24" s="623" t="s">
        <v>661</v>
      </c>
      <c r="C24" s="11"/>
      <c r="D24" s="11"/>
      <c r="E24" s="628"/>
    </row>
    <row r="25" spans="1:5">
      <c r="A25" s="569">
        <v>2</v>
      </c>
      <c r="B25" s="11" t="s">
        <v>177</v>
      </c>
      <c r="C25" s="11"/>
      <c r="D25" s="11"/>
      <c r="E25" s="629"/>
    </row>
    <row r="26" spans="1:5">
      <c r="A26" s="569">
        <v>3</v>
      </c>
      <c r="B26" s="11"/>
      <c r="C26" s="11"/>
      <c r="D26" s="11"/>
      <c r="E26" s="628"/>
    </row>
    <row r="27" spans="1:5">
      <c r="A27" s="569">
        <v>4</v>
      </c>
      <c r="B27" s="11"/>
      <c r="C27" s="11"/>
      <c r="D27" s="149"/>
      <c r="E27" s="628"/>
    </row>
    <row r="28" spans="1:5">
      <c r="A28" s="569">
        <v>5</v>
      </c>
      <c r="B28" s="11"/>
      <c r="C28" s="11"/>
      <c r="D28" s="158"/>
      <c r="E28" s="628"/>
    </row>
    <row r="29" spans="1:5">
      <c r="A29" s="569">
        <v>6</v>
      </c>
      <c r="B29" s="11"/>
      <c r="C29" s="11"/>
      <c r="D29" s="158"/>
      <c r="E29" s="628"/>
    </row>
    <row r="30" spans="1:5">
      <c r="A30" s="569">
        <v>7</v>
      </c>
      <c r="B30" s="11"/>
      <c r="C30" s="11"/>
      <c r="D30" s="158"/>
      <c r="E30" s="628"/>
    </row>
    <row r="31" spans="1:5">
      <c r="A31" s="569">
        <v>8</v>
      </c>
      <c r="B31" s="11"/>
      <c r="C31" s="771" t="s">
        <v>662</v>
      </c>
      <c r="D31" s="158"/>
      <c r="E31" s="630">
        <f>SUM(E25:E30)</f>
        <v>0</v>
      </c>
    </row>
    <row r="32" spans="1:5">
      <c r="A32" s="569">
        <v>9</v>
      </c>
      <c r="B32" s="11"/>
      <c r="C32" s="11"/>
      <c r="D32" s="11"/>
      <c r="E32" s="628"/>
    </row>
    <row r="33" spans="1:5">
      <c r="A33" s="569">
        <v>10</v>
      </c>
      <c r="B33" s="623" t="s">
        <v>663</v>
      </c>
      <c r="C33" s="11"/>
      <c r="D33" s="158"/>
      <c r="E33" s="628"/>
    </row>
    <row r="34" spans="1:5">
      <c r="A34" s="569">
        <v>11</v>
      </c>
      <c r="B34" s="11" t="s">
        <v>177</v>
      </c>
      <c r="C34" s="11"/>
      <c r="D34" s="158"/>
      <c r="E34" s="629"/>
    </row>
    <row r="35" spans="1:5">
      <c r="A35" s="569">
        <v>12</v>
      </c>
      <c r="B35" s="11"/>
      <c r="C35" s="11"/>
      <c r="D35" s="158"/>
      <c r="E35" s="628"/>
    </row>
    <row r="36" spans="1:5">
      <c r="A36" s="569">
        <v>13</v>
      </c>
      <c r="B36" s="11"/>
      <c r="C36" s="11"/>
      <c r="D36" s="158"/>
      <c r="E36" s="628"/>
    </row>
    <row r="37" spans="1:5">
      <c r="A37" s="569">
        <v>14</v>
      </c>
      <c r="B37" s="11"/>
      <c r="C37" s="11"/>
      <c r="D37" s="158"/>
      <c r="E37" s="628"/>
    </row>
    <row r="38" spans="1:5">
      <c r="A38" s="569">
        <v>15</v>
      </c>
      <c r="B38" s="11"/>
      <c r="C38" s="11"/>
      <c r="D38" s="158"/>
      <c r="E38" s="628"/>
    </row>
    <row r="39" spans="1:5">
      <c r="A39" s="569">
        <v>16</v>
      </c>
      <c r="B39" s="11"/>
      <c r="C39" s="11"/>
      <c r="D39" s="158"/>
      <c r="E39" s="628"/>
    </row>
    <row r="40" spans="1:5">
      <c r="A40" s="569">
        <v>17</v>
      </c>
      <c r="B40" s="11"/>
      <c r="C40" s="771" t="s">
        <v>662</v>
      </c>
      <c r="D40" s="158"/>
      <c r="E40" s="630">
        <f>SUM(E34:E39)</f>
        <v>0</v>
      </c>
    </row>
    <row r="41" spans="1:5">
      <c r="A41" s="569">
        <v>18</v>
      </c>
      <c r="B41" s="11"/>
      <c r="C41" s="11"/>
      <c r="D41" s="158"/>
      <c r="E41" s="628"/>
    </row>
    <row r="42" spans="1:5">
      <c r="A42" s="569">
        <v>19</v>
      </c>
      <c r="B42" s="623" t="s">
        <v>664</v>
      </c>
      <c r="C42" s="11"/>
      <c r="D42" s="158"/>
      <c r="E42" s="628"/>
    </row>
    <row r="43" spans="1:5">
      <c r="A43" s="569">
        <v>20</v>
      </c>
      <c r="B43" s="11" t="s">
        <v>177</v>
      </c>
      <c r="C43" s="11"/>
      <c r="D43" s="158"/>
      <c r="E43" s="629"/>
    </row>
    <row r="44" spans="1:5">
      <c r="A44" s="569">
        <v>21</v>
      </c>
      <c r="B44" s="11"/>
      <c r="C44" s="11"/>
      <c r="D44" s="158"/>
      <c r="E44" s="628"/>
    </row>
    <row r="45" spans="1:5">
      <c r="A45" s="569">
        <v>22</v>
      </c>
      <c r="B45" s="11"/>
      <c r="C45" s="11"/>
      <c r="D45" s="158"/>
      <c r="E45" s="628"/>
    </row>
    <row r="46" spans="1:5">
      <c r="A46" s="569">
        <v>23</v>
      </c>
      <c r="B46" s="11"/>
      <c r="C46" s="11"/>
      <c r="D46" s="158"/>
      <c r="E46" s="628"/>
    </row>
    <row r="47" spans="1:5">
      <c r="A47" s="569">
        <v>24</v>
      </c>
      <c r="B47" s="11"/>
      <c r="C47" s="11"/>
      <c r="D47" s="158"/>
      <c r="E47" s="628"/>
    </row>
    <row r="48" spans="1:5">
      <c r="A48" s="569">
        <v>25</v>
      </c>
      <c r="B48" s="11"/>
      <c r="C48" s="11"/>
      <c r="D48" s="158"/>
      <c r="E48" s="628"/>
    </row>
    <row r="49" spans="1:5">
      <c r="A49" s="569">
        <v>26</v>
      </c>
      <c r="B49" s="11"/>
      <c r="C49" s="771" t="s">
        <v>662</v>
      </c>
      <c r="D49" s="158"/>
      <c r="E49" s="630">
        <f>SUM(E43:E48)</f>
        <v>0</v>
      </c>
    </row>
    <row r="50" spans="1:5">
      <c r="A50" s="569">
        <v>27</v>
      </c>
      <c r="B50" s="11"/>
      <c r="C50" s="11"/>
      <c r="D50" s="158"/>
      <c r="E50" s="628"/>
    </row>
    <row r="51" spans="1:5">
      <c r="A51" s="569">
        <v>28</v>
      </c>
      <c r="B51" s="623" t="s">
        <v>1349</v>
      </c>
      <c r="C51" s="11"/>
      <c r="D51" s="158"/>
      <c r="E51" s="628"/>
    </row>
    <row r="52" spans="1:5">
      <c r="A52" s="569">
        <v>29</v>
      </c>
      <c r="B52" s="11" t="s">
        <v>3178</v>
      </c>
      <c r="C52" s="11"/>
      <c r="D52" s="158"/>
      <c r="E52" s="1081">
        <f>28720.75+17585+32086+29761+46230.78+56013</f>
        <v>210396.53</v>
      </c>
    </row>
    <row r="53" spans="1:5">
      <c r="A53" s="569">
        <v>30</v>
      </c>
      <c r="B53" s="11" t="s">
        <v>3177</v>
      </c>
      <c r="C53" s="11"/>
      <c r="D53" s="158"/>
      <c r="E53" s="1081">
        <v>30300014</v>
      </c>
    </row>
    <row r="54" spans="1:5">
      <c r="A54" s="569">
        <v>31</v>
      </c>
      <c r="B54" s="11"/>
      <c r="C54" s="11"/>
      <c r="D54" s="11"/>
      <c r="E54" s="628"/>
    </row>
    <row r="55" spans="1:5">
      <c r="A55" s="569">
        <v>32</v>
      </c>
      <c r="B55" s="11"/>
      <c r="C55" s="11"/>
      <c r="D55" s="11"/>
      <c r="E55" s="628"/>
    </row>
    <row r="56" spans="1:5">
      <c r="A56" s="569">
        <v>33</v>
      </c>
      <c r="B56" s="11"/>
      <c r="C56" s="11"/>
      <c r="D56" s="11"/>
      <c r="E56" s="628"/>
    </row>
    <row r="57" spans="1:5">
      <c r="A57" s="569">
        <v>34</v>
      </c>
      <c r="B57" s="11"/>
      <c r="C57" s="11"/>
      <c r="D57" s="11"/>
      <c r="E57" s="628"/>
    </row>
    <row r="58" spans="1:5">
      <c r="A58" s="569">
        <v>35</v>
      </c>
      <c r="B58" s="11"/>
      <c r="C58" s="771" t="s">
        <v>662</v>
      </c>
      <c r="D58" s="11"/>
      <c r="E58" s="630">
        <f>SUM(E52:E57)</f>
        <v>30510410.530000001</v>
      </c>
    </row>
    <row r="59" spans="1:5">
      <c r="A59" s="569">
        <v>36</v>
      </c>
      <c r="B59" s="11"/>
      <c r="C59" s="11"/>
      <c r="D59" s="11"/>
      <c r="E59" s="628"/>
    </row>
    <row r="60" spans="1:5">
      <c r="A60" s="569">
        <v>37</v>
      </c>
      <c r="B60" s="11"/>
      <c r="C60" s="11"/>
      <c r="D60" s="11"/>
      <c r="E60" s="628"/>
    </row>
    <row r="61" spans="1:5">
      <c r="A61" s="569">
        <v>38</v>
      </c>
      <c r="B61" s="11"/>
      <c r="C61" s="11"/>
      <c r="D61" s="11"/>
      <c r="E61" s="628"/>
    </row>
    <row r="62" spans="1:5">
      <c r="A62" s="569">
        <v>39</v>
      </c>
      <c r="B62" s="11"/>
      <c r="C62" s="11"/>
      <c r="D62" s="11"/>
      <c r="E62" s="628"/>
    </row>
    <row r="63" spans="1:5" ht="15.75" thickBot="1">
      <c r="A63" s="580">
        <v>40</v>
      </c>
      <c r="B63" s="631" t="s">
        <v>1135</v>
      </c>
      <c r="C63" s="631"/>
      <c r="D63" s="632"/>
      <c r="E63" s="625">
        <f>E31+E40+E49+E58</f>
        <v>30510410.530000001</v>
      </c>
    </row>
    <row r="64" spans="1:5">
      <c r="E64" t="s">
        <v>4066</v>
      </c>
    </row>
    <row r="65" spans="1:5">
      <c r="A65" s="131" t="s">
        <v>1350</v>
      </c>
      <c r="B65" s="131"/>
      <c r="C65" s="131"/>
      <c r="D65" s="131"/>
      <c r="E65" s="131"/>
    </row>
    <row r="72" spans="1:5">
      <c r="A72" s="11"/>
      <c r="B72" s="97"/>
    </row>
    <row r="73" spans="1:5">
      <c r="A73" s="11"/>
      <c r="B73" s="97"/>
    </row>
    <row r="74" spans="1:5">
      <c r="A74" s="11"/>
      <c r="B74" s="97"/>
    </row>
    <row r="75" spans="1:5">
      <c r="A75" s="11"/>
      <c r="B75" s="97"/>
    </row>
    <row r="76" spans="1:5">
      <c r="A76" s="11"/>
      <c r="B76" s="97"/>
    </row>
    <row r="77" spans="1:5">
      <c r="A77" s="11"/>
      <c r="B77" s="97"/>
    </row>
    <row r="78" spans="1:5">
      <c r="A78" s="11"/>
      <c r="B78" s="97"/>
    </row>
    <row r="79" spans="1:5">
      <c r="A79" s="11"/>
      <c r="B79" s="97"/>
    </row>
    <row r="80" spans="1:5">
      <c r="A80" s="11"/>
      <c r="B80" s="97"/>
    </row>
  </sheetData>
  <customSheetViews>
    <customSheetView guid="{1BA452AD-1A45-4D9C-9666-ADFFA6F2F567}" scale="75" colorId="22" fitToPage="1">
      <selection activeCell="E1" sqref="E1"/>
      <pageMargins left="0.9" right="0.4" top="0.3" bottom="0.3" header="0" footer="0"/>
      <printOptions horizontalCentered="1" verticalCentered="1"/>
      <pageSetup scale="66" orientation="portrait" r:id="rId1"/>
      <headerFooter alignWithMargins="0"/>
    </customSheetView>
    <customSheetView guid="{EEF7ABD6-0F96-4791-B749-C06F707E7673}" scale="75" colorId="22" fitToPage="1" showRuler="0" topLeftCell="A10">
      <selection activeCell="E53" sqref="E53"/>
      <pageMargins left="0.9" right="0.4" top="0.3" bottom="0.3" header="0" footer="0"/>
      <printOptions horizontalCentered="1" verticalCentered="1"/>
      <pageSetup scale="66" orientation="portrait" r:id="rId2"/>
      <headerFooter alignWithMargins="0"/>
    </customSheetView>
    <customSheetView guid="{A7D7DB3C-AFE6-468E-8C6B-9531F6711497}" scale="60" colorId="22" showPageBreaks="1" fitToPage="1" view="pageBreakPreview" showRuler="0">
      <selection activeCell="E53" sqref="E53"/>
      <pageMargins left="0.9" right="0.4" top="0.3" bottom="0.3" header="0" footer="0"/>
      <printOptions horizontalCentered="1" verticalCentered="1"/>
      <pageSetup scale="73" orientation="portrait" r:id="rId3"/>
      <headerFooter alignWithMargins="0"/>
    </customSheetView>
    <customSheetView guid="{4436FEB5-BFEC-4348-9286-CB706802873E}" scale="60" colorId="22" showPageBreaks="1" fitToPage="1" view="pageBreakPreview" showRuler="0">
      <selection activeCell="E53" sqref="E53"/>
      <pageMargins left="0.9" right="0.4" top="0.3" bottom="0.3" header="0" footer="0"/>
      <printOptions horizontalCentered="1" verticalCentered="1"/>
      <pageSetup scale="73" orientation="portrait" r:id="rId4"/>
      <headerFooter alignWithMargins="0"/>
    </customSheetView>
    <customSheetView guid="{044CF00C-469F-44B3-B2C4-9B4049CE70CB}" scale="75" colorId="22" fitToPage="1" showRuler="0" topLeftCell="A31">
      <selection activeCell="A2" sqref="A2"/>
      <pageMargins left="0.9" right="0.4" top="0.3" bottom="0.3" header="0" footer="0"/>
      <printOptions horizontalCentered="1" verticalCentered="1"/>
      <pageSetup scale="73" orientation="portrait" r:id="rId5"/>
      <headerFooter alignWithMargins="0"/>
    </customSheetView>
    <customSheetView guid="{4826FCC0-BDD6-4B2C-ACC6-ACE271DDF0E3}" scale="75" colorId="22" fitToPage="1" showRuler="0" topLeftCell="A16">
      <selection activeCell="E53" sqref="E53"/>
      <pageMargins left="0.9" right="0.4" top="0.3" bottom="0.3" header="0" footer="0"/>
      <printOptions horizontalCentered="1" verticalCentered="1"/>
      <pageSetup scale="66" orientation="portrait" r:id="rId6"/>
      <headerFooter alignWithMargins="0"/>
    </customSheetView>
    <customSheetView guid="{EF376D10-23D6-4FE2-AB5B-4460D52CC93F}" scale="75" colorId="22" fitToPage="1" showRuler="0" topLeftCell="A10">
      <selection activeCell="E53" sqref="E53"/>
      <pageMargins left="0.9" right="0.4" top="0.3" bottom="0.3" header="0" footer="0"/>
      <printOptions horizontalCentered="1" verticalCentered="1"/>
      <pageSetup scale="66" orientation="portrait" r:id="rId7"/>
      <headerFooter alignWithMargins="0"/>
    </customSheetView>
    <customSheetView guid="{1C046605-15CE-44F1-BFCD-2CA8588E7ACF}" scale="75" colorId="22" fitToPage="1" showRuler="0" topLeftCell="A19">
      <selection activeCell="J63" sqref="J63"/>
      <pageMargins left="0.9" right="0.4" top="0.3" bottom="0.3" header="0" footer="0"/>
      <printOptions horizontalCentered="1" verticalCentered="1"/>
      <pageSetup scale="66" orientation="portrait" r:id="rId8"/>
      <headerFooter alignWithMargins="0"/>
    </customSheetView>
    <customSheetView guid="{3911D713-188C-46A1-A299-F21DD3B7A146}" scale="75" colorId="22" fitToPage="1" showRuler="0" topLeftCell="A19">
      <selection activeCell="J63" sqref="J63"/>
      <pageMargins left="0.9" right="0.4" top="0.3" bottom="0.3" header="0" footer="0"/>
      <printOptions horizontalCentered="1" verticalCentered="1"/>
      <pageSetup scale="66" orientation="portrait" r:id="rId9"/>
      <headerFooter alignWithMargins="0"/>
    </customSheetView>
    <customSheetView guid="{78BB1E60-60BE-4F56-9763-075185EFEFAB}" scale="75" colorId="22" fitToPage="1">
      <selection activeCell="E1" sqref="E1"/>
      <pageMargins left="0.9" right="0.4" top="0.3" bottom="0.3" header="0" footer="0"/>
      <printOptions horizontalCentered="1" verticalCentered="1"/>
      <pageSetup scale="66" orientation="portrait" r:id="rId10"/>
      <headerFooter alignWithMargins="0"/>
    </customSheetView>
    <customSheetView guid="{9C30803E-1E2D-4850-B0A5-591CA6F246A1}" scale="75" colorId="22" fitToPage="1" topLeftCell="A22">
      <selection activeCell="G53" sqref="G53"/>
      <pageMargins left="0.9" right="0.4" top="0.3" bottom="0.3" header="0" footer="0"/>
      <printOptions horizontalCentered="1" verticalCentered="1"/>
      <pageSetup scale="66" orientation="portrait" r:id="rId11"/>
      <headerFooter alignWithMargins="0"/>
    </customSheetView>
    <customSheetView guid="{3B1006FF-A2CA-49E7-9B25-DAC8815279AF}" scale="75" colorId="22" fitToPage="1" topLeftCell="A22">
      <selection activeCell="G53" sqref="G53"/>
      <pageMargins left="0.9" right="0.4" top="0.3" bottom="0.3" header="0" footer="0"/>
      <printOptions horizontalCentered="1" verticalCentered="1"/>
      <pageSetup scale="66" orientation="portrait" r:id="rId12"/>
      <headerFooter alignWithMargins="0"/>
    </customSheetView>
    <customSheetView guid="{FB1A60C8-E1F9-4DF0-8E0E-1C965F86027F}" scale="75" colorId="22" fitToPage="1" topLeftCell="A22">
      <selection activeCell="G53" sqref="G53"/>
      <pageMargins left="0.9" right="0.4" top="0.3" bottom="0.3" header="0" footer="0"/>
      <printOptions horizontalCentered="1" verticalCentered="1"/>
      <pageSetup scale="66" orientation="portrait" r:id="rId13"/>
      <headerFooter alignWithMargins="0"/>
    </customSheetView>
    <customSheetView guid="{C5B6D812-CBE6-46AA-99F7-02494E9802B4}" scale="70" colorId="22" fitToPage="1" topLeftCell="A4">
      <selection activeCell="C10" sqref="C10"/>
      <pageMargins left="0.9" right="0.4" top="0.3" bottom="0.3" header="0" footer="0"/>
      <printOptions horizontalCentered="1" verticalCentered="1"/>
      <pageSetup scale="66" orientation="portrait" r:id="rId14"/>
      <headerFooter alignWithMargins="0"/>
    </customSheetView>
  </customSheetViews>
  <phoneticPr fontId="0" type="noConversion"/>
  <printOptions horizontalCentered="1" verticalCentered="1"/>
  <pageMargins left="0.9" right="0.4" top="0.3" bottom="0.3" header="0" footer="0"/>
  <pageSetup scale="66" orientation="portrait" r:id="rId15"/>
  <headerFooter alignWithMargins="0"/>
  <customProperties>
    <customPr name="_pios_id" r:id="rId16"/>
  </customProperties>
</worksheet>
</file>

<file path=xl/worksheets/sheet36.xml><?xml version="1.0" encoding="utf-8"?>
<worksheet xmlns="http://schemas.openxmlformats.org/spreadsheetml/2006/main" xmlns:r="http://schemas.openxmlformats.org/officeDocument/2006/relationships">
  <sheetPr transitionEvaluation="1" codeName="Sheet36" enableFormatConditionsCalculation="0">
    <pageSetUpPr fitToPage="1"/>
  </sheetPr>
  <dimension ref="A1:E125"/>
  <sheetViews>
    <sheetView defaultGridColor="0" colorId="22" zoomScale="75" zoomScaleNormal="75" zoomScaleSheetLayoutView="70" workbookViewId="0"/>
  </sheetViews>
  <sheetFormatPr defaultColWidth="9.77734375" defaultRowHeight="15"/>
  <cols>
    <col min="1" max="1" width="4.77734375" customWidth="1"/>
    <col min="2" max="2" width="35.77734375" customWidth="1"/>
    <col min="3" max="3" width="20.77734375" customWidth="1"/>
    <col min="4" max="4" width="22.33203125" customWidth="1"/>
    <col min="5" max="5" width="23.5546875" customWidth="1"/>
  </cols>
  <sheetData>
    <row r="1" spans="1:5" ht="15.75" thickBot="1">
      <c r="A1" s="186" t="str">
        <f>'Data sheet'!$A$61</f>
        <v>Annual Report of New York American Water Company, Inc. (f/k/a Long Island Water Corp)                                    Year Ended  December 31, 2013</v>
      </c>
      <c r="D1" s="1633"/>
      <c r="E1" s="1633"/>
    </row>
    <row r="2" spans="1:5">
      <c r="A2" s="142"/>
      <c r="B2" s="143"/>
      <c r="C2" s="143"/>
      <c r="D2" s="143"/>
      <c r="E2" s="144"/>
    </row>
    <row r="3" spans="1:5" ht="15.75">
      <c r="A3" s="130" t="s">
        <v>1351</v>
      </c>
      <c r="B3" s="94"/>
      <c r="C3" s="94"/>
      <c r="D3" s="94"/>
      <c r="E3" s="95"/>
    </row>
    <row r="4" spans="1:5">
      <c r="A4" s="108"/>
      <c r="B4" s="109"/>
      <c r="C4" s="109"/>
      <c r="D4" s="141"/>
      <c r="E4" s="294"/>
    </row>
    <row r="5" spans="1:5">
      <c r="A5" s="405" t="s">
        <v>1352</v>
      </c>
      <c r="B5" s="406"/>
      <c r="C5" s="406"/>
      <c r="D5" s="406"/>
      <c r="E5" s="407"/>
    </row>
    <row r="6" spans="1:5">
      <c r="A6" s="405" t="s">
        <v>1328</v>
      </c>
      <c r="B6" s="406"/>
      <c r="C6" s="406"/>
      <c r="D6" s="406"/>
      <c r="E6" s="407"/>
    </row>
    <row r="7" spans="1:5">
      <c r="A7" s="405" t="s">
        <v>1353</v>
      </c>
      <c r="B7" s="406"/>
      <c r="C7" s="406"/>
      <c r="D7" s="406"/>
      <c r="E7" s="407"/>
    </row>
    <row r="8" spans="1:5">
      <c r="A8" s="96"/>
      <c r="B8" s="97"/>
      <c r="C8" s="97"/>
      <c r="D8" s="97"/>
      <c r="E8" s="98"/>
    </row>
    <row r="9" spans="1:5">
      <c r="A9" s="99"/>
      <c r="B9" s="150"/>
      <c r="C9" s="101"/>
      <c r="D9" s="101"/>
      <c r="E9" s="633" t="s">
        <v>1062</v>
      </c>
    </row>
    <row r="10" spans="1:5">
      <c r="A10" s="121" t="s">
        <v>1129</v>
      </c>
      <c r="B10" s="147" t="s">
        <v>1354</v>
      </c>
      <c r="C10" s="131"/>
      <c r="D10" s="128"/>
      <c r="E10" s="410" t="s">
        <v>2423</v>
      </c>
    </row>
    <row r="11" spans="1:5">
      <c r="A11" s="411" t="s">
        <v>3324</v>
      </c>
      <c r="B11" s="412" t="s">
        <v>4032</v>
      </c>
      <c r="C11" s="131"/>
      <c r="D11" s="146"/>
      <c r="E11" s="414" t="s">
        <v>4033</v>
      </c>
    </row>
    <row r="12" spans="1:5">
      <c r="A12" s="520">
        <v>1</v>
      </c>
      <c r="B12" s="101" t="s">
        <v>177</v>
      </c>
      <c r="C12" s="101"/>
      <c r="D12" s="101"/>
      <c r="E12" s="546"/>
    </row>
    <row r="13" spans="1:5">
      <c r="A13" s="444">
        <v>2</v>
      </c>
      <c r="B13" s="97"/>
      <c r="C13" s="97"/>
      <c r="D13" s="97"/>
      <c r="E13" s="479"/>
    </row>
    <row r="14" spans="1:5">
      <c r="A14" s="444">
        <v>3</v>
      </c>
      <c r="B14" s="97"/>
      <c r="C14" s="97"/>
      <c r="D14" s="97"/>
      <c r="E14" s="479"/>
    </row>
    <row r="15" spans="1:5">
      <c r="A15" s="444">
        <v>4</v>
      </c>
      <c r="B15" s="97"/>
      <c r="C15" s="97"/>
      <c r="D15" s="97"/>
      <c r="E15" s="479"/>
    </row>
    <row r="16" spans="1:5">
      <c r="A16" s="444">
        <v>5</v>
      </c>
      <c r="B16" s="97"/>
      <c r="C16" s="97"/>
      <c r="D16" s="97"/>
      <c r="E16" s="479"/>
    </row>
    <row r="17" spans="1:5">
      <c r="A17" s="444">
        <v>6</v>
      </c>
      <c r="B17" s="97"/>
      <c r="C17" s="97"/>
      <c r="D17" s="97"/>
      <c r="E17" s="479"/>
    </row>
    <row r="18" spans="1:5">
      <c r="A18" s="444">
        <v>7</v>
      </c>
      <c r="B18" s="97"/>
      <c r="C18" s="97"/>
      <c r="D18" s="97"/>
      <c r="E18" s="479"/>
    </row>
    <row r="19" spans="1:5">
      <c r="A19" s="444">
        <v>8</v>
      </c>
      <c r="B19" s="97"/>
      <c r="C19" s="97"/>
      <c r="D19" s="97"/>
      <c r="E19" s="479"/>
    </row>
    <row r="20" spans="1:5">
      <c r="A20" s="444">
        <v>9</v>
      </c>
      <c r="B20" s="97"/>
      <c r="C20" s="97"/>
      <c r="D20" s="97"/>
      <c r="E20" s="479"/>
    </row>
    <row r="21" spans="1:5">
      <c r="A21" s="444">
        <v>10</v>
      </c>
      <c r="B21" s="97"/>
      <c r="C21" s="97"/>
      <c r="D21" s="97"/>
      <c r="E21" s="479"/>
    </row>
    <row r="22" spans="1:5">
      <c r="A22" s="444">
        <v>11</v>
      </c>
      <c r="B22" s="97"/>
      <c r="C22" s="97"/>
      <c r="D22" s="97"/>
      <c r="E22" s="479"/>
    </row>
    <row r="23" spans="1:5">
      <c r="A23" s="444">
        <v>12</v>
      </c>
      <c r="B23" s="97"/>
      <c r="C23" s="97"/>
      <c r="D23" s="97"/>
      <c r="E23" s="479"/>
    </row>
    <row r="24" spans="1:5">
      <c r="A24" s="444">
        <v>13</v>
      </c>
      <c r="B24" s="97"/>
      <c r="C24" s="97"/>
      <c r="D24" s="97"/>
      <c r="E24" s="479"/>
    </row>
    <row r="25" spans="1:5">
      <c r="A25" s="444">
        <v>14</v>
      </c>
      <c r="B25" s="97"/>
      <c r="C25" s="97"/>
      <c r="D25" s="97"/>
      <c r="E25" s="479"/>
    </row>
    <row r="26" spans="1:5">
      <c r="A26" s="444">
        <v>15</v>
      </c>
      <c r="B26" s="97"/>
      <c r="C26" s="97"/>
      <c r="D26" s="97"/>
      <c r="E26" s="479"/>
    </row>
    <row r="27" spans="1:5">
      <c r="A27" s="444">
        <v>16</v>
      </c>
      <c r="B27" s="97"/>
      <c r="C27" s="97"/>
      <c r="D27" s="97"/>
      <c r="E27" s="479"/>
    </row>
    <row r="28" spans="1:5">
      <c r="A28" s="444">
        <v>17</v>
      </c>
      <c r="B28" s="97"/>
      <c r="C28" s="97"/>
      <c r="D28" s="97"/>
      <c r="E28" s="479"/>
    </row>
    <row r="29" spans="1:5">
      <c r="A29" s="444">
        <v>18</v>
      </c>
      <c r="B29" s="97"/>
      <c r="C29" s="97"/>
      <c r="D29" s="97"/>
      <c r="E29" s="479"/>
    </row>
    <row r="30" spans="1:5">
      <c r="A30" s="444">
        <v>19</v>
      </c>
      <c r="B30" s="97"/>
      <c r="C30" s="97"/>
      <c r="D30" s="97"/>
      <c r="E30" s="479"/>
    </row>
    <row r="31" spans="1:5">
      <c r="A31" s="444">
        <v>20</v>
      </c>
      <c r="B31" s="97"/>
      <c r="C31" s="97"/>
      <c r="D31" s="97"/>
      <c r="E31" s="479"/>
    </row>
    <row r="32" spans="1:5">
      <c r="A32" s="444">
        <v>21</v>
      </c>
      <c r="B32" s="160"/>
      <c r="C32" s="97"/>
      <c r="D32" s="97"/>
      <c r="E32" s="478"/>
    </row>
    <row r="33" spans="1:5">
      <c r="A33" s="444">
        <v>22</v>
      </c>
      <c r="B33" s="160"/>
      <c r="C33" s="97"/>
      <c r="D33" s="97"/>
      <c r="E33" s="479"/>
    </row>
    <row r="34" spans="1:5">
      <c r="A34" s="444">
        <v>23</v>
      </c>
      <c r="B34" s="160"/>
      <c r="C34" s="97"/>
      <c r="D34" s="97"/>
      <c r="E34" s="479"/>
    </row>
    <row r="35" spans="1:5">
      <c r="A35" s="444">
        <v>24</v>
      </c>
      <c r="B35" s="160"/>
      <c r="C35" s="97"/>
      <c r="D35" s="97"/>
      <c r="E35" s="479"/>
    </row>
    <row r="36" spans="1:5">
      <c r="A36" s="444">
        <v>25</v>
      </c>
      <c r="B36" s="160"/>
      <c r="C36" s="97"/>
      <c r="D36" s="97"/>
      <c r="E36" s="479"/>
    </row>
    <row r="37" spans="1:5">
      <c r="A37" s="444">
        <v>26</v>
      </c>
      <c r="B37" s="160"/>
      <c r="C37" s="97"/>
      <c r="D37" s="97"/>
      <c r="E37" s="479"/>
    </row>
    <row r="38" spans="1:5">
      <c r="A38" s="444">
        <v>27</v>
      </c>
      <c r="B38" s="160"/>
      <c r="C38" s="97"/>
      <c r="D38" s="97"/>
      <c r="E38" s="479"/>
    </row>
    <row r="39" spans="1:5">
      <c r="A39" s="444">
        <v>28</v>
      </c>
      <c r="B39" s="160"/>
      <c r="C39" s="97"/>
      <c r="D39" s="97"/>
      <c r="E39" s="479"/>
    </row>
    <row r="40" spans="1:5">
      <c r="A40" s="444">
        <v>29</v>
      </c>
      <c r="B40" s="160"/>
      <c r="C40" s="97"/>
      <c r="D40" s="97"/>
      <c r="E40" s="479"/>
    </row>
    <row r="41" spans="1:5">
      <c r="A41" s="444">
        <v>30</v>
      </c>
      <c r="B41" s="160"/>
      <c r="C41" s="97"/>
      <c r="D41" s="97"/>
      <c r="E41" s="479"/>
    </row>
    <row r="42" spans="1:5">
      <c r="A42" s="444">
        <v>31</v>
      </c>
      <c r="B42" s="160"/>
      <c r="C42" s="97"/>
      <c r="D42" s="97"/>
      <c r="E42" s="479"/>
    </row>
    <row r="43" spans="1:5">
      <c r="A43" s="444">
        <v>32</v>
      </c>
      <c r="B43" s="160"/>
      <c r="C43" s="97"/>
      <c r="D43" s="97"/>
      <c r="E43" s="479"/>
    </row>
    <row r="44" spans="1:5">
      <c r="A44" s="444">
        <v>33</v>
      </c>
      <c r="B44" s="160"/>
      <c r="C44" s="97"/>
      <c r="D44" s="97"/>
      <c r="E44" s="479"/>
    </row>
    <row r="45" spans="1:5">
      <c r="A45" s="444">
        <v>34</v>
      </c>
      <c r="B45" s="160"/>
      <c r="C45" s="97"/>
      <c r="D45" s="97"/>
      <c r="E45" s="479"/>
    </row>
    <row r="46" spans="1:5">
      <c r="A46" s="444">
        <v>35</v>
      </c>
      <c r="B46" s="160"/>
      <c r="C46" s="97"/>
      <c r="D46" s="97"/>
      <c r="E46" s="479"/>
    </row>
    <row r="47" spans="1:5">
      <c r="A47" s="444">
        <v>31</v>
      </c>
      <c r="B47" s="160"/>
      <c r="C47" s="97"/>
      <c r="D47" s="97"/>
      <c r="E47" s="479"/>
    </row>
    <row r="48" spans="1:5">
      <c r="A48" s="444">
        <v>32</v>
      </c>
      <c r="B48" s="160"/>
      <c r="C48" s="97"/>
      <c r="D48" s="97"/>
      <c r="E48" s="479"/>
    </row>
    <row r="49" spans="1:5">
      <c r="A49" s="444">
        <v>33</v>
      </c>
      <c r="B49" s="160"/>
      <c r="C49" s="97"/>
      <c r="D49" s="97"/>
      <c r="E49" s="479"/>
    </row>
    <row r="50" spans="1:5">
      <c r="A50" s="444">
        <v>34</v>
      </c>
      <c r="B50" s="160"/>
      <c r="C50" s="97"/>
      <c r="D50" s="97"/>
      <c r="E50" s="479"/>
    </row>
    <row r="51" spans="1:5">
      <c r="A51" s="444">
        <v>35</v>
      </c>
      <c r="B51" s="160"/>
      <c r="C51" s="97"/>
      <c r="D51" s="97"/>
      <c r="E51" s="479"/>
    </row>
    <row r="52" spans="1:5">
      <c r="A52" s="444">
        <v>36</v>
      </c>
      <c r="B52" s="160"/>
      <c r="C52" s="97"/>
      <c r="D52" s="97"/>
      <c r="E52" s="479"/>
    </row>
    <row r="53" spans="1:5">
      <c r="A53" s="444">
        <v>32</v>
      </c>
      <c r="B53" s="160"/>
      <c r="C53" s="97"/>
      <c r="D53" s="97"/>
      <c r="E53" s="479"/>
    </row>
    <row r="54" spans="1:5">
      <c r="A54" s="444">
        <v>33</v>
      </c>
      <c r="B54" s="160"/>
      <c r="C54" s="97"/>
      <c r="D54" s="97"/>
      <c r="E54" s="479"/>
    </row>
    <row r="55" spans="1:5">
      <c r="A55" s="444">
        <v>34</v>
      </c>
      <c r="B55" s="160"/>
      <c r="C55" s="97"/>
      <c r="D55" s="97"/>
      <c r="E55" s="479"/>
    </row>
    <row r="56" spans="1:5">
      <c r="A56" s="444">
        <v>35</v>
      </c>
      <c r="B56" s="160"/>
      <c r="C56" s="97"/>
      <c r="D56" s="97"/>
      <c r="E56" s="479"/>
    </row>
    <row r="57" spans="1:5">
      <c r="A57" s="444">
        <v>36</v>
      </c>
      <c r="B57" s="160"/>
      <c r="C57" s="97"/>
      <c r="D57" s="97"/>
      <c r="E57" s="479"/>
    </row>
    <row r="58" spans="1:5" ht="15.75" thickBot="1">
      <c r="A58" s="480">
        <v>37</v>
      </c>
      <c r="B58" s="634" t="s">
        <v>1135</v>
      </c>
      <c r="C58" s="527"/>
      <c r="D58" s="527"/>
      <c r="E58" s="439">
        <f>SUM(E12:E57)</f>
        <v>0</v>
      </c>
    </row>
    <row r="59" spans="1:5">
      <c r="A59" s="97" t="s">
        <v>4066</v>
      </c>
      <c r="B59" s="97"/>
      <c r="C59" s="97"/>
      <c r="D59" s="97"/>
      <c r="E59" s="97"/>
    </row>
    <row r="60" spans="1:5">
      <c r="A60" s="128" t="s">
        <v>1355</v>
      </c>
      <c r="B60" s="128"/>
      <c r="C60" s="128"/>
      <c r="D60" s="128"/>
      <c r="E60" s="443"/>
    </row>
    <row r="61" spans="1:5">
      <c r="A61" s="128"/>
      <c r="B61" s="128"/>
      <c r="C61" s="128"/>
      <c r="D61" s="128"/>
      <c r="E61" s="443"/>
    </row>
    <row r="62" spans="1:5">
      <c r="A62" s="128"/>
      <c r="B62" s="128"/>
      <c r="C62" s="128"/>
      <c r="D62" s="128"/>
      <c r="E62" s="443"/>
    </row>
    <row r="63" spans="1:5">
      <c r="A63" s="128"/>
      <c r="B63" s="128"/>
      <c r="C63" s="128"/>
      <c r="D63" s="128"/>
      <c r="E63" s="443"/>
    </row>
    <row r="64" spans="1:5">
      <c r="A64" s="128"/>
      <c r="B64" s="128"/>
      <c r="C64" s="128"/>
      <c r="D64" s="128"/>
      <c r="E64" s="443"/>
    </row>
    <row r="65" spans="1:5">
      <c r="A65" s="128"/>
      <c r="B65" s="128"/>
      <c r="C65" s="128"/>
      <c r="D65" s="128"/>
      <c r="E65" s="443"/>
    </row>
    <row r="66" spans="1:5">
      <c r="A66" s="128"/>
      <c r="B66" s="128"/>
      <c r="C66" s="128"/>
      <c r="D66" s="128"/>
      <c r="E66" s="443"/>
    </row>
    <row r="67" spans="1:5">
      <c r="A67" s="11"/>
      <c r="B67" s="97"/>
      <c r="C67" s="11"/>
      <c r="D67" s="97"/>
      <c r="E67" s="97"/>
    </row>
    <row r="68" spans="1:5">
      <c r="A68" s="97"/>
      <c r="B68" s="97"/>
      <c r="C68" s="97"/>
      <c r="D68" s="97"/>
      <c r="E68" s="97"/>
    </row>
    <row r="69" spans="1:5">
      <c r="A69" s="97"/>
      <c r="B69" s="97"/>
      <c r="C69" s="97"/>
      <c r="D69" s="97"/>
      <c r="E69" s="97"/>
    </row>
    <row r="70" spans="1:5">
      <c r="A70" s="97"/>
      <c r="B70" s="97"/>
      <c r="C70" s="97"/>
      <c r="D70" s="97"/>
      <c r="E70" s="97"/>
    </row>
    <row r="71" spans="1:5">
      <c r="A71" s="97"/>
      <c r="B71" s="97"/>
      <c r="C71" s="97"/>
      <c r="D71" s="97"/>
      <c r="E71" s="97"/>
    </row>
    <row r="72" spans="1:5">
      <c r="A72" s="97"/>
      <c r="B72" s="97"/>
      <c r="C72" s="97"/>
      <c r="D72" s="97"/>
      <c r="E72" s="97"/>
    </row>
    <row r="73" spans="1:5">
      <c r="A73" s="97"/>
      <c r="B73" s="97"/>
      <c r="C73" s="97"/>
      <c r="D73" s="97"/>
      <c r="E73" s="97"/>
    </row>
    <row r="74" spans="1:5">
      <c r="A74" s="97"/>
      <c r="B74" s="97"/>
      <c r="C74" s="97"/>
      <c r="D74" s="97"/>
      <c r="E74" s="97"/>
    </row>
    <row r="75" spans="1:5">
      <c r="A75" s="97"/>
      <c r="B75" s="97"/>
      <c r="C75" s="97"/>
      <c r="D75" s="97"/>
      <c r="E75" s="97"/>
    </row>
    <row r="76" spans="1:5">
      <c r="A76" s="97"/>
      <c r="B76" s="97"/>
      <c r="C76" s="97"/>
      <c r="D76" s="97"/>
      <c r="E76" s="97"/>
    </row>
    <row r="77" spans="1:5">
      <c r="A77" s="97"/>
      <c r="B77" s="97"/>
      <c r="C77" s="97"/>
      <c r="D77" s="97"/>
      <c r="E77" s="97"/>
    </row>
    <row r="78" spans="1:5">
      <c r="A78" s="97"/>
      <c r="B78" s="97"/>
      <c r="C78" s="97"/>
      <c r="D78" s="97"/>
      <c r="E78" s="97"/>
    </row>
    <row r="79" spans="1:5">
      <c r="A79" s="97"/>
      <c r="B79" s="97"/>
      <c r="C79" s="97"/>
      <c r="D79" s="97"/>
      <c r="E79" s="97"/>
    </row>
    <row r="98" spans="1:5">
      <c r="A98" s="97"/>
      <c r="B98" s="97"/>
      <c r="C98" s="97"/>
      <c r="D98" s="97"/>
      <c r="E98" s="97"/>
    </row>
    <row r="99" spans="1:5">
      <c r="A99" s="97"/>
      <c r="B99" s="97"/>
      <c r="C99" s="97"/>
      <c r="D99" s="97"/>
      <c r="E99" s="97"/>
    </row>
    <row r="100" spans="1:5">
      <c r="A100" s="97"/>
      <c r="B100" s="97"/>
      <c r="C100" s="97"/>
      <c r="D100" s="97"/>
      <c r="E100" s="97"/>
    </row>
    <row r="101" spans="1:5">
      <c r="A101" s="97"/>
      <c r="B101" s="97"/>
      <c r="C101" s="97"/>
      <c r="D101" s="97"/>
      <c r="E101" s="97"/>
    </row>
    <row r="102" spans="1:5">
      <c r="A102" s="97"/>
      <c r="B102" s="97"/>
      <c r="C102" s="97"/>
      <c r="D102" s="97"/>
      <c r="E102" s="97"/>
    </row>
    <row r="103" spans="1:5">
      <c r="A103" s="97"/>
      <c r="B103" s="97"/>
      <c r="C103" s="97"/>
      <c r="D103" s="97"/>
      <c r="E103" s="97"/>
    </row>
    <row r="104" spans="1:5">
      <c r="A104" s="97"/>
      <c r="B104" s="97"/>
      <c r="C104" s="97"/>
      <c r="D104" s="97"/>
      <c r="E104" s="97"/>
    </row>
    <row r="105" spans="1:5">
      <c r="A105" s="97"/>
      <c r="B105" s="97"/>
      <c r="C105" s="97"/>
      <c r="D105" s="97"/>
      <c r="E105" s="97"/>
    </row>
    <row r="106" spans="1:5">
      <c r="A106" s="97"/>
      <c r="B106" s="97"/>
      <c r="C106" s="97"/>
      <c r="D106" s="97"/>
      <c r="E106" s="97"/>
    </row>
    <row r="107" spans="1:5">
      <c r="A107" s="97"/>
      <c r="B107" s="97"/>
      <c r="C107" s="97"/>
      <c r="D107" s="97"/>
      <c r="E107" s="97"/>
    </row>
    <row r="108" spans="1:5">
      <c r="A108" s="97"/>
      <c r="B108" s="97"/>
      <c r="C108" s="97"/>
      <c r="D108" s="97"/>
      <c r="E108" s="97"/>
    </row>
    <row r="109" spans="1:5">
      <c r="A109" s="97"/>
      <c r="B109" s="97"/>
      <c r="C109" s="97"/>
      <c r="D109" s="97"/>
      <c r="E109" s="97"/>
    </row>
    <row r="110" spans="1:5">
      <c r="A110" s="97"/>
      <c r="B110" s="97"/>
      <c r="C110" s="97"/>
      <c r="D110" s="97"/>
      <c r="E110" s="97"/>
    </row>
    <row r="111" spans="1:5">
      <c r="A111" s="97"/>
      <c r="B111" s="97"/>
      <c r="C111" s="97"/>
      <c r="D111" s="97"/>
      <c r="E111" s="97"/>
    </row>
    <row r="112" spans="1:5">
      <c r="A112" s="97"/>
      <c r="B112" s="97"/>
      <c r="C112" s="97"/>
      <c r="D112" s="97"/>
      <c r="E112" s="97"/>
    </row>
    <row r="113" spans="1:5">
      <c r="A113" s="97"/>
      <c r="B113" s="97"/>
      <c r="C113" s="97"/>
      <c r="D113" s="97"/>
      <c r="E113" s="97"/>
    </row>
    <row r="114" spans="1:5">
      <c r="A114" s="97"/>
      <c r="B114" s="97"/>
      <c r="C114" s="97"/>
      <c r="D114" s="97"/>
      <c r="E114" s="97"/>
    </row>
    <row r="115" spans="1:5">
      <c r="A115" s="97"/>
      <c r="B115" s="97"/>
      <c r="C115" s="97"/>
      <c r="D115" s="97"/>
      <c r="E115" s="97"/>
    </row>
    <row r="116" spans="1:5">
      <c r="A116" s="97"/>
      <c r="B116" s="97"/>
      <c r="C116" s="97"/>
      <c r="D116" s="97"/>
      <c r="E116" s="97"/>
    </row>
    <row r="117" spans="1:5">
      <c r="A117" s="97"/>
      <c r="B117" s="97"/>
      <c r="C117" s="97"/>
      <c r="D117" s="97"/>
      <c r="E117" s="97"/>
    </row>
    <row r="118" spans="1:5">
      <c r="A118" s="97"/>
      <c r="B118" s="97"/>
      <c r="C118" s="97"/>
      <c r="D118" s="97"/>
      <c r="E118" s="97"/>
    </row>
    <row r="119" spans="1:5">
      <c r="A119" s="97"/>
      <c r="B119" s="97"/>
      <c r="C119" s="97"/>
      <c r="D119" s="97"/>
      <c r="E119" s="97"/>
    </row>
    <row r="120" spans="1:5">
      <c r="A120" s="97"/>
      <c r="B120" s="97"/>
      <c r="C120" s="97"/>
      <c r="D120" s="97"/>
      <c r="E120" s="97"/>
    </row>
    <row r="121" spans="1:5">
      <c r="A121" s="97"/>
      <c r="B121" s="97"/>
      <c r="C121" s="97"/>
      <c r="D121" s="97"/>
      <c r="E121" s="97"/>
    </row>
    <row r="122" spans="1:5">
      <c r="A122" s="97"/>
      <c r="B122" s="97"/>
      <c r="C122" s="97"/>
      <c r="D122" s="97"/>
      <c r="E122" s="97"/>
    </row>
    <row r="123" spans="1:5">
      <c r="A123" s="97"/>
      <c r="B123" s="97"/>
      <c r="C123" s="97"/>
      <c r="D123" s="97"/>
      <c r="E123" s="97"/>
    </row>
    <row r="124" spans="1:5">
      <c r="A124" s="97"/>
      <c r="B124" s="97"/>
      <c r="C124" s="97"/>
      <c r="D124" s="97"/>
      <c r="E124" s="97"/>
    </row>
    <row r="125" spans="1:5">
      <c r="A125" s="97"/>
      <c r="B125" s="97"/>
      <c r="C125" s="97"/>
      <c r="D125" s="97"/>
      <c r="E125" s="97"/>
    </row>
  </sheetData>
  <customSheetViews>
    <customSheetView guid="{1BA452AD-1A45-4D9C-9666-ADFFA6F2F567}" scale="60" colorId="22" showPageBreaks="1" fitToPage="1" printArea="1" view="pageBreakPreview">
      <selection activeCell="A76" sqref="A76"/>
      <pageMargins left="0.75" right="0.25" top="0.25" bottom="0.25" header="0" footer="0"/>
      <printOptions horizontalCentered="1" verticalCentered="1"/>
      <pageSetup scale="74" orientation="portrait" r:id="rId1"/>
      <headerFooter alignWithMargins="0"/>
    </customSheetView>
    <customSheetView guid="{EEF7ABD6-0F96-4791-B749-C06F707E7673}" scale="60" colorId="22" showPageBreaks="1" fitToPage="1" printArea="1" view="pageBreakPreview" showRuler="0">
      <selection activeCell="B14" sqref="B14"/>
      <pageMargins left="0.75" right="0.25" top="0.25" bottom="0.25" header="0" footer="0"/>
      <printOptions horizontalCentered="1" verticalCentered="1"/>
      <pageSetup scale="74" orientation="portrait" r:id="rId2"/>
      <headerFooter alignWithMargins="0"/>
    </customSheetView>
    <customSheetView guid="{A7D7DB3C-AFE6-468E-8C6B-9531F6711497}" scale="60" colorId="22" showPageBreaks="1" fitToPage="1" printArea="1" view="pageBreakPreview" showRuler="0">
      <selection activeCell="H5" sqref="H5"/>
      <pageMargins left="0.75" right="0.25" top="0.25" bottom="0.25" header="0" footer="0"/>
      <printOptions horizontalCentered="1" verticalCentered="1"/>
      <pageSetup scale="74" orientation="portrait" r:id="rId3"/>
      <headerFooter alignWithMargins="0"/>
    </customSheetView>
    <customSheetView guid="{4436FEB5-BFEC-4348-9286-CB706802873E}" scale="60" colorId="22" showPageBreaks="1" fitToPage="1" printArea="1" view="pageBreakPreview" showRuler="0">
      <selection activeCell="H5" sqref="H5"/>
      <pageMargins left="0.75" right="0.25" top="0.25" bottom="0.25" header="0" footer="0"/>
      <printOptions horizontalCentered="1" verticalCentered="1"/>
      <pageSetup scale="74" orientation="portrait" r:id="rId4"/>
      <headerFooter alignWithMargins="0"/>
    </customSheetView>
    <customSheetView guid="{044CF00C-469F-44B3-B2C4-9B4049CE70CB}" scale="75" colorId="22" fitToPage="1" showRuler="0">
      <selection activeCell="A2" sqref="A2"/>
      <pageMargins left="0.75" right="0.25" top="0.25" bottom="0.25" header="0" footer="0"/>
      <printOptions horizontalCentered="1" verticalCentered="1"/>
      <pageSetup scale="74" orientation="portrait" r:id="rId5"/>
      <headerFooter alignWithMargins="0"/>
    </customSheetView>
    <customSheetView guid="{4826FCC0-BDD6-4B2C-ACC6-ACE271DDF0E3}" scale="60" colorId="22" showPageBreaks="1" fitToPage="1" printArea="1" view="pageBreakPreview" showRuler="0">
      <selection activeCell="B14" sqref="B14"/>
      <pageMargins left="0.75" right="0.25" top="0.25" bottom="0.25" header="0" footer="0"/>
      <printOptions horizontalCentered="1" verticalCentered="1"/>
      <pageSetup scale="74" orientation="portrait" r:id="rId6"/>
      <headerFooter alignWithMargins="0"/>
    </customSheetView>
    <customSheetView guid="{EF376D10-23D6-4FE2-AB5B-4460D52CC93F}" scale="60" colorId="22" showPageBreaks="1" fitToPage="1" printArea="1" view="pageBreakPreview" showRuler="0">
      <selection activeCell="B14" sqref="B14"/>
      <pageMargins left="0.75" right="0.25" top="0.25" bottom="0.25" header="0" footer="0"/>
      <printOptions horizontalCentered="1" verticalCentered="1"/>
      <pageSetup scale="74" orientation="portrait" r:id="rId7"/>
      <headerFooter alignWithMargins="0"/>
    </customSheetView>
    <customSheetView guid="{1C046605-15CE-44F1-BFCD-2CA8588E7ACF}" scale="60" colorId="22" showPageBreaks="1" fitToPage="1" printArea="1" view="pageBreakPreview" showRuler="0">
      <selection activeCell="B14" sqref="B14"/>
      <pageMargins left="0.75" right="0.25" top="0.25" bottom="0.25" header="0" footer="0"/>
      <printOptions horizontalCentered="1" verticalCentered="1"/>
      <pageSetup scale="74" orientation="portrait" r:id="rId8"/>
      <headerFooter alignWithMargins="0"/>
    </customSheetView>
    <customSheetView guid="{3911D713-188C-46A1-A299-F21DD3B7A146}" scale="60" colorId="22" showPageBreaks="1" fitToPage="1" printArea="1" view="pageBreakPreview" showRuler="0">
      <selection activeCell="B14" sqref="B14"/>
      <pageMargins left="0.75" right="0.25" top="0.25" bottom="0.25" header="0" footer="0"/>
      <printOptions horizontalCentered="1" verticalCentered="1"/>
      <pageSetup scale="74" orientation="portrait" r:id="rId9"/>
      <headerFooter alignWithMargins="0"/>
    </customSheetView>
    <customSheetView guid="{78BB1E60-60BE-4F56-9763-075185EFEFAB}" scale="60" colorId="22" showPageBreaks="1" fitToPage="1" printArea="1" view="pageBreakPreview">
      <selection activeCell="A76" sqref="A76"/>
      <pageMargins left="0.75" right="0.25" top="0.25" bottom="0.25" header="0" footer="0"/>
      <printOptions horizontalCentered="1" verticalCentered="1"/>
      <pageSetup scale="74" orientation="portrait" r:id="rId10"/>
      <headerFooter alignWithMargins="0"/>
    </customSheetView>
    <customSheetView guid="{9C30803E-1E2D-4850-B0A5-591CA6F246A1}" scale="60" colorId="22" showPageBreaks="1" fitToPage="1" printArea="1" view="pageBreakPreview">
      <selection activeCell="A76" sqref="A76"/>
      <pageMargins left="0.75" right="0.25" top="0.25" bottom="0.25" header="0" footer="0"/>
      <printOptions horizontalCentered="1" verticalCentered="1"/>
      <pageSetup scale="74" orientation="portrait" r:id="rId11"/>
      <headerFooter alignWithMargins="0"/>
    </customSheetView>
    <customSheetView guid="{3B1006FF-A2CA-49E7-9B25-DAC8815279AF}" scale="60" colorId="22" showPageBreaks="1" fitToPage="1" printArea="1" view="pageBreakPreview">
      <selection activeCell="A76" sqref="A76"/>
      <pageMargins left="0.75" right="0.25" top="0.25" bottom="0.25" header="0" footer="0"/>
      <printOptions horizontalCentered="1" verticalCentered="1"/>
      <pageSetup scale="74" orientation="portrait" r:id="rId12"/>
      <headerFooter alignWithMargins="0"/>
    </customSheetView>
    <customSheetView guid="{FB1A60C8-E1F9-4DF0-8E0E-1C965F86027F}" scale="60" colorId="22" showPageBreaks="1" fitToPage="1" printArea="1" view="pageBreakPreview">
      <selection activeCell="A76" sqref="A76"/>
      <pageMargins left="0.75" right="0.25" top="0.25" bottom="0.25" header="0" footer="0"/>
      <printOptions horizontalCentered="1" verticalCentered="1"/>
      <pageSetup scale="74" orientation="portrait" r:id="rId13"/>
      <headerFooter alignWithMargins="0"/>
    </customSheetView>
    <customSheetView guid="{C5B6D812-CBE6-46AA-99F7-02494E9802B4}" scale="70" colorId="22" showPageBreaks="1" fitToPage="1" printArea="1" view="pageBreakPreview" topLeftCell="A5">
      <selection activeCell="C10" sqref="C10"/>
      <pageMargins left="0.75" right="0.25" top="0.25" bottom="0.25" header="0" footer="0"/>
      <printOptions horizontalCentered="1" verticalCentered="1"/>
      <pageSetup scale="74" orientation="portrait" r:id="rId14"/>
      <headerFooter alignWithMargins="0"/>
    </customSheetView>
  </customSheetViews>
  <phoneticPr fontId="0" type="noConversion"/>
  <printOptions horizontalCentered="1" verticalCentered="1"/>
  <pageMargins left="0.75" right="0.25" top="0.25" bottom="0.25" header="0" footer="0"/>
  <pageSetup scale="74" orientation="portrait" r:id="rId15"/>
  <headerFooter alignWithMargins="0"/>
  <customProperties>
    <customPr name="_pios_id" r:id="rId16"/>
  </customProperties>
</worksheet>
</file>

<file path=xl/worksheets/sheet37.xml><?xml version="1.0" encoding="utf-8"?>
<worksheet xmlns="http://schemas.openxmlformats.org/spreadsheetml/2006/main" xmlns:r="http://schemas.openxmlformats.org/officeDocument/2006/relationships">
  <sheetPr transitionEvaluation="1" codeName="Sheet37" enableFormatConditionsCalculation="0">
    <pageSetUpPr fitToPage="1"/>
  </sheetPr>
  <dimension ref="A1:J84"/>
  <sheetViews>
    <sheetView defaultGridColor="0" colorId="22" zoomScale="75" zoomScaleNormal="75" zoomScaleSheetLayoutView="70" workbookViewId="0"/>
  </sheetViews>
  <sheetFormatPr defaultColWidth="9.77734375" defaultRowHeight="15"/>
  <cols>
    <col min="1" max="1" width="4.77734375" customWidth="1"/>
    <col min="2" max="2" width="33.77734375" customWidth="1"/>
    <col min="3" max="3" width="13.109375" bestFit="1" customWidth="1"/>
    <col min="4" max="4" width="16.109375" customWidth="1"/>
    <col min="5" max="5" width="14.44140625" customWidth="1"/>
    <col min="6" max="6" width="12.77734375" customWidth="1"/>
    <col min="7" max="7" width="18.77734375" customWidth="1"/>
    <col min="8" max="8" width="9.77734375" style="1626"/>
    <col min="9" max="9" width="14.6640625" customWidth="1"/>
  </cols>
  <sheetData>
    <row r="1" spans="1:9" ht="15.75" thickBot="1">
      <c r="A1" s="186" t="str">
        <f>'Data sheet'!$A$63</f>
        <v>Annual Report of New York American Water Company, Inc. (f/k/a Long Island Water Corp)                                    Year Ended  December 31, 2013</v>
      </c>
      <c r="E1" s="1633"/>
      <c r="F1" s="1672"/>
      <c r="G1" s="8"/>
    </row>
    <row r="2" spans="1:9">
      <c r="A2" s="232"/>
      <c r="B2" s="245"/>
      <c r="C2" s="245"/>
      <c r="D2" s="245"/>
      <c r="E2" s="245"/>
      <c r="F2" s="245"/>
      <c r="G2" s="234"/>
    </row>
    <row r="3" spans="1:9" ht="15.75">
      <c r="A3" s="235" t="s">
        <v>1356</v>
      </c>
      <c r="B3" s="6"/>
      <c r="C3" s="8"/>
      <c r="D3" s="8"/>
      <c r="E3" s="8"/>
      <c r="F3" s="8"/>
      <c r="G3" s="236"/>
    </row>
    <row r="4" spans="1:9">
      <c r="A4" s="240"/>
      <c r="G4" s="237"/>
    </row>
    <row r="5" spans="1:9">
      <c r="A5" s="635" t="s">
        <v>479</v>
      </c>
      <c r="B5" t="s">
        <v>547</v>
      </c>
      <c r="G5" s="237"/>
    </row>
    <row r="6" spans="1:9">
      <c r="A6" s="635" t="s">
        <v>2916</v>
      </c>
      <c r="B6" t="s">
        <v>548</v>
      </c>
      <c r="G6" s="237"/>
    </row>
    <row r="7" spans="1:9">
      <c r="A7" s="635" t="s">
        <v>3164</v>
      </c>
      <c r="B7" t="s">
        <v>549</v>
      </c>
      <c r="G7" s="237"/>
    </row>
    <row r="8" spans="1:9">
      <c r="A8" s="635" t="s">
        <v>2630</v>
      </c>
      <c r="B8" t="s">
        <v>2182</v>
      </c>
      <c r="G8" s="237"/>
    </row>
    <row r="9" spans="1:9">
      <c r="A9" s="635" t="s">
        <v>1075</v>
      </c>
      <c r="B9" t="s">
        <v>2183</v>
      </c>
      <c r="G9" s="237"/>
    </row>
    <row r="10" spans="1:9">
      <c r="A10" s="635" t="s">
        <v>520</v>
      </c>
      <c r="B10" t="s">
        <v>3693</v>
      </c>
      <c r="G10" s="237"/>
    </row>
    <row r="11" spans="1:9">
      <c r="A11" s="636"/>
      <c r="B11" s="249"/>
      <c r="C11" s="249"/>
      <c r="D11" s="249"/>
      <c r="E11" s="249"/>
      <c r="F11" s="249"/>
      <c r="G11" s="250"/>
    </row>
    <row r="12" spans="1:9">
      <c r="A12" s="635"/>
      <c r="B12" s="833" t="s">
        <v>3694</v>
      </c>
      <c r="C12" s="834" t="s">
        <v>3695</v>
      </c>
      <c r="E12" s="834" t="s">
        <v>3696</v>
      </c>
      <c r="F12" s="638" t="s">
        <v>3697</v>
      </c>
      <c r="G12" s="639"/>
    </row>
    <row r="13" spans="1:9">
      <c r="A13" s="635" t="s">
        <v>1129</v>
      </c>
      <c r="B13" s="833" t="s">
        <v>3698</v>
      </c>
      <c r="C13" s="834" t="s">
        <v>2393</v>
      </c>
      <c r="D13" s="643" t="s">
        <v>3699</v>
      </c>
      <c r="E13" s="834" t="s">
        <v>3700</v>
      </c>
      <c r="G13" s="640"/>
    </row>
    <row r="14" spans="1:9">
      <c r="A14" s="635" t="s">
        <v>3324</v>
      </c>
      <c r="B14" s="833" t="s">
        <v>3701</v>
      </c>
      <c r="C14" s="834" t="s">
        <v>3702</v>
      </c>
      <c r="D14" s="643" t="s">
        <v>3703</v>
      </c>
      <c r="E14" s="834" t="s">
        <v>2268</v>
      </c>
      <c r="F14" s="643" t="s">
        <v>3704</v>
      </c>
      <c r="G14" s="835" t="s">
        <v>3705</v>
      </c>
    </row>
    <row r="15" spans="1:9">
      <c r="A15" s="636"/>
      <c r="B15" s="788" t="s">
        <v>4032</v>
      </c>
      <c r="C15" s="836" t="s">
        <v>4033</v>
      </c>
      <c r="D15" s="791" t="s">
        <v>4034</v>
      </c>
      <c r="E15" s="836" t="s">
        <v>4035</v>
      </c>
      <c r="F15" s="791" t="s">
        <v>2277</v>
      </c>
      <c r="G15" s="792" t="s">
        <v>2278</v>
      </c>
    </row>
    <row r="16" spans="1:9">
      <c r="A16" s="635">
        <v>1</v>
      </c>
      <c r="B16" s="637" t="s">
        <v>3019</v>
      </c>
      <c r="C16" s="275"/>
      <c r="E16" s="2033"/>
      <c r="F16" s="2033"/>
      <c r="G16" s="2033"/>
      <c r="I16" s="1626"/>
    </row>
    <row r="17" spans="1:7">
      <c r="A17" s="635">
        <v>2</v>
      </c>
      <c r="B17" s="637"/>
      <c r="C17" s="275"/>
      <c r="E17" s="624"/>
      <c r="F17" s="1082"/>
      <c r="G17" s="1083"/>
    </row>
    <row r="18" spans="1:7">
      <c r="A18" s="635">
        <v>3</v>
      </c>
      <c r="B18" s="637"/>
      <c r="C18" s="275"/>
      <c r="E18" s="624"/>
      <c r="F18" s="158"/>
      <c r="G18" s="628"/>
    </row>
    <row r="19" spans="1:7">
      <c r="A19" s="635">
        <v>4</v>
      </c>
      <c r="B19" s="637"/>
      <c r="C19" s="275"/>
      <c r="E19" s="624"/>
      <c r="F19" s="158"/>
      <c r="G19" s="628"/>
    </row>
    <row r="20" spans="1:7">
      <c r="A20" s="635">
        <v>5</v>
      </c>
      <c r="B20" s="637"/>
      <c r="C20" s="275"/>
      <c r="E20" s="624"/>
      <c r="F20" s="158"/>
      <c r="G20" s="628"/>
    </row>
    <row r="21" spans="1:7">
      <c r="A21" s="635">
        <v>6</v>
      </c>
      <c r="B21" s="637"/>
      <c r="C21" s="275"/>
      <c r="E21" s="624"/>
      <c r="F21" s="158"/>
      <c r="G21" s="628"/>
    </row>
    <row r="22" spans="1:7">
      <c r="A22" s="635">
        <v>7</v>
      </c>
      <c r="B22" s="637"/>
      <c r="C22" s="275"/>
      <c r="E22" s="624"/>
      <c r="F22" s="158"/>
      <c r="G22" s="628"/>
    </row>
    <row r="23" spans="1:7">
      <c r="A23" s="635">
        <v>8</v>
      </c>
      <c r="B23" s="637"/>
      <c r="C23" s="275"/>
      <c r="E23" s="624"/>
      <c r="F23" s="158"/>
      <c r="G23" s="628"/>
    </row>
    <row r="24" spans="1:7">
      <c r="A24" s="635">
        <v>9</v>
      </c>
      <c r="B24" s="637"/>
      <c r="C24" s="275"/>
      <c r="E24" s="624"/>
      <c r="F24" s="158"/>
      <c r="G24" s="628"/>
    </row>
    <row r="25" spans="1:7">
      <c r="A25" s="635">
        <v>10</v>
      </c>
      <c r="B25" s="637"/>
      <c r="C25" s="275"/>
      <c r="E25" s="624"/>
      <c r="F25" s="158"/>
      <c r="G25" s="628"/>
    </row>
    <row r="26" spans="1:7">
      <c r="A26" s="635">
        <v>11</v>
      </c>
      <c r="B26" s="637"/>
      <c r="C26" s="275"/>
      <c r="E26" s="624"/>
      <c r="F26" s="158"/>
      <c r="G26" s="628"/>
    </row>
    <row r="27" spans="1:7">
      <c r="A27" s="635">
        <v>12</v>
      </c>
      <c r="B27" s="637"/>
      <c r="C27" s="275"/>
      <c r="E27" s="624"/>
      <c r="F27" s="158"/>
      <c r="G27" s="628"/>
    </row>
    <row r="28" spans="1:7">
      <c r="A28" s="635">
        <v>13</v>
      </c>
      <c r="B28" s="637"/>
      <c r="C28" s="275"/>
      <c r="E28" s="624"/>
      <c r="F28" s="158"/>
      <c r="G28" s="628"/>
    </row>
    <row r="29" spans="1:7">
      <c r="A29" s="635">
        <v>14</v>
      </c>
      <c r="B29" s="637"/>
      <c r="C29" s="275"/>
      <c r="E29" s="624"/>
      <c r="F29" s="158"/>
      <c r="G29" s="628"/>
    </row>
    <row r="30" spans="1:7">
      <c r="A30" s="635">
        <v>15</v>
      </c>
      <c r="B30" s="637"/>
      <c r="C30" s="275"/>
      <c r="E30" s="624"/>
      <c r="F30" s="158"/>
      <c r="G30" s="628"/>
    </row>
    <row r="31" spans="1:7">
      <c r="A31" s="635">
        <v>16</v>
      </c>
      <c r="B31" s="637"/>
      <c r="C31" s="275"/>
      <c r="E31" s="624"/>
      <c r="F31" s="158"/>
      <c r="G31" s="628"/>
    </row>
    <row r="32" spans="1:7">
      <c r="A32" s="635">
        <v>17</v>
      </c>
      <c r="B32" s="637"/>
      <c r="C32" s="275"/>
      <c r="E32" s="624"/>
      <c r="F32" s="158"/>
      <c r="G32" s="628"/>
    </row>
    <row r="33" spans="1:7">
      <c r="A33" s="635">
        <v>18</v>
      </c>
      <c r="B33" s="637"/>
      <c r="C33" s="275"/>
      <c r="E33" s="624"/>
      <c r="F33" s="158"/>
      <c r="G33" s="628"/>
    </row>
    <row r="34" spans="1:7">
      <c r="A34" s="635">
        <v>19</v>
      </c>
      <c r="B34" s="637"/>
      <c r="C34" s="275"/>
      <c r="E34" s="624"/>
      <c r="F34" s="158"/>
      <c r="G34" s="628"/>
    </row>
    <row r="35" spans="1:7">
      <c r="A35" s="636">
        <v>20</v>
      </c>
      <c r="B35" s="790" t="s">
        <v>1050</v>
      </c>
      <c r="C35" s="641"/>
      <c r="D35" s="642"/>
      <c r="E35" s="576">
        <f>SUM(E16:E34)</f>
        <v>0</v>
      </c>
      <c r="F35" s="576">
        <f>SUM(F16:F34)</f>
        <v>0</v>
      </c>
      <c r="G35" s="630">
        <f>SUM(G16:G34)</f>
        <v>0</v>
      </c>
    </row>
    <row r="36" spans="1:7">
      <c r="A36" s="635"/>
      <c r="G36" s="237"/>
    </row>
    <row r="37" spans="1:7" ht="15.75">
      <c r="A37" s="235" t="s">
        <v>3706</v>
      </c>
      <c r="B37" s="6"/>
      <c r="C37" s="8"/>
      <c r="D37" s="8"/>
      <c r="E37" s="8"/>
      <c r="F37" s="8"/>
      <c r="G37" s="236"/>
    </row>
    <row r="38" spans="1:7">
      <c r="A38" s="635"/>
      <c r="G38" s="237"/>
    </row>
    <row r="39" spans="1:7">
      <c r="A39" s="635" t="s">
        <v>479</v>
      </c>
      <c r="B39" t="s">
        <v>4096</v>
      </c>
      <c r="G39" s="237"/>
    </row>
    <row r="40" spans="1:7">
      <c r="A40" s="635" t="s">
        <v>2916</v>
      </c>
      <c r="B40" t="s">
        <v>961</v>
      </c>
      <c r="G40" s="237"/>
    </row>
    <row r="41" spans="1:7">
      <c r="A41" s="635"/>
      <c r="B41" t="s">
        <v>1947</v>
      </c>
      <c r="G41" s="237"/>
    </row>
    <row r="42" spans="1:7">
      <c r="A42" s="635" t="s">
        <v>3164</v>
      </c>
      <c r="B42" t="s">
        <v>3473</v>
      </c>
      <c r="G42" s="237"/>
    </row>
    <row r="43" spans="1:7">
      <c r="A43" s="635"/>
      <c r="B43" t="s">
        <v>3474</v>
      </c>
      <c r="G43" s="237"/>
    </row>
    <row r="44" spans="1:7">
      <c r="A44" s="635" t="s">
        <v>2630</v>
      </c>
      <c r="B44" t="s">
        <v>880</v>
      </c>
      <c r="G44" s="237"/>
    </row>
    <row r="45" spans="1:7">
      <c r="A45" s="635"/>
      <c r="B45" t="s">
        <v>1186</v>
      </c>
      <c r="G45" s="237"/>
    </row>
    <row r="46" spans="1:7">
      <c r="A46" s="635" t="s">
        <v>1075</v>
      </c>
      <c r="B46" t="s">
        <v>1187</v>
      </c>
      <c r="G46" s="237"/>
    </row>
    <row r="47" spans="1:7">
      <c r="A47" s="636"/>
      <c r="B47" s="249"/>
      <c r="C47" s="249"/>
      <c r="D47" s="249"/>
      <c r="E47" s="249"/>
      <c r="F47" s="249"/>
      <c r="G47" s="250"/>
    </row>
    <row r="48" spans="1:7">
      <c r="A48" s="635"/>
      <c r="B48" s="275"/>
      <c r="C48" s="643" t="s">
        <v>1188</v>
      </c>
      <c r="D48" s="644" t="s">
        <v>1189</v>
      </c>
      <c r="E48" s="638"/>
      <c r="F48" s="834" t="s">
        <v>1188</v>
      </c>
      <c r="G48" s="237"/>
    </row>
    <row r="49" spans="1:10">
      <c r="A49" s="635"/>
      <c r="B49" s="275"/>
      <c r="C49" s="643" t="s">
        <v>1190</v>
      </c>
      <c r="D49" s="637"/>
      <c r="E49" s="637"/>
      <c r="F49" s="834" t="s">
        <v>1191</v>
      </c>
      <c r="G49" s="777" t="s">
        <v>1192</v>
      </c>
    </row>
    <row r="50" spans="1:10">
      <c r="A50" s="635" t="s">
        <v>1129</v>
      </c>
      <c r="B50" s="834" t="s">
        <v>1193</v>
      </c>
      <c r="C50" s="643" t="s">
        <v>1194</v>
      </c>
      <c r="D50" s="833" t="s">
        <v>1195</v>
      </c>
      <c r="E50" s="833" t="s">
        <v>1196</v>
      </c>
      <c r="F50" s="834" t="s">
        <v>1197</v>
      </c>
      <c r="G50" s="777" t="s">
        <v>1198</v>
      </c>
    </row>
    <row r="51" spans="1:10">
      <c r="A51" s="636" t="s">
        <v>3324</v>
      </c>
      <c r="B51" s="836" t="s">
        <v>4032</v>
      </c>
      <c r="C51" s="791" t="s">
        <v>4033</v>
      </c>
      <c r="D51" s="788" t="s">
        <v>4034</v>
      </c>
      <c r="E51" s="788" t="s">
        <v>4035</v>
      </c>
      <c r="F51" s="836" t="s">
        <v>2277</v>
      </c>
      <c r="G51" s="807" t="s">
        <v>2278</v>
      </c>
    </row>
    <row r="52" spans="1:10">
      <c r="A52" s="635">
        <v>1</v>
      </c>
      <c r="B52" s="637" t="s">
        <v>4563</v>
      </c>
      <c r="C52" s="2042">
        <v>15350616</v>
      </c>
      <c r="D52" s="2350">
        <v>250882151.50000003</v>
      </c>
      <c r="E52" s="2350">
        <v>248230112.64999998</v>
      </c>
      <c r="F52" s="2042">
        <f>C52-D52+E52</f>
        <v>12698577.149999946</v>
      </c>
      <c r="G52" s="546">
        <v>40069</v>
      </c>
      <c r="I52" s="1626"/>
    </row>
    <row r="53" spans="1:10">
      <c r="A53" s="635">
        <v>2</v>
      </c>
      <c r="B53" s="1031"/>
      <c r="C53" s="2153"/>
      <c r="D53" s="887"/>
      <c r="E53" s="887"/>
      <c r="F53" s="557"/>
      <c r="G53" s="461"/>
    </row>
    <row r="54" spans="1:10">
      <c r="A54" s="635">
        <v>3</v>
      </c>
      <c r="B54" s="275"/>
      <c r="C54" s="2153"/>
      <c r="D54" s="887"/>
      <c r="E54" s="887"/>
      <c r="F54" s="557"/>
      <c r="G54" s="461"/>
    </row>
    <row r="55" spans="1:10">
      <c r="A55" s="635">
        <v>4</v>
      </c>
      <c r="B55" s="275"/>
      <c r="C55" s="2153"/>
      <c r="D55" s="887"/>
      <c r="E55" s="887"/>
      <c r="F55" s="557"/>
      <c r="G55" s="461"/>
    </row>
    <row r="56" spans="1:10">
      <c r="A56" s="635">
        <v>5</v>
      </c>
      <c r="B56" s="275"/>
      <c r="C56" s="2153"/>
      <c r="D56" s="887"/>
      <c r="E56" s="887"/>
      <c r="F56" s="557"/>
      <c r="G56" s="461"/>
    </row>
    <row r="57" spans="1:10">
      <c r="A57" s="635">
        <v>6</v>
      </c>
      <c r="B57" s="275"/>
      <c r="C57" s="2153"/>
      <c r="D57" s="887"/>
      <c r="E57" s="887"/>
      <c r="F57" s="557">
        <f>C57-D57+E57</f>
        <v>0</v>
      </c>
      <c r="G57" s="461"/>
    </row>
    <row r="58" spans="1:10">
      <c r="A58" s="635">
        <v>7</v>
      </c>
      <c r="B58" s="837" t="s">
        <v>1199</v>
      </c>
      <c r="C58" s="426">
        <f>SUM(C52:C57)</f>
        <v>15350616</v>
      </c>
      <c r="D58" s="426">
        <f>SUM(D52:D57)</f>
        <v>250882151.50000003</v>
      </c>
      <c r="E58" s="426">
        <f>SUM(E52:E57)</f>
        <v>248230112.64999998</v>
      </c>
      <c r="F58" s="426">
        <f>SUM(F52:F57)</f>
        <v>12698577.149999946</v>
      </c>
      <c r="G58" s="432">
        <f>SUM(G52:G57)</f>
        <v>40069</v>
      </c>
    </row>
    <row r="59" spans="1:10">
      <c r="A59" s="635">
        <v>8</v>
      </c>
      <c r="B59" s="275" t="s">
        <v>1423</v>
      </c>
      <c r="C59" s="2680">
        <v>212638</v>
      </c>
      <c r="D59" s="2351">
        <v>11621558</v>
      </c>
      <c r="E59" s="2351">
        <v>10537730</v>
      </c>
      <c r="F59" s="2155">
        <f>C59-D59+E59</f>
        <v>-871190</v>
      </c>
      <c r="G59" s="2156">
        <v>0</v>
      </c>
      <c r="I59" s="2049"/>
      <c r="J59" s="2050"/>
    </row>
    <row r="60" spans="1:10">
      <c r="A60" s="635">
        <v>9</v>
      </c>
      <c r="B60" s="275" t="s">
        <v>3322</v>
      </c>
      <c r="C60" s="2154">
        <v>1280344</v>
      </c>
      <c r="D60" s="2351">
        <v>2342374.6</v>
      </c>
      <c r="E60" s="2351">
        <v>1925694.07</v>
      </c>
      <c r="F60" s="2155">
        <f>C60-D60+E60</f>
        <v>863663.47</v>
      </c>
      <c r="G60" s="2156">
        <v>0</v>
      </c>
      <c r="I60" s="2049"/>
      <c r="J60" s="2050"/>
    </row>
    <row r="61" spans="1:10">
      <c r="A61" s="635">
        <v>10</v>
      </c>
      <c r="B61" s="275" t="s">
        <v>1424</v>
      </c>
      <c r="C61" s="2154">
        <v>960</v>
      </c>
      <c r="D61" s="2351">
        <v>34786.74</v>
      </c>
      <c r="E61" s="2351">
        <v>34897.29</v>
      </c>
      <c r="F61" s="2155">
        <f>C61-D61+E61</f>
        <v>1070.5500000000029</v>
      </c>
      <c r="G61" s="2156">
        <v>0</v>
      </c>
      <c r="I61" s="2049"/>
      <c r="J61" s="2050"/>
    </row>
    <row r="62" spans="1:10">
      <c r="A62" s="635">
        <v>11</v>
      </c>
      <c r="B62" s="2683" t="s">
        <v>4894</v>
      </c>
      <c r="C62" s="2154">
        <v>284869</v>
      </c>
      <c r="D62" s="2351">
        <f>23286522+260000</f>
        <v>23546522</v>
      </c>
      <c r="E62" s="2351">
        <v>23516702</v>
      </c>
      <c r="F62" s="2155">
        <f>C62-D62+E62</f>
        <v>255049</v>
      </c>
      <c r="G62" s="461"/>
      <c r="I62" s="2049"/>
      <c r="J62" s="1626"/>
    </row>
    <row r="63" spans="1:10">
      <c r="A63" s="635">
        <v>12</v>
      </c>
      <c r="B63" s="275"/>
      <c r="C63" s="2153"/>
      <c r="D63" s="1929"/>
      <c r="E63" s="1929"/>
      <c r="F63" s="557"/>
      <c r="G63" s="461"/>
      <c r="I63" s="1626"/>
      <c r="J63" s="1626"/>
    </row>
    <row r="64" spans="1:10">
      <c r="A64" s="635">
        <v>13</v>
      </c>
      <c r="B64" s="275"/>
      <c r="C64" s="2153"/>
      <c r="D64" s="887"/>
      <c r="E64" s="887"/>
      <c r="F64" s="557"/>
      <c r="G64" s="461"/>
    </row>
    <row r="65" spans="1:7">
      <c r="A65" s="635">
        <v>14</v>
      </c>
      <c r="B65" s="275"/>
      <c r="C65" s="2153"/>
      <c r="D65" s="887"/>
      <c r="E65" s="887"/>
      <c r="F65" s="557"/>
      <c r="G65" s="461"/>
    </row>
    <row r="66" spans="1:7" ht="15.75" thickBot="1">
      <c r="A66" s="645">
        <v>15</v>
      </c>
      <c r="B66" s="2051" t="s">
        <v>1200</v>
      </c>
      <c r="C66" s="438">
        <f>SUM(C59:C65)</f>
        <v>1778811</v>
      </c>
      <c r="D66" s="2682">
        <f>SUM(D59:D65)</f>
        <v>37545241.340000004</v>
      </c>
      <c r="E66" s="2682">
        <f>SUM(E59:E65)</f>
        <v>36015023.359999999</v>
      </c>
      <c r="F66" s="2682">
        <f>SUM(F59:F65)</f>
        <v>248593.01999999996</v>
      </c>
      <c r="G66" s="439">
        <f>SUM(G59:G65)</f>
        <v>0</v>
      </c>
    </row>
    <row r="67" spans="1:7">
      <c r="F67" t="s">
        <v>4066</v>
      </c>
    </row>
    <row r="68" spans="1:7">
      <c r="A68" s="8" t="s">
        <v>1201</v>
      </c>
      <c r="B68" s="8"/>
      <c r="C68" s="8"/>
      <c r="D68" s="8"/>
      <c r="E68" s="8"/>
      <c r="F68" s="8"/>
      <c r="G68" s="8"/>
    </row>
    <row r="70" spans="1:7">
      <c r="A70" s="30"/>
      <c r="B70" s="30"/>
    </row>
    <row r="71" spans="1:7" ht="15.75">
      <c r="A71" s="1890"/>
      <c r="B71" s="30"/>
    </row>
    <row r="72" spans="1:7" ht="15.75">
      <c r="A72" s="30"/>
      <c r="B72" s="1584"/>
      <c r="C72" s="2681"/>
      <c r="F72" s="2681"/>
    </row>
    <row r="73" spans="1:7" ht="20.25">
      <c r="A73" s="30"/>
      <c r="B73" s="30"/>
      <c r="C73" s="1889"/>
      <c r="D73" s="1889"/>
    </row>
    <row r="74" spans="1:7">
      <c r="A74" s="30"/>
      <c r="B74" s="260"/>
    </row>
    <row r="75" spans="1:7">
      <c r="A75" s="30"/>
    </row>
    <row r="76" spans="1:7">
      <c r="A76" s="30"/>
      <c r="B76" s="230"/>
    </row>
    <row r="77" spans="1:7">
      <c r="A77" s="30"/>
      <c r="B77" s="260"/>
    </row>
    <row r="78" spans="1:7">
      <c r="A78" s="30"/>
      <c r="B78" s="260"/>
    </row>
    <row r="79" spans="1:7">
      <c r="A79" s="30"/>
      <c r="B79" s="260"/>
    </row>
    <row r="80" spans="1:7">
      <c r="A80" s="30"/>
      <c r="B80" s="260"/>
    </row>
    <row r="81" spans="1:2">
      <c r="A81" s="30"/>
      <c r="B81" s="230"/>
    </row>
    <row r="82" spans="1:2">
      <c r="A82" s="30"/>
      <c r="B82" s="260"/>
    </row>
    <row r="83" spans="1:2">
      <c r="A83" s="30"/>
    </row>
    <row r="84" spans="1:2">
      <c r="A84" s="30"/>
      <c r="B84" s="30"/>
    </row>
  </sheetData>
  <customSheetViews>
    <customSheetView guid="{1BA452AD-1A45-4D9C-9666-ADFFA6F2F567}" colorId="22" showPageBreaks="1" fitToPage="1" printArea="1" view="pageBreakPreview">
      <selection activeCell="I33" sqref="I33"/>
      <pageMargins left="0.75" right="0.4" top="0.3" bottom="0.3" header="0" footer="0"/>
      <printOptions horizontalCentered="1" verticalCentered="1"/>
      <pageSetup scale="63" orientation="portrait" r:id="rId1"/>
      <headerFooter alignWithMargins="0"/>
    </customSheetView>
    <customSheetView guid="{EEF7ABD6-0F96-4791-B749-C06F707E7673}" colorId="22" showPageBreaks="1" fitToPage="1" printArea="1" view="pageBreakPreview" showRuler="0">
      <selection activeCell="F72" sqref="F72"/>
      <pageMargins left="0.75" right="0.4" top="0.3" bottom="0.3" header="0" footer="0"/>
      <printOptions horizontalCentered="1" verticalCentered="1"/>
      <pageSetup scale="64" orientation="portrait" r:id="rId2"/>
      <headerFooter alignWithMargins="0"/>
    </customSheetView>
    <customSheetView guid="{A7D7DB3C-AFE6-468E-8C6B-9531F6711497}" scale="60" colorId="22" showPageBreaks="1" fitToPage="1" printArea="1" view="pageBreakPreview" showRuler="0">
      <selection activeCell="E63" sqref="E63"/>
      <pageMargins left="0.75" right="0.4" top="0.3" bottom="0.3" header="0" footer="0"/>
      <printOptions horizontalCentered="1" verticalCentered="1"/>
      <pageSetup scale="70" orientation="portrait" r:id="rId3"/>
      <headerFooter alignWithMargins="0"/>
    </customSheetView>
    <customSheetView guid="{4436FEB5-BFEC-4348-9286-CB706802873E}" scale="60" colorId="22" showPageBreaks="1" fitToPage="1" printArea="1" view="pageBreakPreview" showRuler="0">
      <selection activeCell="E63" sqref="E63"/>
      <pageMargins left="0.75" right="0.4" top="0.3" bottom="0.3" header="0" footer="0"/>
      <printOptions horizontalCentered="1" verticalCentered="1"/>
      <pageSetup scale="70" orientation="portrait" r:id="rId4"/>
      <headerFooter alignWithMargins="0"/>
    </customSheetView>
    <customSheetView guid="{044CF00C-469F-44B3-B2C4-9B4049CE70CB}" scale="75" colorId="22" fitToPage="1" showRuler="0" topLeftCell="A37">
      <selection activeCell="F64" sqref="F64"/>
      <pageMargins left="0.75" right="0.4" top="0.3" bottom="0.3" header="0" footer="0"/>
      <printOptions horizontalCentered="1" verticalCentered="1"/>
      <pageSetup scale="70" orientation="portrait" r:id="rId5"/>
      <headerFooter alignWithMargins="0"/>
    </customSheetView>
    <customSheetView guid="{4826FCC0-BDD6-4B2C-ACC6-ACE271DDF0E3}" colorId="22" showPageBreaks="1" fitToPage="1" printArea="1" view="pageBreakPreview" showRuler="0" topLeftCell="A37">
      <selection activeCell="B62" sqref="B62"/>
      <pageMargins left="0.75" right="0.4" top="0.3" bottom="0.3" header="0" footer="0"/>
      <printOptions horizontalCentered="1" verticalCentered="1"/>
      <pageSetup scale="64" orientation="portrait" r:id="rId6"/>
      <headerFooter alignWithMargins="0"/>
    </customSheetView>
    <customSheetView guid="{EF376D10-23D6-4FE2-AB5B-4460D52CC93F}" colorId="22" showPageBreaks="1" fitToPage="1" printArea="1" view="pageBreakPreview" showRuler="0">
      <selection activeCell="F72" sqref="F72"/>
      <pageMargins left="0.75" right="0.4" top="0.3" bottom="0.3" header="0" footer="0"/>
      <printOptions horizontalCentered="1" verticalCentered="1"/>
      <pageSetup scale="64" orientation="portrait" r:id="rId7"/>
      <headerFooter alignWithMargins="0"/>
    </customSheetView>
    <customSheetView guid="{1C046605-15CE-44F1-BFCD-2CA8588E7ACF}" colorId="22" showPageBreaks="1" fitToPage="1" printArea="1" view="pageBreakPreview" showRuler="0">
      <selection activeCell="F72" sqref="F72"/>
      <pageMargins left="0.75" right="0.4" top="0.3" bottom="0.3" header="0" footer="0"/>
      <printOptions horizontalCentered="1" verticalCentered="1"/>
      <pageSetup scale="64" orientation="portrait" r:id="rId8"/>
      <headerFooter alignWithMargins="0"/>
    </customSheetView>
    <customSheetView guid="{3911D713-188C-46A1-A299-F21DD3B7A146}" colorId="22" showPageBreaks="1" fitToPage="1" printArea="1" view="pageBreakPreview" showRuler="0">
      <selection activeCell="F72" sqref="F72"/>
      <pageMargins left="0.75" right="0.4" top="0.3" bottom="0.3" header="0" footer="0"/>
      <printOptions horizontalCentered="1" verticalCentered="1"/>
      <pageSetup scale="64" orientation="portrait" r:id="rId9"/>
      <headerFooter alignWithMargins="0"/>
    </customSheetView>
    <customSheetView guid="{78BB1E60-60BE-4F56-9763-075185EFEFAB}" colorId="22" showPageBreaks="1" fitToPage="1" printArea="1" view="pageBreakPreview">
      <selection activeCell="I33" sqref="I33"/>
      <pageMargins left="0.75" right="0.4" top="0.3" bottom="0.3" header="0" footer="0"/>
      <printOptions horizontalCentered="1" verticalCentered="1"/>
      <pageSetup scale="63" orientation="portrait" r:id="rId10"/>
      <headerFooter alignWithMargins="0"/>
    </customSheetView>
    <customSheetView guid="{9C30803E-1E2D-4850-B0A5-591CA6F246A1}" colorId="22" showPageBreaks="1" fitToPage="1" printArea="1" view="pageBreakPreview" topLeftCell="A22">
      <selection activeCell="G52" sqref="G52"/>
      <pageMargins left="0.75" right="0.4" top="0.3" bottom="0.3" header="0" footer="0"/>
      <printOptions horizontalCentered="1" verticalCentered="1"/>
      <pageSetup scale="63" orientation="portrait" r:id="rId11"/>
      <headerFooter alignWithMargins="0"/>
    </customSheetView>
    <customSheetView guid="{3B1006FF-A2CA-49E7-9B25-DAC8815279AF}" colorId="22" showPageBreaks="1" fitToPage="1" printArea="1" view="pageBreakPreview" topLeftCell="A22">
      <selection activeCell="G52" sqref="G52"/>
      <pageMargins left="0.75" right="0.4" top="0.3" bottom="0.3" header="0" footer="0"/>
      <printOptions horizontalCentered="1" verticalCentered="1"/>
      <pageSetup scale="63" orientation="portrait" r:id="rId12"/>
      <headerFooter alignWithMargins="0"/>
    </customSheetView>
    <customSheetView guid="{FB1A60C8-E1F9-4DF0-8E0E-1C965F86027F}" colorId="22" showPageBreaks="1" fitToPage="1" printArea="1" view="pageBreakPreview" topLeftCell="A22">
      <selection activeCell="G52" sqref="G52"/>
      <pageMargins left="0.75" right="0.4" top="0.3" bottom="0.3" header="0" footer="0"/>
      <printOptions horizontalCentered="1" verticalCentered="1"/>
      <pageSetup scale="63" orientation="portrait" r:id="rId13"/>
      <headerFooter alignWithMargins="0"/>
    </customSheetView>
    <customSheetView guid="{C5B6D812-CBE6-46AA-99F7-02494E9802B4}" scale="70" colorId="22" showPageBreaks="1" fitToPage="1" printArea="1" view="pageBreakPreview" topLeftCell="A37">
      <selection activeCell="F63" sqref="F63"/>
      <pageMargins left="0.75" right="0.4" top="0.3" bottom="0.3" header="0" footer="0"/>
      <printOptions horizontalCentered="1" verticalCentered="1"/>
      <pageSetup scale="63" orientation="portrait" r:id="rId14"/>
      <headerFooter alignWithMargins="0"/>
    </customSheetView>
  </customSheetViews>
  <phoneticPr fontId="0" type="noConversion"/>
  <printOptions horizontalCentered="1" verticalCentered="1"/>
  <pageMargins left="0.75" right="0.4" top="0.3" bottom="0.3" header="0" footer="0"/>
  <pageSetup scale="63" orientation="portrait" r:id="rId15"/>
  <headerFooter alignWithMargins="0"/>
  <customProperties>
    <customPr name="_pios_id" r:id="rId16"/>
  </customProperties>
</worksheet>
</file>

<file path=xl/worksheets/sheet38.xml><?xml version="1.0" encoding="utf-8"?>
<worksheet xmlns="http://schemas.openxmlformats.org/spreadsheetml/2006/main" xmlns:r="http://schemas.openxmlformats.org/officeDocument/2006/relationships">
  <sheetPr transitionEvaluation="1" codeName="Sheet38" enableFormatConditionsCalculation="0"/>
  <dimension ref="A1:O149"/>
  <sheetViews>
    <sheetView defaultGridColor="0" colorId="22" zoomScale="75" zoomScaleNormal="75" zoomScaleSheetLayoutView="80" workbookViewId="0"/>
  </sheetViews>
  <sheetFormatPr defaultColWidth="12.6640625" defaultRowHeight="15"/>
  <cols>
    <col min="1" max="1" width="4.77734375" customWidth="1"/>
    <col min="2" max="2" width="51.21875" customWidth="1"/>
    <col min="3" max="3" width="18.77734375" customWidth="1"/>
    <col min="4" max="4" width="16.77734375" customWidth="1"/>
    <col min="5" max="5" width="21.21875" customWidth="1"/>
    <col min="6" max="6" width="1.6640625" customWidth="1"/>
    <col min="7" max="7" width="16.77734375" customWidth="1"/>
    <col min="8" max="8" width="15.77734375" customWidth="1"/>
    <col min="9" max="9" width="18.77734375" customWidth="1"/>
    <col min="10" max="10" width="14.77734375" customWidth="1"/>
    <col min="11" max="11" width="23.88671875" customWidth="1"/>
    <col min="12" max="12" width="17.88671875" customWidth="1"/>
    <col min="13" max="13" width="7.88671875" customWidth="1"/>
  </cols>
  <sheetData>
    <row r="1" spans="1:13" ht="15.75" thickBot="1">
      <c r="A1" s="186" t="str">
        <f>'Data sheet'!$A$63</f>
        <v>Annual Report of New York American Water Company, Inc. (f/k/a Long Island Water Corp)                                    Year Ended  December 31, 2013</v>
      </c>
      <c r="B1" s="1633"/>
      <c r="C1" s="1633"/>
      <c r="D1" s="1633"/>
      <c r="E1" s="1633"/>
      <c r="F1" s="1633"/>
      <c r="G1" s="186" t="str">
        <f>'Data sheet'!$A$63</f>
        <v>Annual Report of New York American Water Company, Inc. (f/k/a Long Island Water Corp)                                    Year Ended  December 31, 2013</v>
      </c>
    </row>
    <row r="2" spans="1:13">
      <c r="A2" s="142"/>
      <c r="B2" s="143"/>
      <c r="C2" s="143"/>
      <c r="D2" s="143"/>
      <c r="E2" s="144"/>
      <c r="F2" s="143"/>
      <c r="G2" s="142"/>
      <c r="H2" s="143"/>
      <c r="I2" s="143"/>
      <c r="J2" s="143"/>
      <c r="K2" s="143"/>
      <c r="L2" s="143"/>
      <c r="M2" s="144"/>
    </row>
    <row r="3" spans="1:13" ht="15.75">
      <c r="A3" s="3040" t="s">
        <v>4173</v>
      </c>
      <c r="B3" s="3041"/>
      <c r="C3" s="3041"/>
      <c r="D3" s="3041"/>
      <c r="E3" s="3042"/>
      <c r="F3" s="2811"/>
      <c r="G3" s="1682" t="s">
        <v>3742</v>
      </c>
      <c r="I3" s="97"/>
      <c r="J3" s="97"/>
      <c r="K3" s="97"/>
      <c r="L3" s="97"/>
      <c r="M3" s="98"/>
    </row>
    <row r="4" spans="1:13">
      <c r="A4" s="108"/>
      <c r="B4" s="109"/>
      <c r="C4" s="109"/>
      <c r="D4" s="141"/>
      <c r="E4" s="294"/>
      <c r="F4" s="293"/>
      <c r="G4" s="108"/>
      <c r="H4" s="109"/>
      <c r="I4" s="109"/>
      <c r="J4" s="141"/>
      <c r="K4" s="293"/>
      <c r="L4" s="109"/>
      <c r="M4" s="112"/>
    </row>
    <row r="5" spans="1:13" ht="15.75">
      <c r="A5" s="93"/>
      <c r="B5" s="1084"/>
      <c r="C5" s="1084"/>
      <c r="D5" s="1084"/>
      <c r="E5" s="646"/>
      <c r="F5" s="1118"/>
      <c r="G5" s="93"/>
      <c r="H5" s="11"/>
      <c r="I5" s="11"/>
      <c r="J5" s="11"/>
      <c r="K5" s="11"/>
      <c r="L5" s="11"/>
      <c r="M5" s="338"/>
    </row>
    <row r="6" spans="1:13">
      <c r="A6" s="96"/>
      <c r="B6" s="847"/>
      <c r="C6" s="847"/>
      <c r="D6" s="847"/>
      <c r="E6" s="98"/>
      <c r="F6" s="847"/>
      <c r="G6" s="96"/>
      <c r="H6" s="97"/>
      <c r="I6" s="97"/>
      <c r="J6" s="97"/>
      <c r="K6" s="97"/>
      <c r="L6" s="97"/>
      <c r="M6" s="98"/>
    </row>
    <row r="7" spans="1:13">
      <c r="A7" s="96" t="s">
        <v>3081</v>
      </c>
      <c r="B7" s="847"/>
      <c r="C7" s="847" t="s">
        <v>1307</v>
      </c>
      <c r="D7" s="847"/>
      <c r="E7" s="98"/>
      <c r="F7" s="847"/>
      <c r="G7" s="96" t="s">
        <v>1308</v>
      </c>
      <c r="H7" s="97"/>
      <c r="I7" s="97"/>
      <c r="J7" s="97" t="s">
        <v>296</v>
      </c>
      <c r="K7" s="97"/>
      <c r="L7" s="97"/>
      <c r="M7" s="98"/>
    </row>
    <row r="8" spans="1:13">
      <c r="A8" s="96" t="s">
        <v>297</v>
      </c>
      <c r="B8" s="847"/>
      <c r="C8" s="847" t="s">
        <v>298</v>
      </c>
      <c r="D8" s="847"/>
      <c r="E8" s="98"/>
      <c r="F8" s="847"/>
      <c r="G8" s="96" t="s">
        <v>299</v>
      </c>
      <c r="H8" s="97"/>
      <c r="I8" s="97"/>
      <c r="J8" s="97" t="s">
        <v>2584</v>
      </c>
      <c r="K8" s="97"/>
      <c r="L8" s="97"/>
      <c r="M8" s="98"/>
    </row>
    <row r="9" spans="1:13">
      <c r="A9" s="96" t="s">
        <v>2509</v>
      </c>
      <c r="B9" s="847"/>
      <c r="C9" s="847" t="s">
        <v>1387</v>
      </c>
      <c r="D9" s="847"/>
      <c r="E9" s="98"/>
      <c r="F9" s="847"/>
      <c r="G9" s="96" t="s">
        <v>4273</v>
      </c>
      <c r="H9" s="97"/>
      <c r="I9" s="97"/>
      <c r="J9" s="97" t="s">
        <v>927</v>
      </c>
      <c r="K9" s="97"/>
      <c r="L9" s="97"/>
      <c r="M9" s="98"/>
    </row>
    <row r="10" spans="1:13">
      <c r="A10" s="96" t="s">
        <v>928</v>
      </c>
      <c r="B10" s="847"/>
      <c r="C10" s="847" t="s">
        <v>3152</v>
      </c>
      <c r="D10" s="847"/>
      <c r="E10" s="98"/>
      <c r="F10" s="847"/>
      <c r="G10" s="96" t="s">
        <v>3153</v>
      </c>
      <c r="H10" s="97"/>
      <c r="I10" s="97"/>
      <c r="J10" s="97" t="s">
        <v>779</v>
      </c>
      <c r="K10" s="97"/>
      <c r="L10" s="97"/>
      <c r="M10" s="98"/>
    </row>
    <row r="11" spans="1:13">
      <c r="A11" s="96" t="s">
        <v>680</v>
      </c>
      <c r="B11" s="847"/>
      <c r="C11" s="847" t="s">
        <v>681</v>
      </c>
      <c r="D11" s="847"/>
      <c r="E11" s="98"/>
      <c r="F11" s="847"/>
      <c r="G11" s="96" t="s">
        <v>682</v>
      </c>
      <c r="H11" s="97"/>
      <c r="I11" s="97"/>
      <c r="J11" s="97" t="s">
        <v>1714</v>
      </c>
      <c r="K11" s="97"/>
      <c r="L11" s="97"/>
      <c r="M11" s="98"/>
    </row>
    <row r="12" spans="1:13">
      <c r="A12" s="96" t="s">
        <v>1715</v>
      </c>
      <c r="B12" s="847"/>
      <c r="C12" s="847" t="s">
        <v>1302</v>
      </c>
      <c r="D12" s="847"/>
      <c r="E12" s="98"/>
      <c r="F12" s="847"/>
      <c r="G12" s="96" t="s">
        <v>1303</v>
      </c>
      <c r="H12" s="97"/>
      <c r="I12" s="97"/>
      <c r="J12" s="97" t="s">
        <v>1304</v>
      </c>
      <c r="K12" s="97"/>
      <c r="L12" s="97"/>
      <c r="M12" s="98"/>
    </row>
    <row r="13" spans="1:13">
      <c r="A13" s="96" t="s">
        <v>1124</v>
      </c>
      <c r="B13" s="847"/>
      <c r="C13" s="847" t="s">
        <v>3249</v>
      </c>
      <c r="D13" s="847"/>
      <c r="E13" s="98"/>
      <c r="F13" s="847"/>
      <c r="G13" s="96" t="s">
        <v>3250</v>
      </c>
      <c r="H13" s="97"/>
      <c r="I13" s="97"/>
      <c r="J13" s="97" t="s">
        <v>3277</v>
      </c>
      <c r="K13" s="97"/>
      <c r="L13" s="97"/>
      <c r="M13" s="98"/>
    </row>
    <row r="14" spans="1:13">
      <c r="A14" s="96" t="s">
        <v>2235</v>
      </c>
      <c r="B14" s="847"/>
      <c r="C14" s="847" t="s">
        <v>2236</v>
      </c>
      <c r="D14" s="847"/>
      <c r="E14" s="98"/>
      <c r="F14" s="847"/>
      <c r="G14" s="96" t="s">
        <v>1346</v>
      </c>
      <c r="H14" s="97"/>
      <c r="I14" s="97"/>
      <c r="J14" s="97" t="s">
        <v>1347</v>
      </c>
      <c r="K14" s="97"/>
      <c r="L14" s="97"/>
      <c r="M14" s="98"/>
    </row>
    <row r="15" spans="1:13">
      <c r="A15" s="96" t="s">
        <v>1348</v>
      </c>
      <c r="B15" s="847"/>
      <c r="C15" s="847" t="s">
        <v>1867</v>
      </c>
      <c r="D15" s="847"/>
      <c r="E15" s="98"/>
      <c r="F15" s="847"/>
      <c r="G15" s="96" t="s">
        <v>1127</v>
      </c>
      <c r="H15" s="97"/>
      <c r="I15" s="97"/>
      <c r="J15" s="97" t="s">
        <v>1128</v>
      </c>
      <c r="K15" s="97"/>
      <c r="L15" s="97"/>
      <c r="M15" s="98"/>
    </row>
    <row r="16" spans="1:13">
      <c r="A16" s="96" t="s">
        <v>3061</v>
      </c>
      <c r="B16" s="847"/>
      <c r="C16" s="847" t="s">
        <v>3062</v>
      </c>
      <c r="D16" s="847"/>
      <c r="E16" s="98"/>
      <c r="F16" s="847"/>
      <c r="G16" s="96" t="s">
        <v>3063</v>
      </c>
      <c r="H16" s="97"/>
      <c r="I16" s="97"/>
      <c r="J16" s="97" t="s">
        <v>1335</v>
      </c>
      <c r="K16" s="97"/>
      <c r="L16" s="97"/>
      <c r="M16" s="98"/>
    </row>
    <row r="17" spans="1:15">
      <c r="A17" s="96" t="s">
        <v>211</v>
      </c>
      <c r="B17" s="847"/>
      <c r="C17" s="847" t="s">
        <v>212</v>
      </c>
      <c r="D17" s="847"/>
      <c r="E17" s="98"/>
      <c r="F17" s="847"/>
      <c r="G17" s="96" t="s">
        <v>294</v>
      </c>
      <c r="H17" s="97"/>
      <c r="I17" s="97"/>
      <c r="J17" s="97" t="s">
        <v>321</v>
      </c>
      <c r="K17" s="97"/>
      <c r="L17" s="97"/>
      <c r="M17" s="98"/>
    </row>
    <row r="18" spans="1:15">
      <c r="A18" s="96" t="s">
        <v>322</v>
      </c>
      <c r="B18" s="847"/>
      <c r="C18" s="847" t="s">
        <v>1077</v>
      </c>
      <c r="D18" s="847"/>
      <c r="E18" s="98"/>
      <c r="F18" s="847"/>
      <c r="G18" s="96" t="s">
        <v>1078</v>
      </c>
      <c r="H18" s="97"/>
      <c r="I18" s="97"/>
      <c r="J18" s="97" t="s">
        <v>942</v>
      </c>
      <c r="K18" s="97"/>
      <c r="L18" s="97"/>
      <c r="M18" s="98"/>
    </row>
    <row r="19" spans="1:15">
      <c r="A19" s="96" t="s">
        <v>2052</v>
      </c>
      <c r="B19" s="847"/>
      <c r="C19" s="847" t="s">
        <v>4212</v>
      </c>
      <c r="D19" s="847"/>
      <c r="E19" s="98"/>
      <c r="F19" s="847"/>
      <c r="G19" s="96" t="s">
        <v>4213</v>
      </c>
      <c r="H19" s="97"/>
      <c r="I19" s="97"/>
      <c r="J19" s="97" t="s">
        <v>4214</v>
      </c>
      <c r="K19" s="97"/>
      <c r="L19" s="97"/>
      <c r="M19" s="98"/>
    </row>
    <row r="20" spans="1:15">
      <c r="A20" s="96" t="s">
        <v>2582</v>
      </c>
      <c r="B20" s="847"/>
      <c r="C20" s="847" t="s">
        <v>2583</v>
      </c>
      <c r="D20" s="847"/>
      <c r="E20" s="98"/>
      <c r="F20" s="847"/>
      <c r="G20" s="96" t="s">
        <v>3926</v>
      </c>
      <c r="H20" s="97"/>
      <c r="I20" s="97"/>
      <c r="J20" s="97" t="s">
        <v>3286</v>
      </c>
      <c r="K20" s="97"/>
      <c r="L20" s="97"/>
      <c r="M20" s="98"/>
    </row>
    <row r="21" spans="1:15">
      <c r="A21" s="96" t="s">
        <v>4395</v>
      </c>
      <c r="B21" s="847"/>
      <c r="C21" s="847" t="s">
        <v>2493</v>
      </c>
      <c r="D21" s="847"/>
      <c r="E21" s="98"/>
      <c r="F21" s="847"/>
      <c r="G21" s="96"/>
      <c r="H21" s="97"/>
      <c r="I21" s="97"/>
      <c r="J21" s="97"/>
      <c r="K21" s="97"/>
      <c r="L21" s="97"/>
      <c r="M21" s="98"/>
    </row>
    <row r="22" spans="1:15">
      <c r="A22" s="96" t="s">
        <v>2494</v>
      </c>
      <c r="B22" s="847"/>
      <c r="C22" s="847" t="s">
        <v>2495</v>
      </c>
      <c r="D22" s="847"/>
      <c r="E22" s="98"/>
      <c r="F22" s="847"/>
      <c r="G22" s="96"/>
      <c r="H22" s="97" t="s">
        <v>4373</v>
      </c>
      <c r="I22" s="97"/>
      <c r="J22" s="97"/>
      <c r="K22" s="97"/>
      <c r="L22" s="97"/>
      <c r="M22" s="98"/>
    </row>
    <row r="23" spans="1:15">
      <c r="A23" s="96"/>
      <c r="B23" s="847"/>
      <c r="C23" s="847"/>
      <c r="D23" s="847"/>
      <c r="E23" s="98"/>
      <c r="F23" s="847"/>
      <c r="G23" s="96"/>
      <c r="H23" s="97"/>
      <c r="I23" s="97"/>
      <c r="J23" s="97"/>
      <c r="K23" s="97"/>
      <c r="L23" s="97"/>
      <c r="M23" s="98"/>
    </row>
    <row r="24" spans="1:15">
      <c r="A24" s="647" t="s">
        <v>4373</v>
      </c>
      <c r="B24" s="101" t="s">
        <v>4373</v>
      </c>
      <c r="C24" s="102"/>
      <c r="D24" s="648"/>
      <c r="E24" s="494"/>
      <c r="F24" s="343"/>
      <c r="G24" s="647" t="s">
        <v>4373</v>
      </c>
      <c r="H24" s="102"/>
      <c r="I24" s="516" t="s">
        <v>2496</v>
      </c>
      <c r="J24" s="649"/>
      <c r="K24" s="838" t="s">
        <v>3696</v>
      </c>
      <c r="L24" s="102"/>
      <c r="M24" s="156"/>
    </row>
    <row r="25" spans="1:15">
      <c r="A25" s="475" t="s">
        <v>4373</v>
      </c>
      <c r="B25" s="847" t="s">
        <v>1278</v>
      </c>
      <c r="C25" s="106"/>
      <c r="D25" s="476" t="s">
        <v>1279</v>
      </c>
      <c r="E25" s="148" t="s">
        <v>1280</v>
      </c>
      <c r="F25" s="847"/>
      <c r="G25" s="444" t="s">
        <v>1281</v>
      </c>
      <c r="H25" s="476" t="s">
        <v>2695</v>
      </c>
      <c r="I25" s="106"/>
      <c r="J25" s="102"/>
      <c r="K25" s="476" t="s">
        <v>1282</v>
      </c>
      <c r="L25" s="476" t="s">
        <v>1283</v>
      </c>
      <c r="M25" s="148"/>
    </row>
    <row r="26" spans="1:15">
      <c r="A26" s="444" t="s">
        <v>1129</v>
      </c>
      <c r="B26" s="847" t="s">
        <v>1261</v>
      </c>
      <c r="C26" s="106"/>
      <c r="D26" s="476" t="s">
        <v>2966</v>
      </c>
      <c r="E26" s="148" t="s">
        <v>2967</v>
      </c>
      <c r="F26" s="847"/>
      <c r="G26" s="444" t="s">
        <v>2968</v>
      </c>
      <c r="H26" s="476" t="s">
        <v>1028</v>
      </c>
      <c r="I26" s="476" t="s">
        <v>2969</v>
      </c>
      <c r="J26" s="476" t="s">
        <v>2970</v>
      </c>
      <c r="K26" s="476" t="s">
        <v>1841</v>
      </c>
      <c r="L26" s="476" t="s">
        <v>430</v>
      </c>
      <c r="M26" s="410" t="s">
        <v>1129</v>
      </c>
    </row>
    <row r="27" spans="1:15">
      <c r="A27" s="444" t="s">
        <v>3324</v>
      </c>
      <c r="B27" s="847"/>
      <c r="C27" s="106"/>
      <c r="D27" s="476" t="s">
        <v>1842</v>
      </c>
      <c r="E27" s="148" t="s">
        <v>1843</v>
      </c>
      <c r="F27" s="847"/>
      <c r="G27" s="475"/>
      <c r="H27" s="106"/>
      <c r="I27" s="106"/>
      <c r="J27" s="106"/>
      <c r="K27" s="476" t="s">
        <v>2248</v>
      </c>
      <c r="L27" s="106"/>
      <c r="M27" s="410" t="s">
        <v>3324</v>
      </c>
    </row>
    <row r="28" spans="1:15" ht="20.25">
      <c r="A28" s="475"/>
      <c r="B28" s="847"/>
      <c r="C28" s="106"/>
      <c r="D28" s="106"/>
      <c r="E28" s="148"/>
      <c r="F28" s="847"/>
      <c r="G28" s="475"/>
      <c r="H28" s="106"/>
      <c r="I28" s="106"/>
      <c r="J28" s="106"/>
      <c r="K28" s="476" t="s">
        <v>2249</v>
      </c>
      <c r="L28" s="106"/>
      <c r="M28" s="148"/>
      <c r="N28" s="1889"/>
      <c r="O28" s="1889"/>
    </row>
    <row r="29" spans="1:15">
      <c r="A29" s="475"/>
      <c r="B29" s="847"/>
      <c r="C29" s="106"/>
      <c r="D29" s="106"/>
      <c r="E29" s="148"/>
      <c r="F29" s="847"/>
      <c r="G29" s="475"/>
      <c r="H29" s="106"/>
      <c r="I29" s="106"/>
      <c r="J29" s="106"/>
      <c r="K29" s="476" t="s">
        <v>2250</v>
      </c>
      <c r="L29" s="106"/>
      <c r="M29" s="148"/>
    </row>
    <row r="30" spans="1:15">
      <c r="A30" s="475"/>
      <c r="B30" s="1852" t="s">
        <v>2251</v>
      </c>
      <c r="C30" s="110"/>
      <c r="D30" s="1852" t="s">
        <v>4033</v>
      </c>
      <c r="E30" s="410" t="s">
        <v>4034</v>
      </c>
      <c r="F30" s="1852"/>
      <c r="G30" s="444" t="s">
        <v>4035</v>
      </c>
      <c r="H30" s="105" t="s">
        <v>2277</v>
      </c>
      <c r="I30" s="120" t="s">
        <v>2278</v>
      </c>
      <c r="J30" s="105" t="s">
        <v>2279</v>
      </c>
      <c r="K30" s="120" t="s">
        <v>2280</v>
      </c>
      <c r="L30" s="105" t="s">
        <v>2281</v>
      </c>
      <c r="M30" s="171"/>
    </row>
    <row r="31" spans="1:15">
      <c r="A31" s="520" t="s">
        <v>2699</v>
      </c>
      <c r="B31" s="650" t="s">
        <v>2064</v>
      </c>
      <c r="C31" s="648"/>
      <c r="D31" s="102"/>
      <c r="E31" s="104"/>
      <c r="F31" s="101"/>
      <c r="G31" s="647"/>
      <c r="H31" s="102"/>
      <c r="I31" s="102"/>
      <c r="J31" s="102"/>
      <c r="K31" s="101"/>
      <c r="L31" s="103"/>
      <c r="M31" s="633" t="s">
        <v>2699</v>
      </c>
    </row>
    <row r="32" spans="1:15">
      <c r="A32" s="444" t="s">
        <v>2700</v>
      </c>
      <c r="B32" s="847" t="s">
        <v>2139</v>
      </c>
      <c r="C32" s="651"/>
      <c r="D32" s="652"/>
      <c r="E32" s="469"/>
      <c r="F32" s="1968"/>
      <c r="G32" s="475"/>
      <c r="H32" s="106"/>
      <c r="I32" s="1650"/>
      <c r="J32" s="652"/>
      <c r="K32" s="652"/>
      <c r="L32" s="2042"/>
      <c r="M32" s="410" t="s">
        <v>2700</v>
      </c>
    </row>
    <row r="33" spans="1:13">
      <c r="A33" s="444" t="s">
        <v>2701</v>
      </c>
      <c r="B33" s="847"/>
      <c r="C33" s="651"/>
      <c r="D33" s="620"/>
      <c r="E33" s="461"/>
      <c r="F33" s="1898"/>
      <c r="G33" s="475"/>
      <c r="H33" s="106"/>
      <c r="I33" s="106"/>
      <c r="J33" s="106"/>
      <c r="K33" s="620"/>
      <c r="L33" s="1623"/>
      <c r="M33" s="410" t="s">
        <v>2701</v>
      </c>
    </row>
    <row r="34" spans="1:13">
      <c r="A34" s="444" t="s">
        <v>2702</v>
      </c>
      <c r="B34" s="847"/>
      <c r="C34" s="651"/>
      <c r="D34" s="1853"/>
      <c r="E34" s="1624"/>
      <c r="F34" s="1898"/>
      <c r="G34" s="1016"/>
      <c r="H34" s="1017"/>
      <c r="I34" s="1017"/>
      <c r="J34" s="1017"/>
      <c r="K34" s="620"/>
      <c r="L34" s="1623"/>
      <c r="M34" s="410" t="s">
        <v>2702</v>
      </c>
    </row>
    <row r="35" spans="1:13">
      <c r="A35" s="444" t="s">
        <v>2703</v>
      </c>
      <c r="B35" s="847"/>
      <c r="C35" s="651"/>
      <c r="D35" s="1853"/>
      <c r="E35" s="1624"/>
      <c r="F35" s="1898"/>
      <c r="G35" s="1016"/>
      <c r="H35" s="1017"/>
      <c r="I35" s="1017"/>
      <c r="J35" s="1017"/>
      <c r="K35" s="620"/>
      <c r="L35" s="1623"/>
      <c r="M35" s="410" t="s">
        <v>2703</v>
      </c>
    </row>
    <row r="36" spans="1:13">
      <c r="A36" s="444" t="s">
        <v>2704</v>
      </c>
      <c r="B36" s="847" t="s">
        <v>4373</v>
      </c>
      <c r="C36" s="651"/>
      <c r="D36" s="1853" t="s">
        <v>4373</v>
      </c>
      <c r="E36" s="1624"/>
      <c r="F36" s="1898"/>
      <c r="G36" s="1016"/>
      <c r="H36" s="1017"/>
      <c r="I36" s="1017"/>
      <c r="J36" s="1017"/>
      <c r="K36" s="620"/>
      <c r="L36" s="1623"/>
      <c r="M36" s="410" t="s">
        <v>2704</v>
      </c>
    </row>
    <row r="37" spans="1:13">
      <c r="A37" s="444" t="s">
        <v>2705</v>
      </c>
      <c r="B37" s="847" t="s">
        <v>1443</v>
      </c>
      <c r="C37" s="651"/>
      <c r="D37" s="1853"/>
      <c r="E37" s="1624"/>
      <c r="F37" s="1898"/>
      <c r="G37" s="444"/>
      <c r="H37" s="476"/>
      <c r="I37" s="106"/>
      <c r="J37" s="106"/>
      <c r="K37" s="620"/>
      <c r="L37" s="1623"/>
      <c r="M37" s="410" t="s">
        <v>2705</v>
      </c>
    </row>
    <row r="38" spans="1:13">
      <c r="A38" s="444" t="s">
        <v>2706</v>
      </c>
      <c r="B38" s="847"/>
      <c r="C38" s="651"/>
      <c r="D38" s="1853"/>
      <c r="E38" s="1624"/>
      <c r="F38" s="1898"/>
      <c r="G38" s="444"/>
      <c r="H38" s="476"/>
      <c r="I38" s="106"/>
      <c r="J38" s="106"/>
      <c r="K38" s="620"/>
      <c r="L38" s="1623"/>
      <c r="M38" s="410" t="s">
        <v>2706</v>
      </c>
    </row>
    <row r="39" spans="1:13">
      <c r="A39" s="444" t="s">
        <v>2024</v>
      </c>
      <c r="B39" s="847" t="s">
        <v>5172</v>
      </c>
      <c r="C39" s="651"/>
      <c r="D39" s="1853">
        <v>16000000</v>
      </c>
      <c r="E39" s="1624">
        <f>1228672+1</f>
        <v>1228673</v>
      </c>
      <c r="F39" s="1898"/>
      <c r="G39" s="1016">
        <v>38261</v>
      </c>
      <c r="H39" s="1017">
        <v>49218</v>
      </c>
      <c r="I39" s="1017">
        <v>38261</v>
      </c>
      <c r="J39" s="1017">
        <v>49218</v>
      </c>
      <c r="K39" s="620">
        <v>16000000</v>
      </c>
      <c r="L39" s="1623">
        <v>784000</v>
      </c>
      <c r="M39" s="410" t="s">
        <v>2024</v>
      </c>
    </row>
    <row r="40" spans="1:13">
      <c r="A40" s="444" t="s">
        <v>2025</v>
      </c>
      <c r="B40" s="847"/>
      <c r="C40" s="651"/>
      <c r="D40" s="1853"/>
      <c r="E40" s="1624"/>
      <c r="F40" s="1898"/>
      <c r="G40" s="444"/>
      <c r="H40" s="476"/>
      <c r="I40" s="106"/>
      <c r="J40" s="106"/>
      <c r="K40" s="620"/>
      <c r="L40" s="1623"/>
      <c r="M40" s="410" t="s">
        <v>2025</v>
      </c>
    </row>
    <row r="41" spans="1:13">
      <c r="A41" s="444" t="s">
        <v>2026</v>
      </c>
      <c r="B41" s="847"/>
      <c r="C41" s="651"/>
      <c r="D41" s="1853"/>
      <c r="E41" s="1624"/>
      <c r="F41" s="1898"/>
      <c r="G41" s="444"/>
      <c r="H41" s="476"/>
      <c r="I41" s="106"/>
      <c r="J41" s="106"/>
      <c r="K41" s="620"/>
      <c r="L41" s="1623"/>
      <c r="M41" s="410" t="s">
        <v>2026</v>
      </c>
    </row>
    <row r="42" spans="1:13">
      <c r="A42" s="444" t="s">
        <v>2027</v>
      </c>
      <c r="B42" s="847"/>
      <c r="C42" s="651"/>
      <c r="D42" s="1853"/>
      <c r="E42" s="1624"/>
      <c r="F42" s="1898"/>
      <c r="G42" s="1016"/>
      <c r="H42" s="1017"/>
      <c r="I42" s="1017"/>
      <c r="J42" s="1017"/>
      <c r="K42" s="620"/>
      <c r="L42" s="1623"/>
      <c r="M42" s="410" t="s">
        <v>2027</v>
      </c>
    </row>
    <row r="43" spans="1:13">
      <c r="A43" s="444" t="s">
        <v>2028</v>
      </c>
      <c r="B43" s="847"/>
      <c r="C43" s="651"/>
      <c r="D43" s="1853"/>
      <c r="E43" s="1624"/>
      <c r="F43" s="1898"/>
      <c r="G43" s="475"/>
      <c r="H43" s="106"/>
      <c r="I43" s="106"/>
      <c r="J43" s="106"/>
      <c r="K43" s="620"/>
      <c r="L43" s="1623"/>
      <c r="M43" s="410" t="s">
        <v>2028</v>
      </c>
    </row>
    <row r="44" spans="1:13">
      <c r="A44" s="444" t="s">
        <v>2029</v>
      </c>
      <c r="B44" s="847"/>
      <c r="C44" s="651"/>
      <c r="D44" s="1853"/>
      <c r="E44" s="1624"/>
      <c r="F44" s="1898"/>
      <c r="G44" s="475"/>
      <c r="H44" s="106"/>
      <c r="I44" s="106"/>
      <c r="J44" s="106"/>
      <c r="K44" s="620"/>
      <c r="L44" s="1623"/>
      <c r="M44" s="410" t="s">
        <v>2029</v>
      </c>
    </row>
    <row r="45" spans="1:13">
      <c r="A45" s="444" t="s">
        <v>2030</v>
      </c>
      <c r="B45" s="847"/>
      <c r="C45" s="651"/>
      <c r="D45" s="1853"/>
      <c r="E45" s="1624"/>
      <c r="F45" s="1898"/>
      <c r="G45" s="475"/>
      <c r="H45" s="106"/>
      <c r="I45" s="106"/>
      <c r="J45" s="106"/>
      <c r="K45" s="620"/>
      <c r="L45" s="1623"/>
      <c r="M45" s="410" t="s">
        <v>2030</v>
      </c>
    </row>
    <row r="46" spans="1:13">
      <c r="A46" s="444" t="s">
        <v>4121</v>
      </c>
      <c r="B46" s="847"/>
      <c r="C46" s="651"/>
      <c r="D46" s="1853"/>
      <c r="E46" s="1624"/>
      <c r="F46" s="1898"/>
      <c r="G46" s="475"/>
      <c r="H46" s="106"/>
      <c r="I46" s="106"/>
      <c r="J46" s="106"/>
      <c r="K46" s="620"/>
      <c r="L46" s="1623"/>
      <c r="M46" s="410" t="s">
        <v>4121</v>
      </c>
    </row>
    <row r="47" spans="1:13">
      <c r="A47" s="444" t="s">
        <v>4122</v>
      </c>
      <c r="B47" s="847"/>
      <c r="C47" s="651"/>
      <c r="D47" s="1853"/>
      <c r="E47" s="1624"/>
      <c r="F47" s="1898"/>
      <c r="G47" s="475"/>
      <c r="H47" s="106"/>
      <c r="I47" s="106"/>
      <c r="J47" s="106"/>
      <c r="K47" s="620"/>
      <c r="L47" s="1623"/>
      <c r="M47" s="410" t="s">
        <v>4122</v>
      </c>
    </row>
    <row r="48" spans="1:13">
      <c r="A48" s="444" t="s">
        <v>4123</v>
      </c>
      <c r="B48" s="847"/>
      <c r="C48" s="651"/>
      <c r="D48" s="1853"/>
      <c r="E48" s="1624"/>
      <c r="F48" s="1898"/>
      <c r="G48" s="475"/>
      <c r="H48" s="106"/>
      <c r="I48" s="106"/>
      <c r="J48" s="106"/>
      <c r="K48" s="620"/>
      <c r="L48" s="1623"/>
      <c r="M48" s="410" t="s">
        <v>4123</v>
      </c>
    </row>
    <row r="49" spans="1:13">
      <c r="A49" s="444" t="s">
        <v>749</v>
      </c>
      <c r="B49" s="847"/>
      <c r="C49" s="651"/>
      <c r="D49" s="1853"/>
      <c r="E49" s="1624"/>
      <c r="F49" s="1898"/>
      <c r="G49" s="475"/>
      <c r="H49" s="106"/>
      <c r="I49" s="106"/>
      <c r="J49" s="106"/>
      <c r="K49" s="620"/>
      <c r="L49" s="1623"/>
      <c r="M49" s="410" t="s">
        <v>749</v>
      </c>
    </row>
    <row r="50" spans="1:13">
      <c r="A50" s="444" t="s">
        <v>750</v>
      </c>
      <c r="B50" s="1852" t="s">
        <v>662</v>
      </c>
      <c r="C50" s="651"/>
      <c r="D50" s="1818">
        <f>SUM(D32:D49)</f>
        <v>16000000</v>
      </c>
      <c r="E50" s="1816">
        <f>SUM(E32:E49)</f>
        <v>1228673</v>
      </c>
      <c r="F50" s="1968"/>
      <c r="G50" s="475"/>
      <c r="H50" s="106"/>
      <c r="I50" s="106"/>
      <c r="J50" s="106"/>
      <c r="K50" s="425">
        <f>SUM(K32:K49)</f>
        <v>16000000</v>
      </c>
      <c r="L50" s="1818">
        <f>SUM(L32:L49)</f>
        <v>784000</v>
      </c>
      <c r="M50" s="410" t="s">
        <v>750</v>
      </c>
    </row>
    <row r="51" spans="1:13">
      <c r="A51" s="444" t="s">
        <v>751</v>
      </c>
      <c r="B51" s="847"/>
      <c r="C51" s="651"/>
      <c r="D51" s="2339"/>
      <c r="E51" s="1801"/>
      <c r="F51" s="847"/>
      <c r="G51" s="475"/>
      <c r="H51" s="106"/>
      <c r="I51" s="106"/>
      <c r="J51" s="106"/>
      <c r="K51" s="106"/>
      <c r="L51" s="1729"/>
      <c r="M51" s="410" t="s">
        <v>751</v>
      </c>
    </row>
    <row r="52" spans="1:13">
      <c r="A52" s="444" t="s">
        <v>720</v>
      </c>
      <c r="B52" s="2867" t="s">
        <v>2065</v>
      </c>
      <c r="C52" s="651"/>
      <c r="D52" s="2339"/>
      <c r="E52" s="1801"/>
      <c r="F52" s="847"/>
      <c r="G52" s="475"/>
      <c r="H52" s="106"/>
      <c r="I52" s="106"/>
      <c r="J52" s="106"/>
      <c r="K52" s="106"/>
      <c r="L52" s="1729"/>
      <c r="M52" s="410" t="s">
        <v>720</v>
      </c>
    </row>
    <row r="53" spans="1:13">
      <c r="A53" s="444" t="s">
        <v>721</v>
      </c>
      <c r="B53" s="847"/>
      <c r="C53" s="651"/>
      <c r="D53" s="2035"/>
      <c r="E53" s="1644"/>
      <c r="F53" s="1968"/>
      <c r="G53" s="475"/>
      <c r="H53" s="106"/>
      <c r="I53" s="106"/>
      <c r="J53" s="106"/>
      <c r="K53" s="652"/>
      <c r="L53" s="2042"/>
      <c r="M53" s="410" t="s">
        <v>721</v>
      </c>
    </row>
    <row r="54" spans="1:13">
      <c r="A54" s="444" t="s">
        <v>722</v>
      </c>
      <c r="B54" s="847"/>
      <c r="C54" s="651"/>
      <c r="D54" s="1853"/>
      <c r="E54" s="1624"/>
      <c r="F54" s="1898"/>
      <c r="G54" s="475"/>
      <c r="H54" s="106"/>
      <c r="I54" s="106"/>
      <c r="J54" s="106"/>
      <c r="K54" s="620"/>
      <c r="L54" s="1623"/>
      <c r="M54" s="410" t="s">
        <v>722</v>
      </c>
    </row>
    <row r="55" spans="1:13">
      <c r="A55" s="444" t="s">
        <v>723</v>
      </c>
      <c r="B55" s="847"/>
      <c r="C55" s="651"/>
      <c r="D55" s="1853"/>
      <c r="E55" s="1624"/>
      <c r="F55" s="1898"/>
      <c r="G55" s="475"/>
      <c r="H55" s="106"/>
      <c r="I55" s="106"/>
      <c r="J55" s="106"/>
      <c r="K55" s="620"/>
      <c r="L55" s="1623"/>
      <c r="M55" s="410" t="s">
        <v>723</v>
      </c>
    </row>
    <row r="56" spans="1:13">
      <c r="A56" s="444" t="s">
        <v>2589</v>
      </c>
      <c r="B56" s="847"/>
      <c r="C56" s="651"/>
      <c r="D56" s="1853"/>
      <c r="E56" s="1624"/>
      <c r="F56" s="1898"/>
      <c r="G56" s="475"/>
      <c r="H56" s="106"/>
      <c r="I56" s="106"/>
      <c r="J56" s="106"/>
      <c r="K56" s="620"/>
      <c r="L56" s="1623"/>
      <c r="M56" s="410" t="s">
        <v>2589</v>
      </c>
    </row>
    <row r="57" spans="1:13">
      <c r="A57" s="444" t="s">
        <v>1771</v>
      </c>
      <c r="B57" s="847"/>
      <c r="C57" s="651"/>
      <c r="D57" s="1853"/>
      <c r="E57" s="1624"/>
      <c r="F57" s="1898"/>
      <c r="G57" s="475"/>
      <c r="H57" s="106"/>
      <c r="I57" s="106"/>
      <c r="J57" s="106"/>
      <c r="K57" s="620"/>
      <c r="L57" s="1623"/>
      <c r="M57" s="410" t="s">
        <v>1771</v>
      </c>
    </row>
    <row r="58" spans="1:13">
      <c r="A58" s="444" t="s">
        <v>1772</v>
      </c>
      <c r="B58" s="1852" t="s">
        <v>662</v>
      </c>
      <c r="C58" s="651"/>
      <c r="D58" s="1818">
        <f>SUM(D53:D57)</f>
        <v>0</v>
      </c>
      <c r="E58" s="1816">
        <f>SUM(E53:E57)</f>
        <v>0</v>
      </c>
      <c r="F58" s="1968"/>
      <c r="G58" s="475"/>
      <c r="H58" s="106"/>
      <c r="I58" s="106"/>
      <c r="J58" s="106"/>
      <c r="K58" s="425">
        <f>SUM(K53:K57)</f>
        <v>0</v>
      </c>
      <c r="L58" s="1818">
        <f>SUM(L53:L57)</f>
        <v>0</v>
      </c>
      <c r="M58" s="410" t="s">
        <v>1772</v>
      </c>
    </row>
    <row r="59" spans="1:13">
      <c r="A59" s="444" t="s">
        <v>1773</v>
      </c>
      <c r="B59" s="2867" t="s">
        <v>2066</v>
      </c>
      <c r="C59" s="651"/>
      <c r="D59" s="2339"/>
      <c r="E59" s="1801"/>
      <c r="F59" s="847"/>
      <c r="G59" s="475"/>
      <c r="H59" s="106"/>
      <c r="I59" s="106"/>
      <c r="J59" s="106"/>
      <c r="K59" s="106"/>
      <c r="L59" s="1729"/>
      <c r="M59" s="410" t="s">
        <v>1773</v>
      </c>
    </row>
    <row r="60" spans="1:13">
      <c r="A60" s="444" t="s">
        <v>1775</v>
      </c>
      <c r="B60" s="847" t="s">
        <v>2067</v>
      </c>
      <c r="C60" s="651"/>
      <c r="D60" s="1853">
        <f>+D88</f>
        <v>54720000</v>
      </c>
      <c r="E60" s="1624">
        <f>+E88</f>
        <v>1648643</v>
      </c>
      <c r="F60" s="1898"/>
      <c r="G60" s="2093"/>
      <c r="H60" s="1650"/>
      <c r="I60" s="1650"/>
      <c r="J60" s="1650"/>
      <c r="K60" s="1853">
        <f>+K88</f>
        <v>54611060.329999998</v>
      </c>
      <c r="L60" s="1623">
        <f>+L88</f>
        <v>2849417.44</v>
      </c>
      <c r="M60" s="410" t="s">
        <v>1775</v>
      </c>
    </row>
    <row r="61" spans="1:13">
      <c r="A61" s="444" t="s">
        <v>1775</v>
      </c>
      <c r="B61" s="847" t="s">
        <v>2068</v>
      </c>
      <c r="C61" s="651"/>
      <c r="D61" s="1853">
        <f>+D91</f>
        <v>0</v>
      </c>
      <c r="E61" s="1624">
        <f>+E91</f>
        <v>0</v>
      </c>
      <c r="F61" s="1898"/>
      <c r="G61" s="2093"/>
      <c r="H61" s="1650"/>
      <c r="I61" s="1650"/>
      <c r="J61" s="1650"/>
      <c r="K61" s="1853">
        <f>+K91</f>
        <v>0</v>
      </c>
      <c r="L61" s="1623">
        <f>+L91</f>
        <v>0</v>
      </c>
      <c r="M61" s="410" t="s">
        <v>1775</v>
      </c>
    </row>
    <row r="62" spans="1:13">
      <c r="A62" s="444" t="s">
        <v>1776</v>
      </c>
      <c r="B62" s="847"/>
      <c r="C62" s="653"/>
      <c r="D62" s="620"/>
      <c r="E62" s="461"/>
      <c r="F62" s="620"/>
      <c r="G62" s="2093"/>
      <c r="H62" s="1650"/>
      <c r="I62" s="1650"/>
      <c r="J62" s="1650"/>
      <c r="K62" s="1853"/>
      <c r="L62" s="1853"/>
      <c r="M62" s="410" t="s">
        <v>1776</v>
      </c>
    </row>
    <row r="63" spans="1:13" ht="15.75" thickBot="1">
      <c r="A63" s="480" t="s">
        <v>1777</v>
      </c>
      <c r="B63" s="527" t="s">
        <v>1135</v>
      </c>
      <c r="C63" s="138"/>
      <c r="D63" s="439">
        <f>D50+D58+SUM(D60:D62)</f>
        <v>70720000</v>
      </c>
      <c r="E63" s="439">
        <f>E50+E58+SUM(E60:E62)</f>
        <v>2877316</v>
      </c>
      <c r="F63" s="1969"/>
      <c r="G63" s="654"/>
      <c r="H63" s="655"/>
      <c r="I63" s="655"/>
      <c r="J63" s="656"/>
      <c r="K63" s="528">
        <f>K50+K58+K61+K62+K60</f>
        <v>70611060.329999998</v>
      </c>
      <c r="L63" s="2034">
        <f>L50+L58+L61+L62+L60+0.5</f>
        <v>3633417.94</v>
      </c>
      <c r="M63" s="622" t="s">
        <v>1777</v>
      </c>
    </row>
    <row r="64" spans="1:13">
      <c r="A64" s="11" t="s">
        <v>4066</v>
      </c>
      <c r="B64" s="97"/>
      <c r="C64" s="11"/>
      <c r="D64" s="11"/>
      <c r="E64" s="11"/>
      <c r="F64" s="11"/>
      <c r="G64" s="11"/>
      <c r="H64" s="97"/>
      <c r="I64" s="11"/>
      <c r="J64" s="11"/>
      <c r="K64" s="97"/>
      <c r="L64" s="1653" t="s">
        <v>4066</v>
      </c>
      <c r="M64" s="97"/>
    </row>
    <row r="65" spans="1:14">
      <c r="A65" s="128" t="s">
        <v>2069</v>
      </c>
      <c r="B65" s="131"/>
      <c r="C65" s="128"/>
      <c r="D65" s="128"/>
      <c r="E65" s="128"/>
      <c r="F65" s="128"/>
      <c r="G65" s="128" t="s">
        <v>2070</v>
      </c>
      <c r="H65" s="128"/>
      <c r="I65" s="128"/>
      <c r="J65" s="128"/>
      <c r="K65" s="128"/>
      <c r="L65" s="1709"/>
      <c r="M65" s="128"/>
    </row>
    <row r="66" spans="1:14">
      <c r="A66" s="128"/>
      <c r="B66" s="131"/>
      <c r="C66" s="128"/>
      <c r="D66" s="128"/>
      <c r="E66" s="128"/>
      <c r="F66" s="128"/>
      <c r="G66" s="128"/>
      <c r="H66" s="128"/>
      <c r="I66" s="128"/>
      <c r="J66" s="128"/>
      <c r="K66" s="128"/>
      <c r="L66" s="1709"/>
      <c r="M66" s="128"/>
    </row>
    <row r="67" spans="1:14" ht="15.75" thickBot="1">
      <c r="A67" s="186" t="str">
        <f>'Data sheet'!$A$63</f>
        <v>Annual Report of New York American Water Company, Inc. (f/k/a Long Island Water Corp)                                    Year Ended  December 31, 2013</v>
      </c>
      <c r="B67" s="11"/>
      <c r="C67" s="97"/>
      <c r="D67" s="141"/>
      <c r="E67" s="11"/>
      <c r="F67" s="11"/>
      <c r="G67" s="186" t="str">
        <f>'Data sheet'!$A$63</f>
        <v>Annual Report of New York American Water Company, Inc. (f/k/a Long Island Water Corp)                                    Year Ended  December 31, 2013</v>
      </c>
      <c r="H67" s="97"/>
      <c r="I67" s="97"/>
      <c r="J67" s="141"/>
      <c r="K67" s="11"/>
      <c r="L67" s="1653"/>
      <c r="M67" s="97"/>
      <c r="N67" s="2722"/>
    </row>
    <row r="68" spans="1:14">
      <c r="A68" s="657"/>
      <c r="B68" s="658"/>
      <c r="C68" s="658"/>
      <c r="D68" s="658"/>
      <c r="E68" s="659"/>
      <c r="F68" s="658"/>
      <c r="G68" s="657"/>
      <c r="H68" s="658"/>
      <c r="I68" s="658"/>
      <c r="J68" s="658"/>
      <c r="K68" s="658"/>
      <c r="L68" s="2726"/>
      <c r="M68" s="659"/>
    </row>
    <row r="69" spans="1:14" ht="15.75">
      <c r="A69" s="130" t="s">
        <v>4173</v>
      </c>
      <c r="B69" s="128"/>
      <c r="C69" s="128"/>
      <c r="D69" s="128"/>
      <c r="E69" s="145"/>
      <c r="F69" s="1358"/>
      <c r="G69" s="130" t="s">
        <v>4173</v>
      </c>
      <c r="H69" s="128"/>
      <c r="I69" s="128"/>
      <c r="J69" s="128"/>
      <c r="K69" s="128"/>
      <c r="L69" s="1709"/>
      <c r="M69" s="145"/>
    </row>
    <row r="70" spans="1:14">
      <c r="A70" s="96"/>
      <c r="B70" s="97"/>
      <c r="C70" s="97"/>
      <c r="D70" s="97"/>
      <c r="E70" s="660" t="s">
        <v>4373</v>
      </c>
      <c r="F70" s="1970"/>
      <c r="G70" s="96"/>
      <c r="H70" s="97"/>
      <c r="I70" s="97"/>
      <c r="J70" s="97"/>
      <c r="K70" s="97"/>
      <c r="L70" s="1653"/>
      <c r="M70" s="98"/>
    </row>
    <row r="71" spans="1:14">
      <c r="A71" s="647" t="s">
        <v>4373</v>
      </c>
      <c r="B71" s="101" t="s">
        <v>4373</v>
      </c>
      <c r="C71" s="102"/>
      <c r="D71" s="648"/>
      <c r="E71" s="494"/>
      <c r="F71" s="343"/>
      <c r="G71" s="647" t="s">
        <v>4373</v>
      </c>
      <c r="H71" s="102"/>
      <c r="I71" s="516" t="s">
        <v>2496</v>
      </c>
      <c r="J71" s="649"/>
      <c r="K71" s="838" t="s">
        <v>3696</v>
      </c>
      <c r="L71" s="2723"/>
      <c r="M71" s="156"/>
    </row>
    <row r="72" spans="1:14">
      <c r="A72" s="475" t="s">
        <v>4373</v>
      </c>
      <c r="B72" s="97" t="s">
        <v>1278</v>
      </c>
      <c r="C72" s="106"/>
      <c r="D72" s="476" t="s">
        <v>1279</v>
      </c>
      <c r="E72" s="148" t="s">
        <v>1280</v>
      </c>
      <c r="F72" s="847"/>
      <c r="G72" s="444" t="s">
        <v>1281</v>
      </c>
      <c r="H72" s="476" t="s">
        <v>2695</v>
      </c>
      <c r="I72" s="106"/>
      <c r="J72" s="102"/>
      <c r="K72" s="476" t="s">
        <v>1282</v>
      </c>
      <c r="L72" s="2724" t="s">
        <v>1283</v>
      </c>
      <c r="M72" s="148"/>
    </row>
    <row r="73" spans="1:14">
      <c r="A73" s="444" t="s">
        <v>1129</v>
      </c>
      <c r="B73" s="97" t="s">
        <v>1261</v>
      </c>
      <c r="C73" s="106"/>
      <c r="D73" s="476" t="s">
        <v>2966</v>
      </c>
      <c r="E73" s="148" t="s">
        <v>2967</v>
      </c>
      <c r="F73" s="847"/>
      <c r="G73" s="444" t="s">
        <v>2968</v>
      </c>
      <c r="H73" s="476" t="s">
        <v>1028</v>
      </c>
      <c r="I73" s="476" t="s">
        <v>2969</v>
      </c>
      <c r="J73" s="476" t="s">
        <v>2970</v>
      </c>
      <c r="K73" s="476" t="s">
        <v>1841</v>
      </c>
      <c r="L73" s="2724" t="s">
        <v>430</v>
      </c>
      <c r="M73" s="410" t="s">
        <v>1129</v>
      </c>
    </row>
    <row r="74" spans="1:14">
      <c r="A74" s="444" t="s">
        <v>3324</v>
      </c>
      <c r="B74" s="97"/>
      <c r="C74" s="106"/>
      <c r="D74" s="476" t="s">
        <v>1842</v>
      </c>
      <c r="E74" s="148" t="s">
        <v>1843</v>
      </c>
      <c r="F74" s="847"/>
      <c r="G74" s="475"/>
      <c r="H74" s="106"/>
      <c r="I74" s="106"/>
      <c r="J74" s="106"/>
      <c r="K74" s="476" t="s">
        <v>2248</v>
      </c>
      <c r="L74" s="2339"/>
      <c r="M74" s="410" t="s">
        <v>3324</v>
      </c>
    </row>
    <row r="75" spans="1:14">
      <c r="A75" s="475"/>
      <c r="B75" s="97"/>
      <c r="C75" s="106"/>
      <c r="D75" s="106"/>
      <c r="E75" s="148"/>
      <c r="F75" s="847"/>
      <c r="G75" s="475"/>
      <c r="H75" s="106"/>
      <c r="I75" s="106"/>
      <c r="J75" s="106"/>
      <c r="K75" s="476" t="s">
        <v>2249</v>
      </c>
      <c r="L75" s="2339"/>
      <c r="M75" s="148"/>
    </row>
    <row r="76" spans="1:14">
      <c r="A76" s="475"/>
      <c r="B76" s="97"/>
      <c r="C76" s="106"/>
      <c r="D76" s="106"/>
      <c r="E76" s="148"/>
      <c r="F76" s="847"/>
      <c r="G76" s="475"/>
      <c r="H76" s="106"/>
      <c r="I76" s="106"/>
      <c r="J76" s="106"/>
      <c r="K76" s="476" t="s">
        <v>2250</v>
      </c>
      <c r="L76" s="2339"/>
      <c r="M76" s="148"/>
    </row>
    <row r="77" spans="1:14">
      <c r="A77" s="475"/>
      <c r="B77" s="105" t="s">
        <v>2251</v>
      </c>
      <c r="C77" s="110"/>
      <c r="D77" s="105" t="s">
        <v>4033</v>
      </c>
      <c r="E77" s="410" t="s">
        <v>4034</v>
      </c>
      <c r="F77" s="1852"/>
      <c r="G77" s="444" t="s">
        <v>4035</v>
      </c>
      <c r="H77" s="105" t="s">
        <v>2277</v>
      </c>
      <c r="I77" s="120" t="s">
        <v>2278</v>
      </c>
      <c r="J77" s="105" t="s">
        <v>2279</v>
      </c>
      <c r="K77" s="120" t="s">
        <v>2280</v>
      </c>
      <c r="L77" s="1808" t="s">
        <v>2281</v>
      </c>
      <c r="M77" s="171"/>
    </row>
    <row r="78" spans="1:14">
      <c r="A78" s="520" t="s">
        <v>2699</v>
      </c>
      <c r="B78" s="650" t="s">
        <v>2067</v>
      </c>
      <c r="C78" s="648"/>
      <c r="D78" s="102"/>
      <c r="E78" s="104"/>
      <c r="F78" s="101"/>
      <c r="G78" s="647"/>
      <c r="H78" s="102"/>
      <c r="I78" s="102"/>
      <c r="J78" s="102"/>
      <c r="K78" s="101"/>
      <c r="L78" s="2725"/>
      <c r="M78" s="839" t="s">
        <v>2699</v>
      </c>
    </row>
    <row r="79" spans="1:14">
      <c r="A79" s="444" t="s">
        <v>2700</v>
      </c>
      <c r="B79" s="97" t="s">
        <v>1422</v>
      </c>
      <c r="C79" s="651"/>
      <c r="D79" s="2035">
        <v>10000000</v>
      </c>
      <c r="E79" s="1644">
        <v>355782</v>
      </c>
      <c r="F79" s="1968"/>
      <c r="G79" s="2934">
        <v>40151</v>
      </c>
      <c r="H79" s="2935">
        <v>51105</v>
      </c>
      <c r="I79" s="2935">
        <v>40151</v>
      </c>
      <c r="J79" s="2935">
        <v>51105</v>
      </c>
      <c r="K79" s="652">
        <v>9925633.3300000001</v>
      </c>
      <c r="L79" s="2042">
        <f>47973.9+248140.85+299423.29</f>
        <v>595538.04</v>
      </c>
      <c r="M79" s="661" t="s">
        <v>2700</v>
      </c>
    </row>
    <row r="80" spans="1:14">
      <c r="A80" s="444" t="s">
        <v>2701</v>
      </c>
      <c r="B80" s="97" t="s">
        <v>1422</v>
      </c>
      <c r="C80" s="651"/>
      <c r="D80" s="1853">
        <v>10000000</v>
      </c>
      <c r="E80" s="1853">
        <v>424644</v>
      </c>
      <c r="F80" s="1898"/>
      <c r="G80" s="2934">
        <v>40527</v>
      </c>
      <c r="H80" s="2935">
        <v>51471</v>
      </c>
      <c r="I80" s="2935">
        <v>40527</v>
      </c>
      <c r="J80" s="2935">
        <v>51471</v>
      </c>
      <c r="K80" s="620">
        <v>10000000</v>
      </c>
      <c r="L80" s="1623">
        <f>48333.33+250000+301666.67</f>
        <v>600000</v>
      </c>
      <c r="M80" s="661" t="s">
        <v>2701</v>
      </c>
    </row>
    <row r="81" spans="1:13">
      <c r="A81" s="444" t="s">
        <v>2702</v>
      </c>
      <c r="B81" s="97" t="s">
        <v>2641</v>
      </c>
      <c r="C81" s="651"/>
      <c r="D81" s="1853">
        <v>9000000</v>
      </c>
      <c r="E81" s="1624">
        <v>208794</v>
      </c>
      <c r="F81" s="1898"/>
      <c r="G81" s="2936">
        <v>40682</v>
      </c>
      <c r="H81" s="2937">
        <v>50328</v>
      </c>
      <c r="I81" s="2937">
        <v>40682</v>
      </c>
      <c r="J81" s="2937">
        <v>50328</v>
      </c>
      <c r="K81" s="620">
        <v>9000000</v>
      </c>
      <c r="L81" s="1623">
        <v>531000</v>
      </c>
      <c r="M81" s="661" t="s">
        <v>2702</v>
      </c>
    </row>
    <row r="82" spans="1:13">
      <c r="A82" s="444" t="s">
        <v>2703</v>
      </c>
      <c r="B82" s="97" t="s">
        <v>2642</v>
      </c>
      <c r="C82" s="651"/>
      <c r="D82" s="1853">
        <v>6000000</v>
      </c>
      <c r="E82" s="1624">
        <v>170151</v>
      </c>
      <c r="F82" s="1898"/>
      <c r="G82" s="2936">
        <v>40868</v>
      </c>
      <c r="H82" s="2937">
        <v>50328</v>
      </c>
      <c r="I82" s="2937">
        <v>40868</v>
      </c>
      <c r="J82" s="2937">
        <v>50328</v>
      </c>
      <c r="K82" s="620">
        <v>6000000</v>
      </c>
      <c r="L82" s="1623">
        <v>303000</v>
      </c>
      <c r="M82" s="661" t="s">
        <v>2703</v>
      </c>
    </row>
    <row r="83" spans="1:13">
      <c r="A83" s="444" t="s">
        <v>2704</v>
      </c>
      <c r="B83" s="97" t="s">
        <v>4900</v>
      </c>
      <c r="C83" s="651"/>
      <c r="D83" s="1853">
        <v>6000000</v>
      </c>
      <c r="E83" s="1624">
        <f>80759-16445-10</f>
        <v>64304</v>
      </c>
      <c r="F83" s="1898"/>
      <c r="G83" s="2934">
        <v>41260</v>
      </c>
      <c r="H83" s="2935">
        <v>52201</v>
      </c>
      <c r="I83" s="2935">
        <v>41260</v>
      </c>
      <c r="J83" s="2935">
        <v>52231</v>
      </c>
      <c r="K83" s="620">
        <v>6000000</v>
      </c>
      <c r="L83" s="1623">
        <v>258000</v>
      </c>
      <c r="M83" s="661" t="s">
        <v>2704</v>
      </c>
    </row>
    <row r="84" spans="1:13">
      <c r="A84" s="444" t="s">
        <v>2705</v>
      </c>
      <c r="B84" s="97" t="s">
        <v>5173</v>
      </c>
      <c r="C84" s="651"/>
      <c r="D84" s="1853"/>
      <c r="E84" s="1624">
        <f>10920+24970</f>
        <v>35890</v>
      </c>
      <c r="F84" s="1898"/>
      <c r="G84" s="2934"/>
      <c r="H84" s="2935"/>
      <c r="I84" s="2935">
        <v>41243</v>
      </c>
      <c r="J84" s="2935">
        <v>52201</v>
      </c>
      <c r="K84" s="620">
        <v>-34573</v>
      </c>
      <c r="L84" s="1623">
        <f>+(99.7*12)+221</f>
        <v>1417.4</v>
      </c>
      <c r="M84" s="661" t="s">
        <v>2705</v>
      </c>
    </row>
    <row r="85" spans="1:13">
      <c r="A85" s="444" t="s">
        <v>2706</v>
      </c>
      <c r="B85" s="97" t="s">
        <v>4900</v>
      </c>
      <c r="C85" s="651"/>
      <c r="D85" s="1853">
        <v>13720000</v>
      </c>
      <c r="E85" s="1624">
        <v>389078</v>
      </c>
      <c r="F85" s="1898"/>
      <c r="G85" s="2934">
        <v>41299</v>
      </c>
      <c r="H85" s="2935">
        <v>52201</v>
      </c>
      <c r="I85" s="2935">
        <v>41299</v>
      </c>
      <c r="J85" s="2935">
        <v>52201</v>
      </c>
      <c r="K85" s="620">
        <v>13720000</v>
      </c>
      <c r="L85" s="1623">
        <v>560462</v>
      </c>
      <c r="M85" s="661" t="s">
        <v>2706</v>
      </c>
    </row>
    <row r="86" spans="1:13">
      <c r="A86" s="444" t="s">
        <v>2024</v>
      </c>
      <c r="B86" s="97"/>
      <c r="C86" s="651"/>
      <c r="D86" s="1853"/>
      <c r="E86" s="1624"/>
      <c r="F86" s="1898"/>
      <c r="G86" s="2934"/>
      <c r="H86" s="2935"/>
      <c r="I86" s="2935"/>
      <c r="J86" s="2935"/>
      <c r="K86" s="620"/>
      <c r="L86" s="1623"/>
      <c r="M86" s="661" t="s">
        <v>2024</v>
      </c>
    </row>
    <row r="87" spans="1:13">
      <c r="A87" s="444" t="s">
        <v>2025</v>
      </c>
      <c r="C87" s="952"/>
      <c r="D87" s="2940"/>
      <c r="E87" s="1624"/>
      <c r="F87" s="1898"/>
      <c r="G87" s="2934"/>
      <c r="H87" s="2935"/>
      <c r="I87" s="2938"/>
      <c r="J87" s="2938"/>
      <c r="K87" s="620"/>
      <c r="L87" s="1623"/>
      <c r="M87" s="661" t="s">
        <v>2025</v>
      </c>
    </row>
    <row r="88" spans="1:13" ht="15.75" thickBot="1">
      <c r="A88" s="444" t="s">
        <v>2026</v>
      </c>
      <c r="B88" s="477" t="s">
        <v>662</v>
      </c>
      <c r="C88" s="651"/>
      <c r="D88" s="1647">
        <f>SUM(D79:D87)</f>
        <v>54720000</v>
      </c>
      <c r="E88" s="2941">
        <f>SUM(E79:E87)</f>
        <v>1648643</v>
      </c>
      <c r="F88" s="171"/>
      <c r="G88" s="2942"/>
      <c r="H88" s="2943"/>
      <c r="I88" s="2943"/>
      <c r="J88" s="2943"/>
      <c r="K88" s="2941">
        <f>SUM(K79:K87)</f>
        <v>54611060.329999998</v>
      </c>
      <c r="L88" s="2944">
        <f>SUM(L79:L87)</f>
        <v>2849417.44</v>
      </c>
      <c r="M88" s="661" t="s">
        <v>2026</v>
      </c>
    </row>
    <row r="89" spans="1:13" ht="15.75" thickTop="1">
      <c r="A89" s="444" t="s">
        <v>2027</v>
      </c>
      <c r="B89" s="847"/>
      <c r="C89" s="651"/>
      <c r="D89" s="2035"/>
      <c r="E89" s="1644"/>
      <c r="F89" s="1968"/>
      <c r="G89" s="2934"/>
      <c r="H89" s="2935"/>
      <c r="I89" s="2935"/>
      <c r="J89" s="2935"/>
      <c r="K89" s="652"/>
      <c r="L89" s="2042"/>
      <c r="M89" s="661" t="s">
        <v>2027</v>
      </c>
    </row>
    <row r="90" spans="1:13">
      <c r="A90" s="444" t="s">
        <v>2028</v>
      </c>
      <c r="B90" s="477"/>
      <c r="C90" s="651"/>
      <c r="D90" s="2339"/>
      <c r="E90" s="1801"/>
      <c r="F90" s="847"/>
      <c r="G90" s="2939"/>
      <c r="H90" s="2938"/>
      <c r="I90" s="2938"/>
      <c r="J90" s="2938"/>
      <c r="K90" s="106"/>
      <c r="L90" s="1729"/>
      <c r="M90" s="661" t="s">
        <v>2028</v>
      </c>
    </row>
    <row r="91" spans="1:13">
      <c r="A91" s="444" t="s">
        <v>2029</v>
      </c>
      <c r="B91" s="847"/>
      <c r="C91" s="651"/>
      <c r="D91" s="2035"/>
      <c r="E91" s="1644"/>
      <c r="F91" s="1968"/>
      <c r="G91" s="2934"/>
      <c r="H91" s="2935"/>
      <c r="I91" s="2935"/>
      <c r="J91" s="2935"/>
      <c r="K91" s="652"/>
      <c r="L91" s="2042"/>
      <c r="M91" s="661" t="s">
        <v>2029</v>
      </c>
    </row>
    <row r="92" spans="1:13">
      <c r="A92" s="444" t="s">
        <v>2030</v>
      </c>
      <c r="B92" s="97" t="s">
        <v>5317</v>
      </c>
      <c r="C92" s="651"/>
      <c r="D92" s="1853"/>
      <c r="E92" s="1624"/>
      <c r="F92" s="1898"/>
      <c r="G92" s="475"/>
      <c r="H92" s="106"/>
      <c r="I92" s="106"/>
      <c r="J92" s="106"/>
      <c r="K92" s="620"/>
      <c r="L92" s="1623"/>
      <c r="M92" s="661" t="s">
        <v>2030</v>
      </c>
    </row>
    <row r="93" spans="1:13">
      <c r="A93" s="444" t="s">
        <v>4121</v>
      </c>
      <c r="B93" s="97"/>
      <c r="C93" s="651"/>
      <c r="D93" s="620"/>
      <c r="E93" s="461"/>
      <c r="F93" s="1898"/>
      <c r="G93" s="475"/>
      <c r="H93" s="106"/>
      <c r="I93" s="106"/>
      <c r="J93" s="106"/>
      <c r="K93" s="620"/>
      <c r="L93" s="1623"/>
      <c r="M93" s="661" t="s">
        <v>4121</v>
      </c>
    </row>
    <row r="94" spans="1:13">
      <c r="A94" s="444" t="s">
        <v>4122</v>
      </c>
      <c r="B94" s="97"/>
      <c r="C94" s="651"/>
      <c r="D94" s="620"/>
      <c r="E94" s="461"/>
      <c r="F94" s="1898"/>
      <c r="G94" s="475"/>
      <c r="H94" s="106"/>
      <c r="I94" s="106"/>
      <c r="J94" s="106"/>
      <c r="K94" s="620"/>
      <c r="L94" s="1623"/>
      <c r="M94" s="661" t="s">
        <v>4122</v>
      </c>
    </row>
    <row r="95" spans="1:13">
      <c r="A95" s="444" t="s">
        <v>4123</v>
      </c>
      <c r="B95" s="97"/>
      <c r="C95" s="651"/>
      <c r="D95" s="620"/>
      <c r="E95" s="461"/>
      <c r="F95" s="1898"/>
      <c r="G95" s="475"/>
      <c r="H95" s="106"/>
      <c r="I95" s="106"/>
      <c r="J95" s="106"/>
      <c r="K95" s="620"/>
      <c r="L95" s="1623"/>
      <c r="M95" s="661" t="s">
        <v>4123</v>
      </c>
    </row>
    <row r="96" spans="1:13">
      <c r="A96" s="444" t="s">
        <v>749</v>
      </c>
      <c r="B96" s="97"/>
      <c r="C96" s="651"/>
      <c r="D96" s="620"/>
      <c r="E96" s="461"/>
      <c r="F96" s="1898"/>
      <c r="G96" s="475"/>
      <c r="H96" s="106"/>
      <c r="I96" s="106"/>
      <c r="J96" s="106"/>
      <c r="K96" s="620"/>
      <c r="L96" s="1623"/>
      <c r="M96" s="661" t="s">
        <v>749</v>
      </c>
    </row>
    <row r="97" spans="1:13">
      <c r="A97" s="444" t="s">
        <v>750</v>
      </c>
      <c r="B97" s="97"/>
      <c r="C97" s="651"/>
      <c r="D97" s="620"/>
      <c r="E97" s="461"/>
      <c r="F97" s="1898"/>
      <c r="G97" s="475"/>
      <c r="H97" s="106"/>
      <c r="I97" s="106"/>
      <c r="J97" s="106"/>
      <c r="K97" s="620"/>
      <c r="L97" s="1623"/>
      <c r="M97" s="661" t="s">
        <v>750</v>
      </c>
    </row>
    <row r="98" spans="1:13">
      <c r="A98" s="444" t="s">
        <v>751</v>
      </c>
      <c r="B98" s="97"/>
      <c r="C98" s="651"/>
      <c r="D98" s="620"/>
      <c r="E98" s="461"/>
      <c r="F98" s="1898"/>
      <c r="G98" s="475"/>
      <c r="H98" s="106"/>
      <c r="I98" s="106"/>
      <c r="J98" s="106"/>
      <c r="K98" s="620"/>
      <c r="L98" s="557"/>
      <c r="M98" s="661" t="s">
        <v>751</v>
      </c>
    </row>
    <row r="99" spans="1:13">
      <c r="A99" s="444" t="s">
        <v>720</v>
      </c>
      <c r="B99" s="97"/>
      <c r="C99" s="651"/>
      <c r="D99" s="620"/>
      <c r="E99" s="461"/>
      <c r="F99" s="1898"/>
      <c r="G99" s="475"/>
      <c r="H99" s="106"/>
      <c r="I99" s="106"/>
      <c r="J99" s="106"/>
      <c r="K99" s="620"/>
      <c r="L99" s="557"/>
      <c r="M99" s="661" t="s">
        <v>720</v>
      </c>
    </row>
    <row r="100" spans="1:13">
      <c r="A100" s="444" t="s">
        <v>721</v>
      </c>
      <c r="B100" s="97"/>
      <c r="C100" s="651"/>
      <c r="D100" s="620"/>
      <c r="E100" s="461"/>
      <c r="F100" s="1898"/>
      <c r="G100" s="475"/>
      <c r="H100" s="106"/>
      <c r="I100" s="106"/>
      <c r="J100" s="106"/>
      <c r="K100" s="620"/>
      <c r="L100" s="557"/>
      <c r="M100" s="661" t="s">
        <v>721</v>
      </c>
    </row>
    <row r="101" spans="1:13">
      <c r="A101" s="444" t="s">
        <v>722</v>
      </c>
      <c r="B101" s="97"/>
      <c r="C101" s="651"/>
      <c r="D101" s="620"/>
      <c r="E101" s="461"/>
      <c r="F101" s="1898"/>
      <c r="G101" s="475"/>
      <c r="H101" s="106"/>
      <c r="I101" s="106"/>
      <c r="J101" s="106"/>
      <c r="K101" s="620"/>
      <c r="L101" s="557"/>
      <c r="M101" s="661" t="s">
        <v>722</v>
      </c>
    </row>
    <row r="102" spans="1:13">
      <c r="A102" s="444" t="s">
        <v>723</v>
      </c>
      <c r="B102" s="97"/>
      <c r="C102" s="651"/>
      <c r="D102" s="620"/>
      <c r="E102" s="461"/>
      <c r="F102" s="1898"/>
      <c r="G102" s="475"/>
      <c r="H102" s="106"/>
      <c r="I102" s="106"/>
      <c r="J102" s="106"/>
      <c r="K102" s="620"/>
      <c r="L102" s="557"/>
      <c r="M102" s="661" t="s">
        <v>723</v>
      </c>
    </row>
    <row r="103" spans="1:13">
      <c r="A103" s="444" t="s">
        <v>2589</v>
      </c>
      <c r="B103" s="97"/>
      <c r="C103" s="651"/>
      <c r="D103" s="620"/>
      <c r="E103" s="461"/>
      <c r="F103" s="1898"/>
      <c r="G103" s="475"/>
      <c r="H103" s="106"/>
      <c r="I103" s="106"/>
      <c r="J103" s="106"/>
      <c r="K103" s="620"/>
      <c r="L103" s="557"/>
      <c r="M103" s="661" t="s">
        <v>2589</v>
      </c>
    </row>
    <row r="104" spans="1:13">
      <c r="A104" s="444" t="s">
        <v>1771</v>
      </c>
      <c r="B104" s="97"/>
      <c r="C104" s="651"/>
      <c r="D104" s="620"/>
      <c r="E104" s="461"/>
      <c r="F104" s="1898"/>
      <c r="G104" s="475"/>
      <c r="H104" s="106"/>
      <c r="I104" s="106"/>
      <c r="J104" s="106"/>
      <c r="K104" s="620"/>
      <c r="L104" s="557"/>
      <c r="M104" s="661" t="s">
        <v>1771</v>
      </c>
    </row>
    <row r="105" spans="1:13">
      <c r="A105" s="444" t="s">
        <v>1772</v>
      </c>
      <c r="B105" s="97"/>
      <c r="C105" s="651"/>
      <c r="D105" s="620"/>
      <c r="E105" s="461"/>
      <c r="F105" s="1898"/>
      <c r="G105" s="475"/>
      <c r="H105" s="106"/>
      <c r="I105" s="106"/>
      <c r="J105" s="106"/>
      <c r="K105" s="620"/>
      <c r="L105" s="557"/>
      <c r="M105" s="661" t="s">
        <v>1772</v>
      </c>
    </row>
    <row r="106" spans="1:13">
      <c r="A106" s="444" t="s">
        <v>1773</v>
      </c>
      <c r="B106" s="97"/>
      <c r="C106" s="651"/>
      <c r="D106" s="620"/>
      <c r="E106" s="461"/>
      <c r="F106" s="1898"/>
      <c r="G106" s="475"/>
      <c r="H106" s="106"/>
      <c r="I106" s="106"/>
      <c r="J106" s="106"/>
      <c r="K106" s="620"/>
      <c r="L106" s="557"/>
      <c r="M106" s="661" t="s">
        <v>1773</v>
      </c>
    </row>
    <row r="107" spans="1:13">
      <c r="A107" s="444" t="s">
        <v>1774</v>
      </c>
      <c r="B107" s="97"/>
      <c r="C107" s="651"/>
      <c r="D107" s="620"/>
      <c r="E107" s="461"/>
      <c r="F107" s="1898"/>
      <c r="G107" s="475"/>
      <c r="H107" s="106"/>
      <c r="I107" s="106"/>
      <c r="J107" s="106"/>
      <c r="K107" s="620"/>
      <c r="L107" s="557"/>
      <c r="M107" s="661" t="s">
        <v>1774</v>
      </c>
    </row>
    <row r="108" spans="1:13">
      <c r="A108" s="444" t="s">
        <v>1775</v>
      </c>
      <c r="B108" s="97"/>
      <c r="C108" s="651"/>
      <c r="D108" s="620"/>
      <c r="E108" s="461"/>
      <c r="F108" s="1898"/>
      <c r="G108" s="475"/>
      <c r="H108" s="106"/>
      <c r="I108" s="106"/>
      <c r="J108" s="106"/>
      <c r="K108" s="620"/>
      <c r="L108" s="557"/>
      <c r="M108" s="661" t="s">
        <v>1775</v>
      </c>
    </row>
    <row r="109" spans="1:13">
      <c r="A109" s="444" t="s">
        <v>1776</v>
      </c>
      <c r="B109" s="97"/>
      <c r="C109" s="651"/>
      <c r="D109" s="620"/>
      <c r="E109" s="461"/>
      <c r="F109" s="1898"/>
      <c r="G109" s="475"/>
      <c r="H109" s="106"/>
      <c r="I109" s="106"/>
      <c r="J109" s="106"/>
      <c r="K109" s="620"/>
      <c r="L109" s="557"/>
      <c r="M109" s="661" t="s">
        <v>1776</v>
      </c>
    </row>
    <row r="110" spans="1:13">
      <c r="A110" s="444">
        <v>33</v>
      </c>
      <c r="B110" s="97"/>
      <c r="C110" s="651"/>
      <c r="D110" s="620"/>
      <c r="E110" s="461"/>
      <c r="F110" s="1898"/>
      <c r="G110" s="475"/>
      <c r="H110" s="106"/>
      <c r="I110" s="106"/>
      <c r="J110" s="106"/>
      <c r="K110" s="620"/>
      <c r="L110" s="557"/>
      <c r="M110" s="661">
        <v>33</v>
      </c>
    </row>
    <row r="111" spans="1:13">
      <c r="A111" s="444">
        <v>34</v>
      </c>
      <c r="B111" s="97"/>
      <c r="C111" s="651"/>
      <c r="D111" s="620"/>
      <c r="E111" s="461"/>
      <c r="F111" s="1898"/>
      <c r="G111" s="475"/>
      <c r="H111" s="106"/>
      <c r="I111" s="106"/>
      <c r="J111" s="106"/>
      <c r="K111" s="620"/>
      <c r="L111" s="557"/>
      <c r="M111" s="661">
        <v>34</v>
      </c>
    </row>
    <row r="112" spans="1:13">
      <c r="A112" s="444">
        <v>35</v>
      </c>
      <c r="B112" s="97"/>
      <c r="C112" s="651"/>
      <c r="D112" s="620"/>
      <c r="E112" s="461"/>
      <c r="F112" s="1898"/>
      <c r="G112" s="475"/>
      <c r="H112" s="106"/>
      <c r="I112" s="106"/>
      <c r="J112" s="106"/>
      <c r="K112" s="620"/>
      <c r="L112" s="557"/>
      <c r="M112" s="661">
        <v>35</v>
      </c>
    </row>
    <row r="113" spans="1:13">
      <c r="A113" s="444">
        <v>36</v>
      </c>
      <c r="B113" s="97"/>
      <c r="C113" s="651"/>
      <c r="D113" s="620"/>
      <c r="E113" s="461"/>
      <c r="F113" s="1898"/>
      <c r="G113" s="475"/>
      <c r="H113" s="106"/>
      <c r="I113" s="106"/>
      <c r="J113" s="106"/>
      <c r="K113" s="620"/>
      <c r="L113" s="557"/>
      <c r="M113" s="661">
        <v>36</v>
      </c>
    </row>
    <row r="114" spans="1:13">
      <c r="A114" s="444">
        <v>37</v>
      </c>
      <c r="B114" s="97"/>
      <c r="C114" s="651"/>
      <c r="D114" s="620"/>
      <c r="E114" s="461"/>
      <c r="F114" s="1898"/>
      <c r="G114" s="475"/>
      <c r="H114" s="106"/>
      <c r="I114" s="106"/>
      <c r="J114" s="106"/>
      <c r="K114" s="620"/>
      <c r="L114" s="557"/>
      <c r="M114" s="661">
        <v>37</v>
      </c>
    </row>
    <row r="115" spans="1:13">
      <c r="A115" s="444">
        <v>38</v>
      </c>
      <c r="B115" s="97"/>
      <c r="C115" s="651"/>
      <c r="D115" s="620"/>
      <c r="E115" s="461"/>
      <c r="F115" s="1898"/>
      <c r="G115" s="475"/>
      <c r="H115" s="106"/>
      <c r="I115" s="106"/>
      <c r="J115" s="106"/>
      <c r="K115" s="620"/>
      <c r="L115" s="557"/>
      <c r="M115" s="661">
        <v>38</v>
      </c>
    </row>
    <row r="116" spans="1:13">
      <c r="A116" s="444">
        <v>39</v>
      </c>
      <c r="B116" s="97"/>
      <c r="C116" s="651"/>
      <c r="D116" s="620"/>
      <c r="E116" s="461"/>
      <c r="F116" s="1898"/>
      <c r="G116" s="475"/>
      <c r="H116" s="106"/>
      <c r="I116" s="106"/>
      <c r="J116" s="106"/>
      <c r="K116" s="620"/>
      <c r="L116" s="557"/>
      <c r="M116" s="661">
        <v>39</v>
      </c>
    </row>
    <row r="117" spans="1:13">
      <c r="A117" s="444">
        <v>40</v>
      </c>
      <c r="B117" s="97"/>
      <c r="C117" s="651"/>
      <c r="D117" s="620"/>
      <c r="E117" s="461"/>
      <c r="F117" s="1898"/>
      <c r="G117" s="475"/>
      <c r="H117" s="106"/>
      <c r="I117" s="106"/>
      <c r="J117" s="106"/>
      <c r="K117" s="620"/>
      <c r="L117" s="557"/>
      <c r="M117" s="661">
        <v>40</v>
      </c>
    </row>
    <row r="118" spans="1:13">
      <c r="A118" s="444">
        <v>41</v>
      </c>
      <c r="B118" s="97"/>
      <c r="C118" s="651"/>
      <c r="D118" s="620"/>
      <c r="E118" s="461"/>
      <c r="F118" s="1898"/>
      <c r="G118" s="475"/>
      <c r="H118" s="106"/>
      <c r="I118" s="106"/>
      <c r="J118" s="106"/>
      <c r="K118" s="620"/>
      <c r="L118" s="557"/>
      <c r="M118" s="661">
        <v>41</v>
      </c>
    </row>
    <row r="119" spans="1:13">
      <c r="A119" s="444">
        <v>42</v>
      </c>
      <c r="B119" s="97"/>
      <c r="C119" s="651"/>
      <c r="D119" s="620"/>
      <c r="E119" s="461"/>
      <c r="F119" s="1898"/>
      <c r="G119" s="475"/>
      <c r="H119" s="106"/>
      <c r="I119" s="106"/>
      <c r="J119" s="106"/>
      <c r="K119" s="620"/>
      <c r="L119" s="557"/>
      <c r="M119" s="661">
        <v>42</v>
      </c>
    </row>
    <row r="120" spans="1:13">
      <c r="A120" s="444">
        <v>43</v>
      </c>
      <c r="B120" s="97"/>
      <c r="C120" s="651"/>
      <c r="D120" s="620"/>
      <c r="E120" s="461"/>
      <c r="F120" s="1898"/>
      <c r="G120" s="475"/>
      <c r="H120" s="106"/>
      <c r="I120" s="106"/>
      <c r="J120" s="106"/>
      <c r="K120" s="620"/>
      <c r="L120" s="557"/>
      <c r="M120" s="661">
        <v>43</v>
      </c>
    </row>
    <row r="121" spans="1:13">
      <c r="A121" s="444">
        <v>44</v>
      </c>
      <c r="B121" s="97"/>
      <c r="C121" s="651"/>
      <c r="D121" s="620"/>
      <c r="E121" s="461"/>
      <c r="F121" s="1898"/>
      <c r="G121" s="475"/>
      <c r="H121" s="106"/>
      <c r="I121" s="106"/>
      <c r="J121" s="106"/>
      <c r="K121" s="620"/>
      <c r="L121" s="557"/>
      <c r="M121" s="661">
        <v>44</v>
      </c>
    </row>
    <row r="122" spans="1:13">
      <c r="A122" s="444">
        <v>45</v>
      </c>
      <c r="B122" s="105" t="s">
        <v>662</v>
      </c>
      <c r="C122" s="651"/>
      <c r="D122" s="425">
        <f>SUM(D88:D121)</f>
        <v>54720000</v>
      </c>
      <c r="E122" s="423">
        <f>SUM(E88:E121)</f>
        <v>1648643</v>
      </c>
      <c r="F122" s="1968"/>
      <c r="G122" s="475"/>
      <c r="H122" s="106"/>
      <c r="I122" s="106"/>
      <c r="J122" s="106"/>
      <c r="K122" s="425">
        <f>SUM(K88:K121)</f>
        <v>54611060.329999998</v>
      </c>
      <c r="L122" s="425">
        <f>SUM(L88:L121)</f>
        <v>2849417.44</v>
      </c>
      <c r="M122" s="661">
        <v>45</v>
      </c>
    </row>
    <row r="123" spans="1:13">
      <c r="A123" s="444">
        <v>46</v>
      </c>
      <c r="B123" s="97"/>
      <c r="C123" s="651"/>
      <c r="D123" s="106"/>
      <c r="E123" s="98"/>
      <c r="F123" s="847"/>
      <c r="G123" s="475"/>
      <c r="H123" s="106"/>
      <c r="I123" s="106"/>
      <c r="J123" s="106"/>
      <c r="K123" s="106"/>
      <c r="L123" s="107"/>
      <c r="M123" s="661">
        <v>46</v>
      </c>
    </row>
    <row r="124" spans="1:13">
      <c r="A124" s="444">
        <v>47</v>
      </c>
      <c r="B124" s="97"/>
      <c r="C124" s="651"/>
      <c r="D124" s="106"/>
      <c r="E124" s="98"/>
      <c r="F124" s="847"/>
      <c r="G124" s="475"/>
      <c r="H124" s="106"/>
      <c r="I124" s="106"/>
      <c r="J124" s="106"/>
      <c r="K124" s="106"/>
      <c r="L124" s="107"/>
      <c r="M124" s="661">
        <v>47</v>
      </c>
    </row>
    <row r="125" spans="1:13" ht="15.75" thickBot="1">
      <c r="A125" s="480">
        <v>48</v>
      </c>
      <c r="B125" s="124"/>
      <c r="C125" s="138"/>
      <c r="D125" s="529"/>
      <c r="E125" s="483"/>
      <c r="F125" s="472"/>
      <c r="G125" s="654"/>
      <c r="H125" s="655"/>
      <c r="I125" s="655"/>
      <c r="J125" s="656"/>
      <c r="K125" s="529"/>
      <c r="L125" s="529"/>
      <c r="M125" s="662">
        <v>48</v>
      </c>
    </row>
    <row r="126" spans="1:13">
      <c r="A126" s="97" t="s">
        <v>4066</v>
      </c>
      <c r="B126" s="97"/>
      <c r="C126" s="97"/>
      <c r="D126" s="97"/>
      <c r="E126" s="97"/>
      <c r="F126" s="97"/>
      <c r="G126" s="97"/>
      <c r="H126" s="97"/>
      <c r="I126" s="97"/>
      <c r="J126" s="97"/>
      <c r="K126" s="97"/>
      <c r="L126" s="97" t="s">
        <v>4066</v>
      </c>
      <c r="M126" s="97"/>
    </row>
    <row r="127" spans="1:13">
      <c r="A127" s="128" t="s">
        <v>818</v>
      </c>
      <c r="B127" s="128"/>
      <c r="C127" s="128"/>
      <c r="D127" s="128"/>
      <c r="E127" s="128"/>
      <c r="F127" s="128"/>
      <c r="G127" s="128" t="s">
        <v>819</v>
      </c>
      <c r="H127" s="128"/>
      <c r="I127" s="128"/>
      <c r="J127" s="128"/>
      <c r="K127" s="128"/>
      <c r="L127" s="128"/>
      <c r="M127" s="128"/>
    </row>
    <row r="128" spans="1:13">
      <c r="A128" s="97"/>
      <c r="B128" s="97"/>
      <c r="C128" s="97"/>
      <c r="D128" s="97"/>
      <c r="E128" s="97"/>
      <c r="F128" s="97"/>
      <c r="G128" s="97"/>
      <c r="H128" s="97"/>
      <c r="I128" s="97"/>
      <c r="J128" s="97"/>
      <c r="K128" s="97"/>
      <c r="L128" s="97"/>
      <c r="M128" s="97"/>
    </row>
    <row r="129" spans="1:13">
      <c r="A129" s="97"/>
      <c r="B129" s="97"/>
      <c r="C129" s="97"/>
      <c r="D129" s="97"/>
      <c r="E129" s="97"/>
      <c r="F129" s="97"/>
      <c r="G129" s="97"/>
      <c r="H129" s="97"/>
      <c r="I129" s="97"/>
      <c r="J129" s="97"/>
      <c r="K129" s="97"/>
      <c r="L129" s="97"/>
      <c r="M129" s="97"/>
    </row>
    <row r="130" spans="1:13" ht="60" customHeight="1">
      <c r="A130" s="97"/>
      <c r="B130" s="97"/>
      <c r="C130" s="97"/>
    </row>
    <row r="131" spans="1:13">
      <c r="A131" s="97"/>
      <c r="B131" s="97"/>
      <c r="C131" s="97"/>
    </row>
    <row r="132" spans="1:13">
      <c r="A132" s="97"/>
      <c r="B132" s="97"/>
      <c r="C132" s="97"/>
    </row>
    <row r="133" spans="1:13">
      <c r="A133" s="97"/>
      <c r="B133" s="97"/>
      <c r="C133" s="97"/>
    </row>
    <row r="134" spans="1:13">
      <c r="A134" s="97"/>
      <c r="B134" s="97"/>
      <c r="C134" s="97"/>
    </row>
    <row r="135" spans="1:13">
      <c r="A135" s="97"/>
      <c r="B135" s="97"/>
      <c r="C135" s="97"/>
    </row>
    <row r="136" spans="1:13">
      <c r="A136" s="11"/>
      <c r="B136" s="97"/>
    </row>
    <row r="137" spans="1:13">
      <c r="A137" s="11"/>
      <c r="B137" s="97"/>
    </row>
    <row r="138" spans="1:13">
      <c r="A138" s="11"/>
      <c r="B138" s="97"/>
    </row>
    <row r="139" spans="1:13">
      <c r="A139" s="11"/>
      <c r="B139" s="97"/>
    </row>
    <row r="140" spans="1:13">
      <c r="A140" s="11"/>
      <c r="B140" s="97"/>
    </row>
    <row r="141" spans="1:13">
      <c r="A141" s="11"/>
      <c r="B141" s="97"/>
    </row>
    <row r="142" spans="1:13">
      <c r="A142" s="11"/>
      <c r="B142" s="97"/>
    </row>
    <row r="143" spans="1:13">
      <c r="A143" s="11"/>
      <c r="B143" s="97"/>
    </row>
    <row r="144" spans="1:13">
      <c r="A144" s="11"/>
      <c r="B144" s="97"/>
    </row>
    <row r="145" spans="1:2">
      <c r="A145" s="11"/>
      <c r="B145" s="97"/>
    </row>
    <row r="146" spans="1:2">
      <c r="A146" s="11"/>
      <c r="B146" s="97"/>
    </row>
    <row r="147" spans="1:2">
      <c r="A147" s="11"/>
      <c r="B147" s="97"/>
    </row>
    <row r="148" spans="1:2">
      <c r="A148" s="11"/>
      <c r="B148" s="97"/>
    </row>
    <row r="149" spans="1:2">
      <c r="A149" s="11"/>
      <c r="B149" s="97"/>
    </row>
  </sheetData>
  <customSheetViews>
    <customSheetView guid="{1BA452AD-1A45-4D9C-9666-ADFFA6F2F567}" scale="75" colorId="22" showPageBreaks="1" printArea="1" view="pageBreakPreview" topLeftCell="A92">
      <selection activeCell="A116" sqref="A116"/>
      <pageMargins left="0.75" right="0.4" top="0.3" bottom="0.3" header="0.5" footer="0.5"/>
      <pageSetup scale="67" fitToWidth="4" fitToHeight="4" pageOrder="overThenDown" orientation="portrait" r:id="rId1"/>
      <headerFooter alignWithMargins="0"/>
    </customSheetView>
    <customSheetView guid="{EEF7ABD6-0F96-4791-B749-C06F707E7673}" scale="75" colorId="22" showPageBreaks="1" printArea="1" view="pageBreakPreview" showRuler="0" topLeftCell="A46">
      <selection activeCell="N35" sqref="N35"/>
      <pageMargins left="0.75" right="0.4" top="0.3" bottom="0.3" header="0.5" footer="0.5"/>
      <pageSetup scale="67" fitToWidth="4" fitToHeight="4" pageOrder="overThenDown" orientation="portrait" r:id="rId2"/>
      <headerFooter alignWithMargins="0"/>
    </customSheetView>
    <customSheetView guid="{A7D7DB3C-AFE6-468E-8C6B-9531F6711497}" scale="85" colorId="22" showPageBreaks="1" printArea="1" view="pageBreakPreview" showRuler="0" topLeftCell="F62">
      <selection activeCell="K63" sqref="K63"/>
      <rowBreaks count="1" manualBreakCount="1">
        <brk id="65" max="16383" man="1"/>
      </rowBreaks>
      <colBreaks count="1" manualBreakCount="1">
        <brk id="5" max="1048575" man="1"/>
      </colBreaks>
      <pageMargins left="0.75" right="0.4" top="0.3" bottom="0.3" header="0.5" footer="0.5"/>
      <pageSetup scale="67" pageOrder="overThenDown" orientation="portrait" r:id="rId3"/>
      <headerFooter alignWithMargins="0"/>
    </customSheetView>
    <customSheetView guid="{4436FEB5-BFEC-4348-9286-CB706802873E}" scale="85" colorId="22" showPageBreaks="1" printArea="1" view="pageBreakPreview" showRuler="0" topLeftCell="C38">
      <selection activeCell="E64" sqref="E64"/>
      <rowBreaks count="1" manualBreakCount="1">
        <brk id="65" max="16383" man="1"/>
      </rowBreaks>
      <colBreaks count="1" manualBreakCount="1">
        <brk id="5" max="1048575" man="1"/>
      </colBreaks>
      <pageMargins left="0.75" right="0.4" top="0.3" bottom="0.3" header="0.5" footer="0.5"/>
      <pageSetup scale="67" pageOrder="overThenDown" orientation="portrait" r:id="rId4"/>
      <headerFooter alignWithMargins="0"/>
    </customSheetView>
    <customSheetView guid="{044CF00C-469F-44B3-B2C4-9B4049CE70CB}" scale="60" colorId="22" showPageBreaks="1" printArea="1" view="pageBreakPreview" showRuler="0" topLeftCell="C1">
      <selection activeCell="K40" sqref="K40"/>
      <rowBreaks count="1" manualBreakCount="1">
        <brk id="65" max="16383" man="1"/>
      </rowBreaks>
      <colBreaks count="1" manualBreakCount="1">
        <brk id="5" max="1048575" man="1"/>
      </colBreaks>
      <pageMargins left="0.75" right="0.4" top="0.3" bottom="0.3" header="0.5" footer="0.5"/>
      <pageSetup scale="67" pageOrder="overThenDown" orientation="portrait" r:id="rId5"/>
      <headerFooter alignWithMargins="0"/>
    </customSheetView>
    <customSheetView guid="{4826FCC0-BDD6-4B2C-ACC6-ACE271DDF0E3}" scale="75" colorId="22" showPageBreaks="1" printArea="1" view="pageBreakPreview" showRuler="0" topLeftCell="E25">
      <selection activeCell="N35" sqref="N35"/>
      <pageMargins left="0.75" right="0.4" top="0.3" bottom="0.3" header="0.5" footer="0.5"/>
      <pageSetup scale="67" fitToWidth="4" fitToHeight="4" pageOrder="overThenDown" orientation="portrait" r:id="rId6"/>
      <headerFooter alignWithMargins="0"/>
    </customSheetView>
    <customSheetView guid="{EF376D10-23D6-4FE2-AB5B-4460D52CC93F}" scale="75" colorId="22" showPageBreaks="1" printArea="1" view="pageBreakPreview" showRuler="0" topLeftCell="A46">
      <selection activeCell="N35" sqref="N35"/>
      <pageMargins left="0.75" right="0.4" top="0.3" bottom="0.3" header="0.5" footer="0.5"/>
      <pageSetup scale="67" fitToWidth="4" fitToHeight="4" pageOrder="overThenDown" orientation="portrait" r:id="rId7"/>
      <headerFooter alignWithMargins="0"/>
    </customSheetView>
    <customSheetView guid="{1C046605-15CE-44F1-BFCD-2CA8588E7ACF}" scale="75" colorId="22" showPageBreaks="1" printArea="1" view="pageBreakPreview" showRuler="0" topLeftCell="A91">
      <selection activeCell="B112" sqref="B112"/>
      <pageMargins left="0.75" right="0.4" top="0.3" bottom="0.3" header="0.5" footer="0.5"/>
      <pageSetup scale="67" fitToWidth="4" fitToHeight="4" pageOrder="overThenDown" orientation="portrait" r:id="rId8"/>
      <headerFooter alignWithMargins="0"/>
    </customSheetView>
    <customSheetView guid="{3911D713-188C-46A1-A299-F21DD3B7A146}" scale="75" colorId="22" showPageBreaks="1" printArea="1" view="pageBreakPreview" showRuler="0" topLeftCell="A91">
      <selection activeCell="B112" sqref="B112"/>
      <pageMargins left="0.75" right="0.4" top="0.3" bottom="0.3" header="0.5" footer="0.5"/>
      <pageSetup scale="67" fitToWidth="4" fitToHeight="4" pageOrder="overThenDown" orientation="portrait" r:id="rId9"/>
      <headerFooter alignWithMargins="0"/>
    </customSheetView>
    <customSheetView guid="{78BB1E60-60BE-4F56-9763-075185EFEFAB}" scale="75" colorId="22" showPageBreaks="1" printArea="1" view="pageBreakPreview">
      <selection activeCell="A7" sqref="A7"/>
      <pageMargins left="0.75" right="0.4" top="0.3" bottom="0.3" header="0.5" footer="0.5"/>
      <pageSetup scale="67" fitToWidth="4" fitToHeight="4" pageOrder="overThenDown" orientation="portrait" r:id="rId10"/>
      <headerFooter alignWithMargins="0"/>
    </customSheetView>
    <customSheetView guid="{9C30803E-1E2D-4850-B0A5-591CA6F246A1}" scale="75" colorId="22" showPageBreaks="1" printArea="1" view="pageBreakPreview" topLeftCell="D40">
      <selection activeCell="L64" sqref="L64"/>
      <pageMargins left="0.75" right="0.4" top="0.3" bottom="0.3" header="0.5" footer="0.5"/>
      <pageSetup scale="67" fitToWidth="4" fitToHeight="4" pageOrder="overThenDown" orientation="portrait" r:id="rId11"/>
      <headerFooter alignWithMargins="0"/>
    </customSheetView>
    <customSheetView guid="{3B1006FF-A2CA-49E7-9B25-DAC8815279AF}" scale="75" colorId="22" showPageBreaks="1" printArea="1" view="pageBreakPreview">
      <selection activeCell="A7" sqref="A7"/>
      <pageMargins left="0.75" right="0.4" top="0.3" bottom="0.3" header="0.5" footer="0.5"/>
      <pageSetup scale="67" fitToWidth="4" fitToHeight="4" pageOrder="overThenDown" orientation="portrait" r:id="rId12"/>
      <headerFooter alignWithMargins="0"/>
    </customSheetView>
    <customSheetView guid="{FB1A60C8-E1F9-4DF0-8E0E-1C965F86027F}" scale="75" colorId="22" showPageBreaks="1" printArea="1" view="pageBreakPreview">
      <selection activeCell="A7" sqref="A7"/>
      <pageMargins left="0.75" right="0.4" top="0.3" bottom="0.3" header="0.5" footer="0.5"/>
      <pageSetup scale="67" fitToWidth="4" fitToHeight="4" pageOrder="overThenDown" orientation="portrait" r:id="rId13"/>
      <headerFooter alignWithMargins="0"/>
    </customSheetView>
    <customSheetView guid="{C5B6D812-CBE6-46AA-99F7-02494E9802B4}" scale="80" colorId="22" showPageBreaks="1" printArea="1" view="pageBreakPreview" topLeftCell="A66">
      <selection activeCell="H86" sqref="H86"/>
      <pageMargins left="0.6" right="0.4" top="0.3" bottom="0.3" header="0.5" footer="0.5"/>
      <pageSetup scale="67" fitToWidth="4" fitToHeight="4" pageOrder="overThenDown" orientation="portrait" r:id="rId14"/>
      <headerFooter alignWithMargins="0"/>
    </customSheetView>
  </customSheetViews>
  <mergeCells count="1">
    <mergeCell ref="A3:E3"/>
  </mergeCells>
  <phoneticPr fontId="0" type="noConversion"/>
  <pageMargins left="0.6" right="0.4" top="0.3" bottom="0.3" header="0.5" footer="0.5"/>
  <pageSetup scale="67" fitToWidth="4" fitToHeight="4" pageOrder="overThenDown" orientation="portrait" r:id="rId15"/>
  <headerFooter alignWithMargins="0"/>
  <customProperties>
    <customPr name="_pios_id" r:id="rId16"/>
  </customProperties>
</worksheet>
</file>

<file path=xl/worksheets/sheet39.xml><?xml version="1.0" encoding="utf-8"?>
<worksheet xmlns="http://schemas.openxmlformats.org/spreadsheetml/2006/main" xmlns:r="http://schemas.openxmlformats.org/officeDocument/2006/relationships">
  <sheetPr transitionEvaluation="1" codeName="Sheet39" enableFormatConditionsCalculation="0"/>
  <dimension ref="A1:DC188"/>
  <sheetViews>
    <sheetView defaultGridColor="0" colorId="22" zoomScale="70" zoomScaleNormal="70" zoomScaleSheetLayoutView="25" workbookViewId="0"/>
  </sheetViews>
  <sheetFormatPr defaultColWidth="9.77734375" defaultRowHeight="15"/>
  <cols>
    <col min="1" max="1" width="4.77734375" customWidth="1"/>
    <col min="2" max="2" width="32.109375" customWidth="1"/>
    <col min="3" max="3" width="16.77734375" customWidth="1"/>
    <col min="4" max="4" width="18.77734375" customWidth="1"/>
    <col min="5" max="6" width="16.77734375" customWidth="1"/>
    <col min="7" max="7" width="17.5546875" customWidth="1"/>
    <col min="8" max="8" width="1.77734375" customWidth="1"/>
    <col min="9" max="10" width="18.77734375" customWidth="1"/>
    <col min="11" max="11" width="18.77734375" style="1633" customWidth="1"/>
    <col min="12" max="14" width="18.77734375" customWidth="1"/>
    <col min="15" max="15" width="5.77734375" customWidth="1"/>
    <col min="16" max="16" width="30.88671875" customWidth="1"/>
    <col min="17" max="17" width="14.6640625" bestFit="1" customWidth="1"/>
    <col min="18" max="18" width="14.44140625" bestFit="1" customWidth="1"/>
    <col min="20" max="21" width="10.21875" bestFit="1" customWidth="1"/>
    <col min="23" max="23" width="13.44140625" customWidth="1"/>
  </cols>
  <sheetData>
    <row r="1" spans="1:107" ht="15.75" thickBot="1">
      <c r="A1" s="186" t="str">
        <f>'Data sheet'!$A$65</f>
        <v>Annual Report of New York American Water Company, Inc. (f/k/a Long Island Water Corp)                                    Year Ended  December 31, 2013</v>
      </c>
      <c r="I1" s="186" t="str">
        <f>'Data sheet'!$A$65</f>
        <v>Annual Report of New York American Water Company, Inc. (f/k/a Long Island Water Corp)                                    Year Ended  December 31, 2013</v>
      </c>
    </row>
    <row r="2" spans="1:107">
      <c r="A2" s="142"/>
      <c r="B2" s="143"/>
      <c r="C2" s="143"/>
      <c r="D2" s="143"/>
      <c r="E2" s="143"/>
      <c r="F2" s="143"/>
      <c r="G2" s="144"/>
      <c r="H2" s="143"/>
      <c r="I2" s="142"/>
      <c r="J2" s="143"/>
      <c r="K2" s="1708"/>
      <c r="L2" s="143"/>
      <c r="M2" s="143"/>
      <c r="N2" s="143"/>
      <c r="O2" s="144"/>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c r="CN2" s="97"/>
      <c r="CO2" s="97"/>
      <c r="CP2" s="97"/>
      <c r="CQ2" s="97"/>
      <c r="CR2" s="97"/>
      <c r="CS2" s="97"/>
      <c r="CT2" s="97"/>
      <c r="CU2" s="97"/>
      <c r="CV2" s="97"/>
      <c r="CW2" s="97"/>
      <c r="CX2" s="97"/>
      <c r="CY2" s="97"/>
      <c r="CZ2" s="97"/>
      <c r="DA2" s="97"/>
      <c r="DB2" s="97"/>
      <c r="DC2" s="97"/>
    </row>
    <row r="3" spans="1:107" ht="15.75">
      <c r="A3" s="3040" t="s">
        <v>488</v>
      </c>
      <c r="B3" s="3041"/>
      <c r="C3" s="3041"/>
      <c r="D3" s="3041"/>
      <c r="E3" s="3041"/>
      <c r="F3" s="3041"/>
      <c r="G3" s="3042"/>
      <c r="H3" s="2811"/>
      <c r="I3" s="130" t="s">
        <v>489</v>
      </c>
      <c r="J3" s="128"/>
      <c r="K3" s="1709"/>
      <c r="L3" s="128"/>
      <c r="M3" s="128"/>
      <c r="N3" s="128"/>
      <c r="O3" s="145"/>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row>
    <row r="4" spans="1:107">
      <c r="A4" s="136"/>
      <c r="B4" s="146"/>
      <c r="C4" s="146"/>
      <c r="D4" s="146"/>
      <c r="E4" s="146"/>
      <c r="F4" s="146"/>
      <c r="G4" s="603"/>
      <c r="H4" s="146"/>
      <c r="I4" s="663"/>
      <c r="J4" s="146"/>
      <c r="K4" s="1710"/>
      <c r="L4" s="146"/>
      <c r="M4" s="146"/>
      <c r="N4" s="146"/>
      <c r="O4" s="603"/>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row>
    <row r="5" spans="1:107">
      <c r="A5" s="96"/>
      <c r="B5" s="97" t="s">
        <v>490</v>
      </c>
      <c r="C5" s="97"/>
      <c r="D5" s="97"/>
      <c r="E5" s="97"/>
      <c r="F5" s="97"/>
      <c r="G5" s="98"/>
      <c r="H5" s="847"/>
      <c r="I5" s="96" t="s">
        <v>2884</v>
      </c>
      <c r="J5" s="97"/>
      <c r="K5" s="1653"/>
      <c r="L5" s="97"/>
      <c r="M5" s="97"/>
      <c r="N5" s="97"/>
      <c r="O5" s="98"/>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row>
    <row r="6" spans="1:107">
      <c r="A6" s="96"/>
      <c r="B6" s="97" t="s">
        <v>2885</v>
      </c>
      <c r="C6" s="97"/>
      <c r="D6" s="97"/>
      <c r="E6" s="97"/>
      <c r="F6" s="97"/>
      <c r="G6" s="98"/>
      <c r="H6" s="847"/>
      <c r="I6" s="96" t="s">
        <v>0</v>
      </c>
      <c r="J6" s="97"/>
      <c r="K6" s="1653"/>
      <c r="L6" s="97"/>
      <c r="M6" s="97"/>
      <c r="N6" s="97"/>
      <c r="O6" s="98"/>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row>
    <row r="7" spans="1:107">
      <c r="A7" s="96"/>
      <c r="B7" s="97" t="s">
        <v>407</v>
      </c>
      <c r="C7" s="97"/>
      <c r="D7" s="97"/>
      <c r="E7" s="97"/>
      <c r="F7" s="97"/>
      <c r="G7" s="98"/>
      <c r="H7" s="847"/>
      <c r="I7" s="96" t="s">
        <v>1545</v>
      </c>
      <c r="J7" s="97"/>
      <c r="K7" s="1653"/>
      <c r="L7" s="97"/>
      <c r="M7" s="97"/>
      <c r="N7" s="97"/>
      <c r="O7" s="98"/>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row>
    <row r="8" spans="1:107">
      <c r="A8" s="96"/>
      <c r="B8" s="97" t="s">
        <v>2742</v>
      </c>
      <c r="C8" s="97"/>
      <c r="D8" s="97"/>
      <c r="E8" s="97"/>
      <c r="F8" s="97"/>
      <c r="G8" s="98"/>
      <c r="H8" s="847"/>
      <c r="I8" s="96" t="s">
        <v>3644</v>
      </c>
      <c r="J8" s="97"/>
      <c r="K8" s="1653"/>
      <c r="L8" s="97"/>
      <c r="M8" s="97"/>
      <c r="N8" s="97"/>
      <c r="O8" s="98"/>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c r="CN8" s="97"/>
      <c r="CO8" s="97"/>
      <c r="CP8" s="97"/>
      <c r="CQ8" s="97"/>
      <c r="CR8" s="97"/>
      <c r="CS8" s="97"/>
      <c r="CT8" s="97"/>
      <c r="CU8" s="97"/>
    </row>
    <row r="9" spans="1:107">
      <c r="A9" s="96"/>
      <c r="B9" s="97" t="s">
        <v>2171</v>
      </c>
      <c r="C9" s="97"/>
      <c r="D9" s="97"/>
      <c r="E9" s="97"/>
      <c r="F9" s="97"/>
      <c r="G9" s="98"/>
      <c r="H9" s="847"/>
      <c r="I9" s="96" t="s">
        <v>367</v>
      </c>
      <c r="J9" s="97"/>
      <c r="K9" s="1653"/>
      <c r="L9" s="97"/>
      <c r="M9" s="97"/>
      <c r="N9" s="97"/>
      <c r="O9" s="98"/>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c r="CN9" s="97"/>
      <c r="CO9" s="97"/>
      <c r="CP9" s="97"/>
      <c r="CQ9" s="97"/>
      <c r="CR9" s="97"/>
      <c r="CS9" s="97"/>
      <c r="CT9" s="97"/>
      <c r="CU9" s="97"/>
    </row>
    <row r="10" spans="1:107">
      <c r="A10" s="96"/>
      <c r="B10" s="97" t="s">
        <v>2508</v>
      </c>
      <c r="C10" s="97"/>
      <c r="D10" s="97"/>
      <c r="E10" s="97"/>
      <c r="F10" s="97"/>
      <c r="G10" s="98"/>
      <c r="H10" s="847"/>
      <c r="I10" s="96" t="s">
        <v>225</v>
      </c>
      <c r="J10" s="97"/>
      <c r="K10" s="1653"/>
      <c r="L10" s="97"/>
      <c r="M10" s="97"/>
      <c r="N10" s="97"/>
      <c r="O10" s="98"/>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c r="CC10" s="97"/>
      <c r="CD10" s="97"/>
      <c r="CE10" s="97"/>
      <c r="CF10" s="97"/>
      <c r="CG10" s="97"/>
      <c r="CH10" s="97"/>
      <c r="CI10" s="97"/>
      <c r="CJ10" s="97"/>
      <c r="CK10" s="97"/>
      <c r="CL10" s="97"/>
      <c r="CM10" s="97"/>
      <c r="CN10" s="97"/>
      <c r="CO10" s="97"/>
      <c r="CP10" s="97"/>
      <c r="CQ10" s="97"/>
      <c r="CR10" s="97"/>
      <c r="CS10" s="97"/>
      <c r="CT10" s="97"/>
      <c r="CU10" s="97"/>
    </row>
    <row r="11" spans="1:107">
      <c r="A11" s="96"/>
      <c r="B11" s="97" t="s">
        <v>226</v>
      </c>
      <c r="C11" s="97"/>
      <c r="D11" s="97"/>
      <c r="E11" s="97"/>
      <c r="F11" s="97"/>
      <c r="G11" s="98"/>
      <c r="H11" s="847"/>
      <c r="I11" s="96"/>
      <c r="J11" s="97"/>
      <c r="K11" s="1653"/>
      <c r="L11" s="97"/>
      <c r="M11" s="97"/>
      <c r="N11" s="97"/>
      <c r="O11" s="98"/>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c r="CC11" s="97"/>
      <c r="CD11" s="97"/>
      <c r="CE11" s="97"/>
      <c r="CF11" s="97"/>
      <c r="CG11" s="97"/>
      <c r="CH11" s="97"/>
      <c r="CI11" s="97"/>
      <c r="CJ11" s="97"/>
      <c r="CK11" s="97"/>
      <c r="CL11" s="97"/>
      <c r="CM11" s="97"/>
      <c r="CN11" s="97"/>
      <c r="CO11" s="97"/>
      <c r="CP11" s="97"/>
      <c r="CQ11" s="97"/>
      <c r="CR11" s="97"/>
      <c r="CS11" s="97"/>
      <c r="CT11" s="97"/>
      <c r="CU11" s="97"/>
    </row>
    <row r="12" spans="1:107">
      <c r="A12" s="96"/>
      <c r="B12" s="97" t="s">
        <v>227</v>
      </c>
      <c r="C12" s="97"/>
      <c r="D12" s="97"/>
      <c r="E12" s="97"/>
      <c r="F12" s="97"/>
      <c r="G12" s="98"/>
      <c r="H12" s="847"/>
      <c r="I12" s="96" t="s">
        <v>3234</v>
      </c>
      <c r="J12" s="97"/>
      <c r="K12" s="1653"/>
      <c r="L12" s="97"/>
      <c r="M12" s="97"/>
      <c r="N12" s="97"/>
      <c r="O12" s="98"/>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c r="CN12" s="97"/>
      <c r="CO12" s="97"/>
      <c r="CP12" s="97"/>
      <c r="CQ12" s="97"/>
      <c r="CR12" s="97"/>
      <c r="CS12" s="97"/>
      <c r="CT12" s="97"/>
      <c r="CU12" s="97"/>
    </row>
    <row r="13" spans="1:107">
      <c r="A13" s="96"/>
      <c r="B13" s="97" t="s">
        <v>3235</v>
      </c>
      <c r="C13" s="97"/>
      <c r="D13" s="97"/>
      <c r="E13" s="97"/>
      <c r="F13" s="97"/>
      <c r="G13" s="98"/>
      <c r="H13" s="847"/>
      <c r="I13" s="96"/>
      <c r="J13" s="97"/>
      <c r="K13" s="1653"/>
      <c r="L13" s="97"/>
      <c r="M13" s="97"/>
      <c r="N13" s="97"/>
      <c r="O13" s="98"/>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row>
    <row r="14" spans="1:107">
      <c r="A14" s="96"/>
      <c r="B14" s="97" t="s">
        <v>974</v>
      </c>
      <c r="C14" s="97"/>
      <c r="D14" s="97"/>
      <c r="E14" s="97"/>
      <c r="F14" s="97"/>
      <c r="G14" s="98"/>
      <c r="H14" s="847"/>
      <c r="I14" s="96" t="s">
        <v>3540</v>
      </c>
      <c r="J14" s="97"/>
      <c r="K14" s="1653"/>
      <c r="L14" s="97"/>
      <c r="M14" s="97"/>
      <c r="N14" s="97"/>
      <c r="O14" s="98"/>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row>
    <row r="15" spans="1:107">
      <c r="A15" s="96"/>
      <c r="B15" s="97" t="s">
        <v>3155</v>
      </c>
      <c r="C15" s="97"/>
      <c r="D15" s="97"/>
      <c r="E15" s="97"/>
      <c r="F15" s="441"/>
      <c r="G15" s="98"/>
      <c r="H15" s="847"/>
      <c r="I15" s="96"/>
      <c r="J15" s="97"/>
      <c r="K15" s="1653"/>
      <c r="L15" s="97"/>
      <c r="M15" s="97"/>
      <c r="N15" s="97"/>
      <c r="O15" s="98"/>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row>
    <row r="16" spans="1:107">
      <c r="A16" s="409"/>
      <c r="B16" s="150"/>
      <c r="C16" s="664" t="s">
        <v>2085</v>
      </c>
      <c r="D16" s="516"/>
      <c r="E16" s="150"/>
      <c r="F16" s="150"/>
      <c r="G16" s="156"/>
      <c r="H16" s="101"/>
      <c r="I16" s="665" t="s">
        <v>2086</v>
      </c>
      <c r="J16" s="516"/>
      <c r="K16" s="1711" t="s">
        <v>265</v>
      </c>
      <c r="L16" s="516"/>
      <c r="M16" s="516"/>
      <c r="N16" s="516"/>
      <c r="O16" s="51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7"/>
      <c r="CC16" s="97"/>
      <c r="CD16" s="97"/>
      <c r="CE16" s="97"/>
      <c r="CF16" s="97"/>
      <c r="CG16" s="97"/>
      <c r="CH16" s="97"/>
      <c r="CI16" s="97"/>
      <c r="CJ16" s="97"/>
      <c r="CK16" s="97"/>
      <c r="CL16" s="97"/>
      <c r="CM16" s="97"/>
      <c r="CN16" s="97"/>
      <c r="CO16" s="97"/>
      <c r="CP16" s="97"/>
      <c r="CQ16" s="97"/>
      <c r="CR16" s="97"/>
      <c r="CS16" s="97"/>
      <c r="CT16" s="97"/>
      <c r="CU16" s="97"/>
    </row>
    <row r="17" spans="1:107">
      <c r="A17" s="121"/>
      <c r="B17" s="160"/>
      <c r="C17" s="160"/>
      <c r="D17" s="666" t="s">
        <v>266</v>
      </c>
      <c r="E17" s="160"/>
      <c r="F17" s="160"/>
      <c r="G17" s="148"/>
      <c r="H17" s="847"/>
      <c r="I17" s="96"/>
      <c r="J17" s="160"/>
      <c r="K17" s="1625"/>
      <c r="L17" s="160"/>
      <c r="M17" s="167"/>
      <c r="N17" s="666" t="s">
        <v>1137</v>
      </c>
      <c r="O17" s="410"/>
      <c r="P17" s="2069"/>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c r="CC17" s="97"/>
      <c r="CD17" s="97"/>
      <c r="CE17" s="97"/>
      <c r="CF17" s="97"/>
      <c r="CG17" s="97"/>
      <c r="CH17" s="97"/>
      <c r="CI17" s="97"/>
      <c r="CJ17" s="97"/>
      <c r="CK17" s="97"/>
      <c r="CL17" s="97"/>
      <c r="CM17" s="97"/>
      <c r="CN17" s="97"/>
      <c r="CO17" s="97"/>
      <c r="CP17" s="97"/>
      <c r="CQ17" s="97"/>
      <c r="CR17" s="97"/>
      <c r="CS17" s="97"/>
      <c r="CT17" s="97"/>
      <c r="CU17" s="97"/>
    </row>
    <row r="18" spans="1:107">
      <c r="A18" s="121"/>
      <c r="B18" s="666" t="s">
        <v>1710</v>
      </c>
      <c r="C18" s="666" t="s">
        <v>1711</v>
      </c>
      <c r="D18" s="666">
        <v>0</v>
      </c>
      <c r="E18" s="666" t="s">
        <v>1712</v>
      </c>
      <c r="F18" s="666" t="s">
        <v>1713</v>
      </c>
      <c r="G18" s="148"/>
      <c r="H18" s="847"/>
      <c r="I18" s="121" t="s">
        <v>3366</v>
      </c>
      <c r="J18" s="666" t="s">
        <v>266</v>
      </c>
      <c r="K18" s="1622" t="s">
        <v>4260</v>
      </c>
      <c r="L18" s="160"/>
      <c r="M18" s="666" t="s">
        <v>3367</v>
      </c>
      <c r="N18" s="666" t="s">
        <v>2174</v>
      </c>
      <c r="O18" s="410"/>
      <c r="P18" s="2069"/>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c r="CC18" s="97"/>
      <c r="CD18" s="97"/>
      <c r="CE18" s="97"/>
      <c r="CF18" s="97"/>
      <c r="CG18" s="97"/>
      <c r="CH18" s="97"/>
      <c r="CI18" s="97"/>
      <c r="CJ18" s="97"/>
      <c r="CK18" s="97"/>
      <c r="CL18" s="97"/>
      <c r="CM18" s="97"/>
      <c r="CN18" s="97"/>
      <c r="CO18" s="97"/>
      <c r="CP18" s="97"/>
      <c r="CQ18" s="97"/>
      <c r="CR18" s="97"/>
      <c r="CS18" s="97"/>
      <c r="CT18" s="97"/>
      <c r="CU18" s="97"/>
    </row>
    <row r="19" spans="1:107">
      <c r="A19" s="121" t="s">
        <v>1129</v>
      </c>
      <c r="B19" s="666" t="s">
        <v>2175</v>
      </c>
      <c r="C19" s="666" t="s">
        <v>2176</v>
      </c>
      <c r="D19" s="666" t="s">
        <v>2177</v>
      </c>
      <c r="E19" s="666" t="s">
        <v>3531</v>
      </c>
      <c r="F19" s="666" t="s">
        <v>3531</v>
      </c>
      <c r="G19" s="410" t="s">
        <v>560</v>
      </c>
      <c r="H19" s="1852"/>
      <c r="I19" s="121" t="s">
        <v>2178</v>
      </c>
      <c r="J19" s="666" t="s">
        <v>3299</v>
      </c>
      <c r="K19" s="1622" t="s">
        <v>3300</v>
      </c>
      <c r="L19" s="666"/>
      <c r="M19" s="666" t="s">
        <v>3300</v>
      </c>
      <c r="N19" s="666" t="s">
        <v>3300</v>
      </c>
      <c r="O19" s="410" t="s">
        <v>1129</v>
      </c>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c r="CC19" s="97"/>
      <c r="CD19" s="97"/>
      <c r="CE19" s="97"/>
      <c r="CF19" s="97"/>
      <c r="CG19" s="97"/>
      <c r="CH19" s="97"/>
      <c r="CI19" s="97"/>
      <c r="CJ19" s="97"/>
      <c r="CK19" s="97"/>
      <c r="CL19" s="97"/>
      <c r="CM19" s="97"/>
      <c r="CN19" s="97"/>
      <c r="CO19" s="97"/>
      <c r="CP19" s="97"/>
      <c r="CQ19" s="97"/>
      <c r="CR19" s="97"/>
      <c r="CS19" s="97"/>
      <c r="CT19" s="97"/>
      <c r="CU19" s="97"/>
    </row>
    <row r="20" spans="1:107">
      <c r="A20" s="411" t="s">
        <v>3324</v>
      </c>
      <c r="B20" s="667" t="s">
        <v>4032</v>
      </c>
      <c r="C20" s="667" t="s">
        <v>4033</v>
      </c>
      <c r="D20" s="667" t="s">
        <v>4034</v>
      </c>
      <c r="E20" s="667" t="s">
        <v>4035</v>
      </c>
      <c r="F20" s="667" t="s">
        <v>2277</v>
      </c>
      <c r="G20" s="414" t="s">
        <v>2278</v>
      </c>
      <c r="H20" s="799"/>
      <c r="I20" s="411" t="s">
        <v>2279</v>
      </c>
      <c r="J20" s="667" t="s">
        <v>2280</v>
      </c>
      <c r="K20" s="1712" t="s">
        <v>2281</v>
      </c>
      <c r="L20" s="667" t="s">
        <v>2282</v>
      </c>
      <c r="M20" s="667" t="s">
        <v>2283</v>
      </c>
      <c r="N20" s="667" t="s">
        <v>2284</v>
      </c>
      <c r="O20" s="414" t="s">
        <v>3324</v>
      </c>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7"/>
      <c r="CC20" s="97"/>
      <c r="CD20" s="97"/>
      <c r="CE20" s="97"/>
      <c r="CF20" s="97"/>
      <c r="CG20" s="97"/>
      <c r="CH20" s="97"/>
      <c r="CI20" s="97"/>
      <c r="CJ20" s="97"/>
      <c r="CK20" s="97"/>
      <c r="CL20" s="97"/>
      <c r="CM20" s="97"/>
      <c r="CN20" s="97"/>
      <c r="CO20" s="97"/>
      <c r="CP20" s="97"/>
      <c r="CQ20" s="97"/>
      <c r="CR20" s="97"/>
      <c r="CS20" s="97"/>
      <c r="CT20" s="97"/>
      <c r="CU20" s="97"/>
    </row>
    <row r="21" spans="1:107" ht="15.75">
      <c r="A21" s="121"/>
      <c r="B21" s="160" t="s">
        <v>1829</v>
      </c>
      <c r="C21" s="160"/>
      <c r="D21" s="160"/>
      <c r="E21" s="160"/>
      <c r="F21" s="160"/>
      <c r="G21" s="148"/>
      <c r="H21" s="847"/>
      <c r="I21" s="96"/>
      <c r="J21" s="160"/>
      <c r="K21" s="1625"/>
      <c r="L21" s="668"/>
      <c r="M21" s="160"/>
      <c r="N21" s="536"/>
      <c r="O21" s="410"/>
      <c r="P21" s="97"/>
      <c r="Q21" s="484"/>
      <c r="R21" s="484"/>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c r="CC21" s="97"/>
      <c r="CD21" s="97"/>
      <c r="CE21" s="97"/>
      <c r="CF21" s="97"/>
      <c r="CG21" s="97"/>
      <c r="CH21" s="97"/>
      <c r="CI21" s="97"/>
      <c r="CJ21" s="97"/>
      <c r="CK21" s="97"/>
      <c r="CL21" s="97"/>
      <c r="CM21" s="97"/>
      <c r="CN21" s="97"/>
      <c r="CO21" s="97"/>
      <c r="CP21" s="97"/>
      <c r="CQ21" s="97"/>
      <c r="CR21" s="97"/>
      <c r="CS21" s="97"/>
      <c r="CT21" s="97"/>
      <c r="CU21" s="97"/>
    </row>
    <row r="22" spans="1:107" s="1633" customFormat="1">
      <c r="A22" s="1651">
        <v>1</v>
      </c>
      <c r="B22" s="1625" t="s">
        <v>2622</v>
      </c>
      <c r="C22" s="1064">
        <v>1071120</v>
      </c>
      <c r="D22" s="1064"/>
      <c r="E22" s="2352">
        <f>-3916604+1964791</f>
        <v>-1951813</v>
      </c>
      <c r="F22" s="1064">
        <v>-1052005</v>
      </c>
      <c r="G22" s="2353">
        <f>3152824-1964791+1976129-56556</f>
        <v>3107606</v>
      </c>
      <c r="H22" s="1971"/>
      <c r="I22" s="1744">
        <f>+C22+E22-F22+G22</f>
        <v>3278918</v>
      </c>
      <c r="J22" s="1064"/>
      <c r="K22" s="1064">
        <f>-3916843+1964791</f>
        <v>-1952052</v>
      </c>
      <c r="L22" s="668"/>
      <c r="M22" s="1064">
        <f>+E22-K22-C79</f>
        <v>0</v>
      </c>
      <c r="N22" s="1064"/>
      <c r="O22" s="1652">
        <v>1</v>
      </c>
      <c r="P22" s="1694"/>
      <c r="Q22" s="2167"/>
      <c r="R22" s="2168"/>
      <c r="T22" s="1653"/>
      <c r="U22" s="1653"/>
      <c r="V22" s="1653"/>
      <c r="W22" s="1653"/>
      <c r="X22" s="1653"/>
      <c r="Y22" s="1653"/>
      <c r="Z22" s="1653"/>
      <c r="AA22" s="1653"/>
      <c r="AB22" s="1653"/>
      <c r="AC22" s="1653"/>
      <c r="AD22" s="1653"/>
      <c r="AE22" s="1653"/>
      <c r="AF22" s="1653"/>
      <c r="AG22" s="1653"/>
      <c r="AH22" s="1653"/>
      <c r="AI22" s="1653"/>
      <c r="AJ22" s="1653"/>
      <c r="AK22" s="1653"/>
      <c r="AL22" s="1653"/>
      <c r="AM22" s="1653"/>
      <c r="AN22" s="1653"/>
      <c r="AO22" s="1653"/>
      <c r="AP22" s="1653"/>
      <c r="AQ22" s="1653"/>
      <c r="AR22" s="1653"/>
      <c r="AS22" s="1653"/>
      <c r="AT22" s="1653"/>
      <c r="AU22" s="1653"/>
      <c r="AV22" s="1653"/>
      <c r="AW22" s="1653"/>
      <c r="AX22" s="1653"/>
      <c r="AY22" s="1653"/>
      <c r="AZ22" s="1653"/>
      <c r="BA22" s="1653"/>
      <c r="BB22" s="1653"/>
      <c r="BC22" s="1653"/>
      <c r="BD22" s="1653"/>
      <c r="BE22" s="1653"/>
      <c r="BF22" s="1653"/>
      <c r="BG22" s="1653"/>
      <c r="BH22" s="1653"/>
      <c r="BI22" s="1653"/>
      <c r="BJ22" s="1653"/>
      <c r="BK22" s="1653"/>
      <c r="BL22" s="1653"/>
      <c r="BM22" s="1653"/>
      <c r="BN22" s="1653"/>
      <c r="BO22" s="1653"/>
      <c r="BP22" s="1653"/>
      <c r="BQ22" s="1653"/>
      <c r="BR22" s="1653"/>
      <c r="BS22" s="1653"/>
      <c r="BT22" s="1653"/>
      <c r="BU22" s="1653"/>
      <c r="BV22" s="1653"/>
      <c r="BW22" s="1653"/>
      <c r="BX22" s="1653"/>
      <c r="BY22" s="1653"/>
      <c r="BZ22" s="1653"/>
      <c r="CA22" s="1653"/>
      <c r="CB22" s="1653"/>
      <c r="CC22" s="1653"/>
      <c r="CD22" s="1653"/>
      <c r="CE22" s="1653"/>
      <c r="CF22" s="1653"/>
      <c r="CG22" s="1653"/>
      <c r="CH22" s="1653"/>
      <c r="CI22" s="1653"/>
      <c r="CJ22" s="1653"/>
      <c r="CK22" s="1653"/>
      <c r="CL22" s="1653"/>
      <c r="CM22" s="1653"/>
      <c r="CN22" s="1653"/>
      <c r="CO22" s="1653"/>
      <c r="CP22" s="1653"/>
      <c r="CQ22" s="1653"/>
      <c r="CR22" s="1653"/>
      <c r="CS22" s="1653"/>
      <c r="CT22" s="1653"/>
      <c r="CU22" s="1653"/>
    </row>
    <row r="23" spans="1:107">
      <c r="A23" s="121">
        <v>2</v>
      </c>
      <c r="B23" s="1625" t="s">
        <v>2623</v>
      </c>
      <c r="C23" s="1064">
        <v>32810</v>
      </c>
      <c r="D23" s="1065"/>
      <c r="E23" s="1064">
        <v>543561</v>
      </c>
      <c r="F23" s="1065">
        <v>558619</v>
      </c>
      <c r="G23" s="1243"/>
      <c r="H23" s="1854"/>
      <c r="I23" s="1744">
        <f>+C23+E23-F23+G23</f>
        <v>17752</v>
      </c>
      <c r="J23" s="1064"/>
      <c r="K23" s="1064">
        <v>465122</v>
      </c>
      <c r="L23" s="616"/>
      <c r="M23" s="526"/>
      <c r="N23" s="526"/>
      <c r="O23" s="410">
        <v>2</v>
      </c>
      <c r="P23" s="97"/>
      <c r="Q23" s="2169"/>
      <c r="R23" s="2169"/>
      <c r="S23" s="1653"/>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7"/>
      <c r="CC23" s="97"/>
      <c r="CD23" s="97"/>
      <c r="CE23" s="97"/>
      <c r="CF23" s="97"/>
      <c r="CG23" s="97"/>
      <c r="CH23" s="97"/>
      <c r="CI23" s="97"/>
      <c r="CJ23" s="97"/>
      <c r="CK23" s="97"/>
      <c r="CL23" s="97"/>
      <c r="CM23" s="97"/>
      <c r="CN23" s="97"/>
      <c r="CO23" s="97"/>
      <c r="CP23" s="97"/>
      <c r="CQ23" s="97"/>
      <c r="CR23" s="97"/>
      <c r="CS23" s="97"/>
      <c r="CT23" s="97"/>
      <c r="CU23" s="97"/>
    </row>
    <row r="24" spans="1:107">
      <c r="A24" s="121">
        <v>3</v>
      </c>
      <c r="B24" s="1625" t="s">
        <v>2624</v>
      </c>
      <c r="C24" s="1064">
        <v>0</v>
      </c>
      <c r="D24" s="1065"/>
      <c r="E24" s="1064">
        <v>5052</v>
      </c>
      <c r="F24" s="1065">
        <v>5610</v>
      </c>
      <c r="G24" s="1243">
        <v>0</v>
      </c>
      <c r="H24" s="1854"/>
      <c r="I24" s="1744">
        <f>+C24+E24-F24+G24</f>
        <v>-558</v>
      </c>
      <c r="J24" s="526"/>
      <c r="K24" s="1064">
        <v>4972</v>
      </c>
      <c r="L24" s="616"/>
      <c r="M24" s="526"/>
      <c r="N24" s="526"/>
      <c r="O24" s="410">
        <v>3</v>
      </c>
      <c r="P24" s="97"/>
      <c r="Q24" s="2169"/>
      <c r="R24" s="2169"/>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c r="BY24" s="97"/>
      <c r="BZ24" s="97"/>
      <c r="CA24" s="97"/>
      <c r="CB24" s="97"/>
      <c r="CC24" s="97"/>
      <c r="CD24" s="97"/>
      <c r="CE24" s="97"/>
      <c r="CF24" s="97"/>
      <c r="CG24" s="97"/>
      <c r="CH24" s="97"/>
      <c r="CI24" s="97"/>
      <c r="CJ24" s="97"/>
      <c r="CK24" s="97"/>
      <c r="CL24" s="97"/>
      <c r="CM24" s="97"/>
      <c r="CN24" s="97"/>
      <c r="CO24" s="97"/>
      <c r="CP24" s="97"/>
      <c r="CQ24" s="97"/>
      <c r="CR24" s="97"/>
      <c r="CS24" s="97"/>
      <c r="CT24" s="97"/>
      <c r="CU24" s="97"/>
      <c r="CV24" s="97"/>
      <c r="CW24" s="97"/>
      <c r="CX24" s="97"/>
      <c r="CY24" s="97"/>
      <c r="CZ24" s="97"/>
      <c r="DA24" s="97"/>
      <c r="DB24" s="97"/>
      <c r="DC24" s="97"/>
    </row>
    <row r="25" spans="1:107">
      <c r="A25" s="121">
        <v>4</v>
      </c>
      <c r="B25" s="160" t="s">
        <v>2625</v>
      </c>
      <c r="C25" s="1065" t="s">
        <v>4373</v>
      </c>
      <c r="D25" s="1065"/>
      <c r="E25" s="526"/>
      <c r="F25" s="526"/>
      <c r="G25" s="479"/>
      <c r="H25" s="1898"/>
      <c r="I25" s="163" t="s">
        <v>4373</v>
      </c>
      <c r="J25" s="526"/>
      <c r="K25" s="1065"/>
      <c r="L25" s="616"/>
      <c r="M25" s="526"/>
      <c r="N25" s="526"/>
      <c r="O25" s="410">
        <v>4</v>
      </c>
      <c r="P25" s="97"/>
      <c r="Q25" s="2169"/>
      <c r="R25" s="2169"/>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c r="BY25" s="97"/>
      <c r="BZ25" s="97"/>
      <c r="CA25" s="97"/>
      <c r="CB25" s="97"/>
      <c r="CC25" s="97"/>
      <c r="CD25" s="97"/>
      <c r="CE25" s="97"/>
      <c r="CF25" s="97"/>
      <c r="CG25" s="97"/>
      <c r="CH25" s="97"/>
      <c r="CI25" s="97"/>
      <c r="CJ25" s="97"/>
      <c r="CK25" s="97"/>
      <c r="CL25" s="97"/>
      <c r="CM25" s="97"/>
      <c r="CN25" s="97"/>
      <c r="CO25" s="97"/>
      <c r="CP25" s="97"/>
      <c r="CQ25" s="97"/>
      <c r="CR25" s="97"/>
      <c r="CS25" s="97"/>
      <c r="CT25" s="97"/>
      <c r="CU25" s="97"/>
      <c r="CV25" s="97"/>
      <c r="CW25" s="97"/>
      <c r="CX25" s="97"/>
      <c r="CY25" s="97"/>
      <c r="CZ25" s="97"/>
      <c r="DA25" s="97"/>
      <c r="DB25" s="97"/>
      <c r="DC25" s="97"/>
    </row>
    <row r="26" spans="1:107">
      <c r="A26" s="121">
        <v>5</v>
      </c>
      <c r="B26" s="160" t="s">
        <v>2626</v>
      </c>
      <c r="C26" s="1713">
        <f>SUM(C22:C25)</f>
        <v>1103930</v>
      </c>
      <c r="D26" s="1713">
        <f t="shared" ref="D26:K26" si="0">SUM(D22:D25)</f>
        <v>0</v>
      </c>
      <c r="E26" s="448">
        <f t="shared" si="0"/>
        <v>-1403200</v>
      </c>
      <c r="F26" s="448">
        <f t="shared" si="0"/>
        <v>-487776</v>
      </c>
      <c r="G26" s="432">
        <f t="shared" si="0"/>
        <v>3107606</v>
      </c>
      <c r="H26" s="447"/>
      <c r="I26" s="621">
        <f t="shared" si="0"/>
        <v>3296112</v>
      </c>
      <c r="J26" s="448">
        <f t="shared" si="0"/>
        <v>0</v>
      </c>
      <c r="K26" s="1713">
        <f t="shared" si="0"/>
        <v>-1481958</v>
      </c>
      <c r="L26" s="616"/>
      <c r="M26" s="448">
        <f>SUM(M22:M25)</f>
        <v>0</v>
      </c>
      <c r="N26" s="448">
        <f>SUM(N22:N25)</f>
        <v>0</v>
      </c>
      <c r="O26" s="410">
        <v>5</v>
      </c>
      <c r="P26" s="97"/>
      <c r="Q26" s="2169"/>
      <c r="R26" s="2169"/>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c r="BY26" s="97"/>
      <c r="BZ26" s="97"/>
      <c r="CA26" s="97"/>
      <c r="CB26" s="97"/>
      <c r="CC26" s="97"/>
      <c r="CD26" s="97"/>
      <c r="CE26" s="97"/>
      <c r="CF26" s="97"/>
      <c r="CG26" s="97"/>
      <c r="CH26" s="97"/>
      <c r="CI26" s="97"/>
      <c r="CJ26" s="97"/>
      <c r="CK26" s="97"/>
      <c r="CL26" s="97"/>
      <c r="CM26" s="97"/>
      <c r="CN26" s="97"/>
      <c r="CO26" s="97"/>
      <c r="CP26" s="97"/>
      <c r="CQ26" s="97"/>
      <c r="CR26" s="97"/>
      <c r="CS26" s="97"/>
      <c r="CT26" s="97"/>
      <c r="CU26" s="97"/>
      <c r="CV26" s="97"/>
      <c r="CW26" s="97"/>
      <c r="CX26" s="97"/>
      <c r="CY26" s="97"/>
      <c r="CZ26" s="97"/>
      <c r="DA26" s="97"/>
      <c r="DB26" s="97"/>
      <c r="DC26" s="97"/>
    </row>
    <row r="27" spans="1:107">
      <c r="A27" s="121"/>
      <c r="B27" s="160" t="s">
        <v>2627</v>
      </c>
      <c r="C27" s="1065"/>
      <c r="D27" s="1065"/>
      <c r="E27" s="526"/>
      <c r="F27" s="526"/>
      <c r="G27" s="479"/>
      <c r="H27" s="1898"/>
      <c r="I27" s="163"/>
      <c r="J27" s="526"/>
      <c r="K27" s="1065"/>
      <c r="L27" s="616"/>
      <c r="M27" s="526"/>
      <c r="N27" s="526"/>
      <c r="O27" s="410"/>
      <c r="P27" s="97"/>
      <c r="Q27" s="2169"/>
      <c r="R27" s="2169"/>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c r="BZ27" s="97"/>
      <c r="CA27" s="97"/>
      <c r="CB27" s="97"/>
      <c r="CC27" s="97"/>
      <c r="CD27" s="97"/>
      <c r="CE27" s="97"/>
      <c r="CF27" s="97"/>
      <c r="CG27" s="97"/>
      <c r="CH27" s="97"/>
      <c r="CI27" s="97"/>
      <c r="CJ27" s="97"/>
      <c r="CK27" s="97"/>
      <c r="CL27" s="97"/>
      <c r="CM27" s="97"/>
      <c r="CN27" s="97"/>
      <c r="CO27" s="97"/>
      <c r="CP27" s="97"/>
      <c r="CQ27" s="97"/>
      <c r="CR27" s="97"/>
      <c r="CS27" s="97"/>
      <c r="CT27" s="97"/>
      <c r="CU27" s="97"/>
      <c r="CV27" s="97"/>
      <c r="CW27" s="97"/>
      <c r="CX27" s="97"/>
      <c r="CY27" s="97"/>
      <c r="CZ27" s="97"/>
      <c r="DA27" s="97"/>
      <c r="DB27" s="97"/>
      <c r="DC27" s="97"/>
    </row>
    <row r="28" spans="1:107">
      <c r="A28" s="121">
        <v>6</v>
      </c>
      <c r="B28" s="160" t="s">
        <v>2628</v>
      </c>
      <c r="C28" s="1064">
        <v>-5374</v>
      </c>
      <c r="D28" s="1065"/>
      <c r="E28" s="2352">
        <f>-379483+388962</f>
        <v>9479</v>
      </c>
      <c r="F28" s="1064">
        <v>659000</v>
      </c>
      <c r="G28" s="2354">
        <f>1072411-388962-15263+391888</f>
        <v>1060074</v>
      </c>
      <c r="H28" s="1854"/>
      <c r="I28" s="1744">
        <f>+C28+E28-F28+G28-0.5</f>
        <v>405178.5</v>
      </c>
      <c r="J28" s="526"/>
      <c r="K28" s="2352">
        <f>-379548+388962</f>
        <v>9414</v>
      </c>
      <c r="L28" s="616"/>
      <c r="M28" s="526">
        <f>+E28-K28-C85</f>
        <v>0</v>
      </c>
      <c r="N28" s="526"/>
      <c r="O28" s="410">
        <v>6</v>
      </c>
      <c r="P28" s="442"/>
      <c r="Q28" s="2158"/>
      <c r="R28" s="2158"/>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97"/>
      <c r="CN28" s="97"/>
      <c r="CO28" s="97"/>
      <c r="CP28" s="97"/>
      <c r="CQ28" s="97"/>
      <c r="CR28" s="97"/>
      <c r="CS28" s="97"/>
      <c r="CT28" s="97"/>
      <c r="CU28" s="97"/>
      <c r="CV28" s="97"/>
      <c r="CW28" s="97"/>
      <c r="CX28" s="97"/>
      <c r="CY28" s="97"/>
      <c r="CZ28" s="97"/>
      <c r="DA28" s="97"/>
      <c r="DB28" s="97"/>
      <c r="DC28" s="97"/>
    </row>
    <row r="29" spans="1:107" s="1633" customFormat="1">
      <c r="A29" s="1651">
        <v>7</v>
      </c>
      <c r="B29" s="1625" t="s">
        <v>2510</v>
      </c>
      <c r="C29" s="1064">
        <v>0</v>
      </c>
      <c r="D29" s="1065"/>
      <c r="E29" s="1065"/>
      <c r="F29" s="1065"/>
      <c r="G29" s="1243"/>
      <c r="H29" s="1854"/>
      <c r="I29" s="1744"/>
      <c r="J29" s="1065"/>
      <c r="K29" s="1065"/>
      <c r="L29" s="668"/>
      <c r="M29" s="1065"/>
      <c r="N29" s="1065"/>
      <c r="O29" s="1652">
        <v>7</v>
      </c>
      <c r="P29" s="1653"/>
      <c r="Q29" s="1653"/>
      <c r="R29" s="1653"/>
      <c r="S29" s="1653"/>
      <c r="T29" s="1653"/>
      <c r="U29" s="1653"/>
      <c r="V29" s="1653"/>
      <c r="W29" s="1653"/>
      <c r="X29" s="1653"/>
      <c r="Y29" s="1653"/>
      <c r="Z29" s="1653"/>
      <c r="AA29" s="1653"/>
      <c r="AB29" s="1653"/>
      <c r="AC29" s="1653"/>
      <c r="AD29" s="1653"/>
      <c r="AE29" s="1653"/>
      <c r="AF29" s="1653"/>
      <c r="AG29" s="1653"/>
      <c r="AH29" s="1653"/>
      <c r="AI29" s="1653"/>
      <c r="AJ29" s="1653"/>
      <c r="AK29" s="1653"/>
      <c r="AL29" s="1653"/>
      <c r="AM29" s="1653"/>
      <c r="AN29" s="1653"/>
      <c r="AO29" s="1653"/>
      <c r="AP29" s="1653"/>
      <c r="AQ29" s="1653"/>
      <c r="AR29" s="1653"/>
      <c r="AS29" s="1653"/>
      <c r="AT29" s="1653"/>
      <c r="AU29" s="1653"/>
      <c r="AV29" s="1653"/>
      <c r="AW29" s="1653"/>
      <c r="AX29" s="1653"/>
      <c r="AY29" s="1653"/>
      <c r="AZ29" s="1653"/>
      <c r="BA29" s="1653"/>
      <c r="BB29" s="1653"/>
      <c r="BC29" s="1653"/>
      <c r="BD29" s="1653"/>
      <c r="BE29" s="1653"/>
      <c r="BF29" s="1653"/>
      <c r="BG29" s="1653"/>
      <c r="BH29" s="1653"/>
      <c r="BI29" s="1653"/>
      <c r="BJ29" s="1653"/>
      <c r="BK29" s="1653"/>
      <c r="BL29" s="1653"/>
      <c r="BM29" s="1653"/>
      <c r="BN29" s="1653"/>
      <c r="BO29" s="1653"/>
      <c r="BP29" s="1653"/>
      <c r="BQ29" s="1653"/>
      <c r="BR29" s="1653"/>
      <c r="BS29" s="1653"/>
      <c r="BT29" s="1653"/>
      <c r="BU29" s="1653"/>
      <c r="BV29" s="1653"/>
      <c r="BW29" s="1653"/>
      <c r="BX29" s="1653"/>
      <c r="BY29" s="1653"/>
      <c r="BZ29" s="1653"/>
      <c r="CA29" s="1653"/>
      <c r="CB29" s="1653"/>
      <c r="CC29" s="1653"/>
      <c r="CD29" s="1653"/>
      <c r="CE29" s="1653"/>
      <c r="CF29" s="1653"/>
      <c r="CG29" s="1653"/>
      <c r="CH29" s="1653"/>
      <c r="CI29" s="1653"/>
      <c r="CJ29" s="1653"/>
      <c r="CK29" s="1653"/>
      <c r="CL29" s="1653"/>
      <c r="CM29" s="1653"/>
      <c r="CN29" s="1653"/>
      <c r="CO29" s="1653"/>
      <c r="CP29" s="1653"/>
      <c r="CQ29" s="1653"/>
      <c r="CR29" s="1653"/>
      <c r="CS29" s="1653"/>
      <c r="CT29" s="1653"/>
      <c r="CU29" s="1653"/>
      <c r="CV29" s="1653"/>
      <c r="CW29" s="1653"/>
      <c r="CX29" s="1653"/>
      <c r="CY29" s="1653"/>
      <c r="CZ29" s="1653"/>
      <c r="DA29" s="1653"/>
      <c r="DB29" s="1653"/>
      <c r="DC29" s="1653"/>
    </row>
    <row r="30" spans="1:107">
      <c r="A30" s="121">
        <v>8</v>
      </c>
      <c r="B30" s="160" t="s">
        <v>3623</v>
      </c>
      <c r="C30" s="1064"/>
      <c r="D30" s="1065"/>
      <c r="E30" s="526"/>
      <c r="F30" s="526"/>
      <c r="G30" s="479"/>
      <c r="H30" s="1898"/>
      <c r="I30" s="163"/>
      <c r="J30" s="526"/>
      <c r="K30" s="1065"/>
      <c r="L30" s="616"/>
      <c r="M30" s="526"/>
      <c r="N30" s="526"/>
      <c r="O30" s="410">
        <v>8</v>
      </c>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c r="BY30" s="97"/>
      <c r="BZ30" s="97"/>
      <c r="CA30" s="97"/>
      <c r="CB30" s="97"/>
      <c r="CC30" s="97"/>
      <c r="CD30" s="97"/>
      <c r="CE30" s="97"/>
      <c r="CF30" s="97"/>
      <c r="CG30" s="97"/>
      <c r="CH30" s="97"/>
      <c r="CI30" s="97"/>
      <c r="CJ30" s="97"/>
      <c r="CK30" s="97"/>
      <c r="CL30" s="97"/>
      <c r="CM30" s="97"/>
      <c r="CN30" s="97"/>
      <c r="CO30" s="97"/>
      <c r="CP30" s="97"/>
      <c r="CQ30" s="97"/>
      <c r="CR30" s="97"/>
      <c r="CS30" s="97"/>
      <c r="CT30" s="97"/>
      <c r="CU30" s="97"/>
      <c r="CV30" s="97"/>
      <c r="CW30" s="97"/>
      <c r="CX30" s="97"/>
      <c r="CY30" s="97"/>
      <c r="CZ30" s="97"/>
      <c r="DA30" s="97"/>
      <c r="DB30" s="97"/>
      <c r="DC30" s="97"/>
    </row>
    <row r="31" spans="1:107">
      <c r="A31" s="121"/>
      <c r="B31" s="160" t="s">
        <v>3624</v>
      </c>
      <c r="C31" s="1064"/>
      <c r="D31" s="1065"/>
      <c r="E31" s="526"/>
      <c r="F31" s="526"/>
      <c r="G31" s="479"/>
      <c r="H31" s="1898"/>
      <c r="I31" s="163"/>
      <c r="J31" s="526"/>
      <c r="K31" s="1065"/>
      <c r="L31" s="616"/>
      <c r="M31" s="526"/>
      <c r="N31" s="526"/>
      <c r="O31" s="410"/>
      <c r="P31" s="97"/>
      <c r="Q31" s="97"/>
      <c r="R31" s="97"/>
      <c r="S31" s="97"/>
      <c r="T31" s="1068"/>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c r="BZ31" s="97"/>
      <c r="CA31" s="97"/>
      <c r="CB31" s="97"/>
      <c r="CC31" s="97"/>
      <c r="CD31" s="97"/>
      <c r="CE31" s="97"/>
      <c r="CF31" s="97"/>
      <c r="CG31" s="97"/>
      <c r="CH31" s="97"/>
      <c r="CI31" s="97"/>
      <c r="CJ31" s="97"/>
      <c r="CK31" s="97"/>
      <c r="CL31" s="97"/>
      <c r="CM31" s="97"/>
      <c r="CN31" s="97"/>
      <c r="CO31" s="97"/>
      <c r="CP31" s="97"/>
      <c r="CQ31" s="97"/>
      <c r="CR31" s="97"/>
      <c r="CS31" s="97"/>
      <c r="CT31" s="97"/>
      <c r="CU31" s="97"/>
      <c r="CV31" s="97"/>
      <c r="CW31" s="97"/>
      <c r="CX31" s="97"/>
      <c r="CY31" s="97"/>
      <c r="CZ31" s="97"/>
      <c r="DA31" s="97"/>
      <c r="DB31" s="97"/>
      <c r="DC31" s="97"/>
    </row>
    <row r="32" spans="1:107">
      <c r="A32" s="121">
        <v>9</v>
      </c>
      <c r="B32" s="160" t="s">
        <v>3625</v>
      </c>
      <c r="C32" s="1064" t="s">
        <v>4373</v>
      </c>
      <c r="D32" s="1065"/>
      <c r="E32" s="526"/>
      <c r="F32" s="526"/>
      <c r="G32" s="479"/>
      <c r="H32" s="1898"/>
      <c r="I32" s="163" t="s">
        <v>4373</v>
      </c>
      <c r="J32" s="526"/>
      <c r="K32" s="1065"/>
      <c r="L32" s="616"/>
      <c r="M32" s="526"/>
      <c r="N32" s="526" t="s">
        <v>4373</v>
      </c>
      <c r="O32" s="410">
        <v>9</v>
      </c>
      <c r="P32" s="97"/>
      <c r="Q32" s="97"/>
      <c r="R32" s="97"/>
      <c r="S32" s="97"/>
      <c r="T32" s="1068"/>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c r="BY32" s="97"/>
      <c r="BZ32" s="97"/>
      <c r="CA32" s="97"/>
      <c r="CB32" s="97"/>
      <c r="CC32" s="97"/>
      <c r="CD32" s="97"/>
      <c r="CE32" s="97"/>
      <c r="CF32" s="97"/>
      <c r="CG32" s="97"/>
      <c r="CH32" s="97"/>
      <c r="CI32" s="97"/>
      <c r="CJ32" s="97"/>
      <c r="CK32" s="97"/>
      <c r="CL32" s="97"/>
      <c r="CM32" s="97"/>
      <c r="CN32" s="97"/>
      <c r="CO32" s="97"/>
      <c r="CP32" s="97"/>
      <c r="CQ32" s="97"/>
      <c r="CR32" s="97"/>
      <c r="CS32" s="97"/>
      <c r="CT32" s="97"/>
      <c r="CU32" s="97"/>
      <c r="CV32" s="97"/>
      <c r="CW32" s="97"/>
      <c r="CX32" s="97"/>
      <c r="CY32" s="97"/>
      <c r="CZ32" s="97"/>
      <c r="DA32" s="97"/>
      <c r="DB32" s="97"/>
      <c r="DC32" s="97"/>
    </row>
    <row r="33" spans="1:107">
      <c r="A33" s="121">
        <v>10</v>
      </c>
      <c r="B33" s="160" t="s">
        <v>3626</v>
      </c>
      <c r="C33" s="1064"/>
      <c r="D33" s="1065"/>
      <c r="E33" s="526"/>
      <c r="F33" s="526"/>
      <c r="G33" s="479"/>
      <c r="H33" s="1898"/>
      <c r="I33" s="163"/>
      <c r="J33" s="526"/>
      <c r="K33" s="1065"/>
      <c r="L33" s="616"/>
      <c r="M33" s="526"/>
      <c r="N33" s="526"/>
      <c r="O33" s="410">
        <v>10</v>
      </c>
      <c r="P33" s="97"/>
      <c r="Q33" s="97"/>
      <c r="R33" s="97"/>
      <c r="S33" s="97"/>
      <c r="T33" s="1068"/>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7"/>
      <c r="CC33" s="97"/>
      <c r="CD33" s="97"/>
      <c r="CE33" s="97"/>
      <c r="CF33" s="97"/>
      <c r="CG33" s="97"/>
      <c r="CH33" s="97"/>
      <c r="CI33" s="97"/>
      <c r="CJ33" s="97"/>
      <c r="CK33" s="97"/>
      <c r="CL33" s="97"/>
      <c r="CM33" s="97"/>
      <c r="CN33" s="97"/>
      <c r="CO33" s="97"/>
      <c r="CP33" s="97"/>
      <c r="CQ33" s="97"/>
      <c r="CR33" s="97"/>
      <c r="CS33" s="97"/>
      <c r="CT33" s="97"/>
      <c r="CU33" s="97"/>
      <c r="CV33" s="97"/>
      <c r="CW33" s="97"/>
      <c r="CX33" s="97"/>
      <c r="CY33" s="97"/>
      <c r="CZ33" s="97"/>
      <c r="DA33" s="97"/>
      <c r="DB33" s="97"/>
      <c r="DC33" s="97"/>
    </row>
    <row r="34" spans="1:107">
      <c r="A34" s="121">
        <v>11</v>
      </c>
      <c r="B34" s="160" t="s">
        <v>3627</v>
      </c>
      <c r="C34" s="1064"/>
      <c r="D34" s="1065"/>
      <c r="E34" s="526"/>
      <c r="F34" s="526"/>
      <c r="G34" s="479"/>
      <c r="H34" s="1898"/>
      <c r="I34" s="163"/>
      <c r="J34" s="526"/>
      <c r="K34" s="1065"/>
      <c r="L34" s="616"/>
      <c r="M34" s="526"/>
      <c r="N34" s="526"/>
      <c r="O34" s="410">
        <v>11</v>
      </c>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c r="CC34" s="97"/>
      <c r="CD34" s="97"/>
      <c r="CE34" s="97"/>
      <c r="CF34" s="97"/>
      <c r="CG34" s="97"/>
      <c r="CH34" s="97"/>
      <c r="CI34" s="97"/>
      <c r="CJ34" s="97"/>
      <c r="CK34" s="97"/>
      <c r="CL34" s="97"/>
      <c r="CM34" s="97"/>
      <c r="CN34" s="97"/>
      <c r="CO34" s="97"/>
      <c r="CP34" s="97"/>
      <c r="CQ34" s="97"/>
      <c r="CR34" s="97"/>
      <c r="CS34" s="97"/>
      <c r="CT34" s="97"/>
      <c r="CU34" s="97"/>
      <c r="CV34" s="97"/>
      <c r="CW34" s="97"/>
      <c r="CX34" s="97"/>
      <c r="CY34" s="97"/>
      <c r="CZ34" s="97"/>
      <c r="DA34" s="97"/>
      <c r="DB34" s="97"/>
      <c r="DC34" s="97"/>
    </row>
    <row r="35" spans="1:107">
      <c r="A35" s="121">
        <v>12</v>
      </c>
      <c r="B35" s="160" t="s">
        <v>3628</v>
      </c>
      <c r="C35" s="1064">
        <v>0</v>
      </c>
      <c r="D35" s="1065"/>
      <c r="E35" s="1065"/>
      <c r="F35" s="1065"/>
      <c r="G35" s="479"/>
      <c r="H35" s="1898"/>
      <c r="I35" s="1744">
        <f>+C35+E35-F35+G35</f>
        <v>0</v>
      </c>
      <c r="J35" s="1065"/>
      <c r="K35" s="1065"/>
      <c r="L35" s="616"/>
      <c r="M35" s="526"/>
      <c r="N35" s="526"/>
      <c r="O35" s="410">
        <v>12</v>
      </c>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c r="CC35" s="97"/>
      <c r="CD35" s="97"/>
      <c r="CE35" s="97"/>
      <c r="CF35" s="97"/>
      <c r="CG35" s="97"/>
      <c r="CH35" s="97"/>
      <c r="CI35" s="97"/>
      <c r="CJ35" s="97"/>
      <c r="CK35" s="97"/>
      <c r="CL35" s="97"/>
      <c r="CM35" s="97"/>
      <c r="CN35" s="97"/>
      <c r="CO35" s="97"/>
      <c r="CP35" s="97"/>
      <c r="CQ35" s="97"/>
      <c r="CR35" s="97"/>
      <c r="CS35" s="97"/>
      <c r="CT35" s="97"/>
      <c r="CU35" s="97"/>
      <c r="CV35" s="97"/>
      <c r="CW35" s="97"/>
      <c r="CX35" s="97"/>
      <c r="CY35" s="97"/>
      <c r="CZ35" s="97"/>
      <c r="DA35" s="97"/>
      <c r="DB35" s="97"/>
      <c r="DC35" s="97"/>
    </row>
    <row r="36" spans="1:107">
      <c r="A36" s="121">
        <v>13</v>
      </c>
      <c r="B36" s="160" t="s">
        <v>3629</v>
      </c>
      <c r="C36" s="1064">
        <v>1</v>
      </c>
      <c r="D36" s="1065"/>
      <c r="E36" s="1064">
        <v>20337</v>
      </c>
      <c r="F36" s="1065">
        <v>21945</v>
      </c>
      <c r="G36" s="479"/>
      <c r="H36" s="1898"/>
      <c r="I36" s="1744">
        <f>+C36+E36-F36+G36</f>
        <v>-1607</v>
      </c>
      <c r="J36" s="1065"/>
      <c r="K36" s="1064">
        <v>18127</v>
      </c>
      <c r="L36" s="616"/>
      <c r="M36" s="526"/>
      <c r="N36" s="526"/>
      <c r="O36" s="410">
        <v>13</v>
      </c>
      <c r="P36" s="97"/>
      <c r="Q36" s="97"/>
      <c r="R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c r="CC36" s="97"/>
      <c r="CD36" s="97"/>
      <c r="CE36" s="97"/>
      <c r="CF36" s="97"/>
      <c r="CG36" s="97"/>
      <c r="CH36" s="97"/>
      <c r="CI36" s="97"/>
      <c r="CJ36" s="97"/>
      <c r="CK36" s="97"/>
      <c r="CL36" s="97"/>
      <c r="CM36" s="97"/>
      <c r="CN36" s="97"/>
      <c r="CO36" s="97"/>
      <c r="CP36" s="97"/>
      <c r="CQ36" s="97"/>
      <c r="CR36" s="97"/>
      <c r="CS36" s="97"/>
      <c r="CT36" s="97"/>
      <c r="CU36" s="97"/>
      <c r="CV36" s="97"/>
      <c r="CW36" s="97"/>
      <c r="CX36" s="97"/>
      <c r="CY36" s="97"/>
      <c r="CZ36" s="97"/>
      <c r="DA36" s="97"/>
      <c r="DB36" s="97"/>
      <c r="DC36" s="97"/>
    </row>
    <row r="37" spans="1:107">
      <c r="A37" s="121">
        <v>14</v>
      </c>
      <c r="B37" s="160" t="s">
        <v>3020</v>
      </c>
      <c r="C37" s="1064">
        <v>0</v>
      </c>
      <c r="D37" s="1065"/>
      <c r="E37" s="526"/>
      <c r="F37" s="526"/>
      <c r="G37" s="479"/>
      <c r="H37" s="1898"/>
      <c r="I37" s="1856"/>
      <c r="J37" s="1065"/>
      <c r="K37" s="1065"/>
      <c r="L37" s="616"/>
      <c r="M37" s="526"/>
      <c r="N37" s="526"/>
      <c r="O37" s="410">
        <v>14</v>
      </c>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7"/>
      <c r="CC37" s="97"/>
      <c r="CD37" s="97"/>
      <c r="CE37" s="97"/>
      <c r="CF37" s="97"/>
      <c r="CG37" s="97"/>
      <c r="CH37" s="97"/>
      <c r="CI37" s="97"/>
      <c r="CJ37" s="97"/>
      <c r="CK37" s="97"/>
      <c r="CL37" s="97"/>
      <c r="CM37" s="97"/>
      <c r="CN37" s="97"/>
      <c r="CO37" s="97"/>
      <c r="CP37" s="97"/>
      <c r="CQ37" s="97"/>
      <c r="CR37" s="97"/>
      <c r="CS37" s="97"/>
      <c r="CT37" s="97"/>
      <c r="CU37" s="97"/>
      <c r="CV37" s="97"/>
      <c r="CW37" s="97"/>
      <c r="CX37" s="97"/>
      <c r="CY37" s="97"/>
      <c r="CZ37" s="97"/>
      <c r="DA37" s="97"/>
      <c r="DB37" s="97"/>
      <c r="DC37" s="97"/>
    </row>
    <row r="38" spans="1:107" ht="15.75">
      <c r="A38" s="121">
        <v>15</v>
      </c>
      <c r="B38" s="160" t="s">
        <v>2980</v>
      </c>
      <c r="C38" s="1064">
        <v>1635</v>
      </c>
      <c r="D38" s="1065"/>
      <c r="E38" s="1065">
        <v>527403</v>
      </c>
      <c r="F38" s="1065">
        <v>494358</v>
      </c>
      <c r="G38" s="479">
        <v>3637</v>
      </c>
      <c r="H38" s="1898"/>
      <c r="I38" s="1744">
        <f>+C38+E38-F38+G38</f>
        <v>38317</v>
      </c>
      <c r="J38" s="1065"/>
      <c r="K38" s="1065"/>
      <c r="L38" s="616"/>
      <c r="M38" s="526"/>
      <c r="N38" s="526"/>
      <c r="O38" s="410">
        <v>15</v>
      </c>
      <c r="P38" s="97"/>
      <c r="Q38" s="484"/>
      <c r="R38" s="1784"/>
      <c r="S38" s="484"/>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c r="BY38" s="97"/>
      <c r="BZ38" s="97"/>
      <c r="CA38" s="97"/>
      <c r="CB38" s="97"/>
      <c r="CC38" s="97"/>
      <c r="CD38" s="97"/>
      <c r="CE38" s="97"/>
      <c r="CF38" s="97"/>
      <c r="CG38" s="97"/>
      <c r="CH38" s="97"/>
      <c r="CI38" s="97"/>
      <c r="CJ38" s="97"/>
      <c r="CK38" s="97"/>
      <c r="CL38" s="97"/>
      <c r="CM38" s="97"/>
      <c r="CN38" s="97"/>
      <c r="CO38" s="97"/>
      <c r="CP38" s="97"/>
      <c r="CQ38" s="97"/>
      <c r="CR38" s="97"/>
      <c r="CS38" s="97"/>
      <c r="CT38" s="97"/>
      <c r="CU38" s="97"/>
      <c r="CV38" s="97"/>
      <c r="CW38" s="97"/>
      <c r="CX38" s="97"/>
      <c r="CY38" s="97"/>
      <c r="CZ38" s="97"/>
      <c r="DA38" s="97"/>
      <c r="DB38" s="97"/>
      <c r="DC38" s="97"/>
    </row>
    <row r="39" spans="1:107">
      <c r="A39" s="121">
        <v>16</v>
      </c>
      <c r="B39" s="160" t="s">
        <v>2981</v>
      </c>
      <c r="C39" s="1064" t="s">
        <v>4373</v>
      </c>
      <c r="D39" s="1065"/>
      <c r="E39" s="526"/>
      <c r="F39" s="526"/>
      <c r="G39" s="479"/>
      <c r="H39" s="1898"/>
      <c r="I39" s="1744" t="s">
        <v>4373</v>
      </c>
      <c r="J39" s="1065"/>
      <c r="K39" s="1065"/>
      <c r="L39" s="616"/>
      <c r="M39" s="526"/>
      <c r="N39" s="526"/>
      <c r="O39" s="410">
        <v>16</v>
      </c>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c r="BY39" s="97"/>
      <c r="BZ39" s="97"/>
      <c r="CA39" s="97"/>
      <c r="CB39" s="97"/>
      <c r="CC39" s="97"/>
      <c r="CD39" s="97"/>
      <c r="CE39" s="97"/>
      <c r="CF39" s="97"/>
      <c r="CG39" s="97"/>
      <c r="CH39" s="97"/>
      <c r="CI39" s="97"/>
      <c r="CJ39" s="97"/>
      <c r="CK39" s="97"/>
      <c r="CL39" s="97"/>
      <c r="CM39" s="97"/>
      <c r="CN39" s="97"/>
      <c r="CO39" s="97"/>
      <c r="CP39" s="97"/>
      <c r="CQ39" s="97"/>
      <c r="CR39" s="97"/>
      <c r="CS39" s="97"/>
      <c r="CT39" s="97"/>
      <c r="CU39" s="97"/>
      <c r="CV39" s="97"/>
      <c r="CW39" s="97"/>
      <c r="CX39" s="97"/>
      <c r="CY39" s="97"/>
      <c r="CZ39" s="97"/>
      <c r="DA39" s="97"/>
      <c r="DB39" s="97"/>
      <c r="DC39" s="97"/>
    </row>
    <row r="40" spans="1:107">
      <c r="A40" s="121">
        <v>17</v>
      </c>
      <c r="B40" s="160" t="s">
        <v>4479</v>
      </c>
      <c r="C40" s="1064"/>
      <c r="D40" s="1064">
        <v>-140195</v>
      </c>
      <c r="E40" s="1064">
        <v>126238</v>
      </c>
      <c r="F40" s="1064">
        <v>133958</v>
      </c>
      <c r="G40" s="1243">
        <v>41133</v>
      </c>
      <c r="H40" s="1854"/>
      <c r="I40" s="1744"/>
      <c r="J40" s="1065">
        <f>+D40-E40+F40+G40</f>
        <v>-91342</v>
      </c>
      <c r="K40" s="1064">
        <v>126238</v>
      </c>
      <c r="L40" s="616"/>
      <c r="M40" s="526"/>
      <c r="N40" s="526"/>
      <c r="O40" s="410">
        <v>17</v>
      </c>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A40" s="97"/>
      <c r="CB40" s="97"/>
      <c r="CC40" s="97"/>
      <c r="CD40" s="97"/>
      <c r="CE40" s="97"/>
      <c r="CF40" s="97"/>
      <c r="CG40" s="97"/>
      <c r="CH40" s="97"/>
      <c r="CI40" s="97"/>
      <c r="CJ40" s="97"/>
      <c r="CK40" s="97"/>
      <c r="CL40" s="97"/>
      <c r="CM40" s="97"/>
      <c r="CN40" s="97"/>
      <c r="CO40" s="97"/>
      <c r="CP40" s="97"/>
      <c r="CQ40" s="97"/>
      <c r="CR40" s="97"/>
      <c r="CS40" s="97"/>
      <c r="CT40" s="97"/>
      <c r="CU40" s="97"/>
      <c r="CV40" s="97"/>
      <c r="CW40" s="97"/>
      <c r="CX40" s="97"/>
      <c r="CY40" s="97"/>
      <c r="CZ40" s="97"/>
      <c r="DA40" s="97"/>
      <c r="DB40" s="97"/>
      <c r="DC40" s="97"/>
    </row>
    <row r="41" spans="1:107">
      <c r="A41" s="121">
        <v>18</v>
      </c>
      <c r="B41" s="160" t="s">
        <v>2626</v>
      </c>
      <c r="C41" s="1743">
        <f>SUM(C28:C40)-0.2</f>
        <v>-3738.2</v>
      </c>
      <c r="D41" s="1713">
        <f t="shared" ref="D41:K41" si="1">SUM(D28:D40)</f>
        <v>-140195</v>
      </c>
      <c r="E41" s="448">
        <f t="shared" si="1"/>
        <v>683457</v>
      </c>
      <c r="F41" s="448">
        <f t="shared" si="1"/>
        <v>1309261</v>
      </c>
      <c r="G41" s="432">
        <f>SUM(G28:G40)+0.14</f>
        <v>1104844.1399999999</v>
      </c>
      <c r="H41" s="447"/>
      <c r="I41" s="1826">
        <f t="shared" si="1"/>
        <v>441888.5</v>
      </c>
      <c r="J41" s="1713">
        <f t="shared" si="1"/>
        <v>-91342</v>
      </c>
      <c r="K41" s="1713">
        <f t="shared" si="1"/>
        <v>153779</v>
      </c>
      <c r="L41" s="616"/>
      <c r="M41" s="448">
        <f>SUM(M28:M40)</f>
        <v>0</v>
      </c>
      <c r="N41" s="448">
        <f>SUM(N28:N40)</f>
        <v>0</v>
      </c>
      <c r="O41" s="410">
        <v>18</v>
      </c>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7"/>
      <c r="CC41" s="97"/>
      <c r="CD41" s="97"/>
      <c r="CE41" s="97"/>
      <c r="CF41" s="97"/>
      <c r="CG41" s="97"/>
      <c r="CH41" s="97"/>
      <c r="CI41" s="97"/>
      <c r="CJ41" s="97"/>
      <c r="CK41" s="97"/>
      <c r="CL41" s="97"/>
      <c r="CM41" s="97"/>
      <c r="CN41" s="97"/>
      <c r="CO41" s="97"/>
      <c r="CP41" s="97"/>
      <c r="CQ41" s="97"/>
      <c r="CR41" s="97"/>
      <c r="CS41" s="97"/>
      <c r="CT41" s="97"/>
      <c r="CU41" s="97"/>
      <c r="CV41" s="97"/>
      <c r="CW41" s="97"/>
      <c r="CX41" s="97"/>
      <c r="CY41" s="97"/>
      <c r="CZ41" s="97"/>
      <c r="DA41" s="97"/>
      <c r="DB41" s="97"/>
      <c r="DC41" s="97"/>
    </row>
    <row r="42" spans="1:107">
      <c r="A42" s="121"/>
      <c r="B42" s="160" t="s">
        <v>2982</v>
      </c>
      <c r="C42" s="1065"/>
      <c r="D42" s="1065"/>
      <c r="E42" s="526"/>
      <c r="F42" s="526"/>
      <c r="G42" s="479"/>
      <c r="H42" s="1898"/>
      <c r="I42" s="1744" t="s">
        <v>4373</v>
      </c>
      <c r="J42" s="1065"/>
      <c r="K42" s="1065"/>
      <c r="L42" s="616"/>
      <c r="M42" s="526"/>
      <c r="N42" s="526"/>
      <c r="O42" s="410"/>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7"/>
      <c r="CC42" s="97"/>
      <c r="CD42" s="97"/>
      <c r="CE42" s="97"/>
      <c r="CF42" s="97"/>
      <c r="CG42" s="97"/>
      <c r="CH42" s="97"/>
      <c r="CI42" s="97"/>
      <c r="CJ42" s="97"/>
      <c r="CK42" s="97"/>
      <c r="CL42" s="97"/>
      <c r="CM42" s="97"/>
      <c r="CN42" s="97"/>
      <c r="CO42" s="97"/>
      <c r="CP42" s="97"/>
      <c r="CQ42" s="97"/>
      <c r="CR42" s="97"/>
      <c r="CS42" s="97"/>
      <c r="CT42" s="97"/>
      <c r="CU42" s="97"/>
      <c r="CV42" s="97"/>
      <c r="CW42" s="97"/>
      <c r="CX42" s="97"/>
      <c r="CY42" s="97"/>
      <c r="CZ42" s="97"/>
      <c r="DA42" s="97"/>
      <c r="DB42" s="97"/>
      <c r="DC42" s="97"/>
    </row>
    <row r="43" spans="1:107">
      <c r="A43" s="121">
        <v>19</v>
      </c>
      <c r="B43" s="160" t="s">
        <v>2983</v>
      </c>
      <c r="C43" s="1064">
        <v>-1280</v>
      </c>
      <c r="D43" s="1064">
        <v>1034484</v>
      </c>
      <c r="E43" s="1064">
        <v>15427524</v>
      </c>
      <c r="F43" s="1065">
        <v>15894998</v>
      </c>
      <c r="G43" s="1243">
        <v>-400850</v>
      </c>
      <c r="H43" s="1854"/>
      <c r="I43" s="1744">
        <v>-2291</v>
      </c>
      <c r="J43" s="1857">
        <f>+D43-C43-E43+F43+G43+I43</f>
        <v>1100097</v>
      </c>
      <c r="K43" s="1064">
        <v>15427524</v>
      </c>
      <c r="L43" s="616"/>
      <c r="M43" s="526"/>
      <c r="N43" s="526"/>
      <c r="O43" s="410">
        <v>19</v>
      </c>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7"/>
      <c r="CC43" s="97"/>
      <c r="CD43" s="97"/>
      <c r="CE43" s="97"/>
      <c r="CF43" s="97"/>
      <c r="CG43" s="97"/>
      <c r="CH43" s="97"/>
      <c r="CI43" s="97"/>
      <c r="CJ43" s="97"/>
      <c r="CK43" s="97"/>
      <c r="CL43" s="97"/>
      <c r="CM43" s="97"/>
      <c r="CN43" s="97"/>
      <c r="CO43" s="97"/>
      <c r="CP43" s="97"/>
      <c r="CQ43" s="97"/>
      <c r="CR43" s="97"/>
      <c r="CS43" s="97"/>
      <c r="CT43" s="97"/>
      <c r="CU43" s="97"/>
      <c r="CV43" s="97"/>
      <c r="CW43" s="97"/>
      <c r="CX43" s="97"/>
      <c r="CY43" s="97"/>
      <c r="CZ43" s="97"/>
      <c r="DA43" s="97"/>
      <c r="DB43" s="97"/>
      <c r="DC43" s="97"/>
    </row>
    <row r="44" spans="1:107">
      <c r="A44" s="121">
        <v>20</v>
      </c>
      <c r="B44" s="160" t="s">
        <v>1700</v>
      </c>
      <c r="C44" s="1064"/>
      <c r="D44" s="1065"/>
      <c r="E44" s="526"/>
      <c r="F44" s="526"/>
      <c r="G44" s="479"/>
      <c r="H44" s="1898"/>
      <c r="I44" s="1744"/>
      <c r="J44" s="1857"/>
      <c r="K44" s="1065"/>
      <c r="L44" s="616"/>
      <c r="M44" s="526"/>
      <c r="N44" s="526"/>
      <c r="O44" s="410">
        <v>20</v>
      </c>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7"/>
      <c r="CC44" s="97"/>
      <c r="CD44" s="97"/>
      <c r="CE44" s="97"/>
      <c r="CF44" s="97"/>
      <c r="CG44" s="97"/>
      <c r="CH44" s="97"/>
      <c r="CI44" s="97"/>
      <c r="CJ44" s="97"/>
      <c r="CK44" s="97"/>
      <c r="CL44" s="97"/>
      <c r="CM44" s="97"/>
      <c r="CN44" s="97"/>
      <c r="CO44" s="97"/>
      <c r="CP44" s="97"/>
      <c r="CQ44" s="97"/>
      <c r="CR44" s="97"/>
      <c r="CS44" s="97"/>
      <c r="CT44" s="97"/>
      <c r="CU44" s="97"/>
      <c r="CV44" s="97"/>
      <c r="CW44" s="97"/>
      <c r="CX44" s="97"/>
      <c r="CY44" s="97"/>
      <c r="CZ44" s="97"/>
      <c r="DA44" s="97"/>
      <c r="DB44" s="97"/>
      <c r="DC44" s="97"/>
    </row>
    <row r="45" spans="1:107">
      <c r="A45" s="121">
        <v>21</v>
      </c>
      <c r="B45" s="160" t="s">
        <v>1701</v>
      </c>
      <c r="C45" s="526"/>
      <c r="D45" s="526"/>
      <c r="E45" s="526"/>
      <c r="F45" s="526"/>
      <c r="G45" s="479"/>
      <c r="H45" s="1898"/>
      <c r="I45" s="1744" t="s">
        <v>4373</v>
      </c>
      <c r="J45" s="1065"/>
      <c r="K45" s="1065"/>
      <c r="L45" s="616"/>
      <c r="M45" s="526"/>
      <c r="N45" s="526"/>
      <c r="O45" s="410">
        <v>21</v>
      </c>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7"/>
      <c r="CC45" s="97"/>
      <c r="CD45" s="97"/>
      <c r="CE45" s="97"/>
      <c r="CF45" s="97"/>
      <c r="CG45" s="97"/>
      <c r="CH45" s="97"/>
      <c r="CI45" s="97"/>
      <c r="CJ45" s="97"/>
      <c r="CK45" s="97"/>
      <c r="CL45" s="97"/>
      <c r="CM45" s="97"/>
      <c r="CN45" s="97"/>
      <c r="CO45" s="97"/>
      <c r="CP45" s="97"/>
      <c r="CQ45" s="97"/>
      <c r="CR45" s="97"/>
      <c r="CS45" s="97"/>
      <c r="CT45" s="97"/>
      <c r="CU45" s="97"/>
      <c r="CV45" s="97"/>
      <c r="CW45" s="97"/>
      <c r="CX45" s="97"/>
      <c r="CY45" s="97"/>
      <c r="CZ45" s="97"/>
      <c r="DA45" s="97"/>
      <c r="DB45" s="97"/>
      <c r="DC45" s="97"/>
    </row>
    <row r="46" spans="1:107">
      <c r="A46" s="121">
        <v>22</v>
      </c>
      <c r="B46" s="160" t="s">
        <v>1702</v>
      </c>
      <c r="C46" s="526"/>
      <c r="D46" s="526"/>
      <c r="E46" s="526"/>
      <c r="F46" s="526"/>
      <c r="G46" s="479"/>
      <c r="H46" s="1898"/>
      <c r="I46" s="163" t="s">
        <v>4373</v>
      </c>
      <c r="J46" s="526"/>
      <c r="K46" s="1065"/>
      <c r="L46" s="616"/>
      <c r="M46" s="526"/>
      <c r="N46" s="526"/>
      <c r="O46" s="410">
        <v>22</v>
      </c>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c r="CC46" s="97"/>
      <c r="CD46" s="97"/>
      <c r="CE46" s="97"/>
      <c r="CF46" s="97"/>
      <c r="CG46" s="97"/>
      <c r="CH46" s="97"/>
      <c r="CI46" s="97"/>
      <c r="CJ46" s="97"/>
      <c r="CK46" s="97"/>
      <c r="CL46" s="97"/>
      <c r="CM46" s="97"/>
      <c r="CN46" s="97"/>
      <c r="CO46" s="97"/>
      <c r="CP46" s="97"/>
      <c r="CQ46" s="97"/>
      <c r="CR46" s="97"/>
      <c r="CS46" s="97"/>
      <c r="CT46" s="97"/>
      <c r="CU46" s="97"/>
      <c r="CV46" s="97"/>
      <c r="CW46" s="97"/>
      <c r="CX46" s="97"/>
      <c r="CY46" s="97"/>
      <c r="CZ46" s="97"/>
      <c r="DA46" s="97"/>
      <c r="DB46" s="97"/>
      <c r="DC46" s="97"/>
    </row>
    <row r="47" spans="1:107">
      <c r="A47" s="121">
        <v>23</v>
      </c>
      <c r="B47" s="160" t="s">
        <v>1703</v>
      </c>
      <c r="C47" s="526"/>
      <c r="D47" s="526"/>
      <c r="E47" s="526"/>
      <c r="F47" s="526"/>
      <c r="G47" s="479"/>
      <c r="H47" s="1898"/>
      <c r="I47" s="163" t="s">
        <v>4373</v>
      </c>
      <c r="J47" s="526"/>
      <c r="K47" s="1065"/>
      <c r="L47" s="616"/>
      <c r="M47" s="526"/>
      <c r="N47" s="526"/>
      <c r="O47" s="410">
        <v>23</v>
      </c>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c r="CC47" s="97"/>
      <c r="CD47" s="97"/>
      <c r="CE47" s="97"/>
      <c r="CF47" s="97"/>
      <c r="CG47" s="97"/>
      <c r="CH47" s="97"/>
      <c r="CI47" s="97"/>
      <c r="CJ47" s="97"/>
      <c r="CK47" s="97"/>
      <c r="CL47" s="97"/>
      <c r="CM47" s="97"/>
      <c r="CN47" s="97"/>
      <c r="CO47" s="97"/>
      <c r="CP47" s="97"/>
      <c r="CQ47" s="97"/>
      <c r="CR47" s="97"/>
      <c r="CS47" s="97"/>
      <c r="CT47" s="97"/>
      <c r="CU47" s="97"/>
      <c r="CV47" s="97"/>
      <c r="CW47" s="97"/>
      <c r="CX47" s="97"/>
      <c r="CY47" s="97"/>
      <c r="CZ47" s="97"/>
      <c r="DA47" s="97"/>
      <c r="DB47" s="97"/>
      <c r="DC47" s="97"/>
    </row>
    <row r="48" spans="1:107">
      <c r="A48" s="121">
        <v>24</v>
      </c>
      <c r="B48" s="160" t="s">
        <v>2980</v>
      </c>
      <c r="C48" s="526"/>
      <c r="D48" s="526"/>
      <c r="E48" s="526"/>
      <c r="F48" s="526"/>
      <c r="G48" s="479"/>
      <c r="H48" s="1898"/>
      <c r="I48" s="163" t="s">
        <v>4373</v>
      </c>
      <c r="J48" s="526"/>
      <c r="K48" s="1065"/>
      <c r="L48" s="616"/>
      <c r="M48" s="526"/>
      <c r="N48" s="526"/>
      <c r="O48" s="410">
        <v>24</v>
      </c>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c r="CC48" s="97"/>
      <c r="CD48" s="97"/>
      <c r="CE48" s="97"/>
      <c r="CF48" s="97"/>
      <c r="CG48" s="97"/>
      <c r="CH48" s="97"/>
      <c r="CI48" s="97"/>
      <c r="CJ48" s="97"/>
      <c r="CK48" s="97"/>
      <c r="CL48" s="97"/>
      <c r="CM48" s="97"/>
      <c r="CN48" s="97"/>
      <c r="CO48" s="97"/>
      <c r="CP48" s="97"/>
      <c r="CQ48" s="97"/>
      <c r="CR48" s="97"/>
      <c r="CS48" s="97"/>
      <c r="CT48" s="97"/>
      <c r="CU48" s="97"/>
      <c r="CV48" s="97"/>
      <c r="CW48" s="97"/>
      <c r="CX48" s="97"/>
      <c r="CY48" s="97"/>
      <c r="CZ48" s="97"/>
      <c r="DA48" s="97"/>
      <c r="DB48" s="97"/>
      <c r="DC48" s="97"/>
    </row>
    <row r="49" spans="1:107">
      <c r="A49" s="121">
        <v>25</v>
      </c>
      <c r="B49" s="160" t="s">
        <v>2625</v>
      </c>
      <c r="C49" s="526"/>
      <c r="D49" s="526"/>
      <c r="E49" s="526"/>
      <c r="F49" s="526"/>
      <c r="G49" s="479"/>
      <c r="H49" s="1898"/>
      <c r="I49" s="163"/>
      <c r="J49" s="526"/>
      <c r="K49" s="1065"/>
      <c r="L49" s="616"/>
      <c r="M49" s="526"/>
      <c r="N49" s="526"/>
      <c r="O49" s="410">
        <v>25</v>
      </c>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c r="CC49" s="97"/>
      <c r="CD49" s="97"/>
      <c r="CE49" s="97"/>
      <c r="CF49" s="97"/>
      <c r="CG49" s="97"/>
      <c r="CH49" s="97"/>
      <c r="CI49" s="97"/>
      <c r="CJ49" s="97"/>
      <c r="CK49" s="97"/>
      <c r="CL49" s="97"/>
      <c r="CM49" s="97"/>
      <c r="CN49" s="97"/>
      <c r="CO49" s="97"/>
      <c r="CP49" s="97"/>
      <c r="CQ49" s="97"/>
      <c r="CR49" s="97"/>
      <c r="CS49" s="97"/>
      <c r="CT49" s="97"/>
      <c r="CU49" s="97"/>
      <c r="CV49" s="97"/>
      <c r="CW49" s="97"/>
      <c r="CX49" s="97"/>
      <c r="CY49" s="97"/>
      <c r="CZ49" s="97"/>
      <c r="DA49" s="97"/>
      <c r="DB49" s="97"/>
      <c r="DC49" s="97"/>
    </row>
    <row r="50" spans="1:107">
      <c r="A50" s="121">
        <v>26</v>
      </c>
      <c r="B50" s="160" t="s">
        <v>2626</v>
      </c>
      <c r="C50" s="448">
        <f t="shared" ref="C50:K50" si="2">SUM(C43:C49)</f>
        <v>-1280</v>
      </c>
      <c r="D50" s="448">
        <f t="shared" si="2"/>
        <v>1034484</v>
      </c>
      <c r="E50" s="448">
        <f t="shared" si="2"/>
        <v>15427524</v>
      </c>
      <c r="F50" s="448">
        <f t="shared" si="2"/>
        <v>15894998</v>
      </c>
      <c r="G50" s="432">
        <f t="shared" si="2"/>
        <v>-400850</v>
      </c>
      <c r="H50" s="447"/>
      <c r="I50" s="621">
        <f t="shared" si="2"/>
        <v>-2291</v>
      </c>
      <c r="J50" s="448">
        <f t="shared" si="2"/>
        <v>1100097</v>
      </c>
      <c r="K50" s="1713">
        <f t="shared" si="2"/>
        <v>15427524</v>
      </c>
      <c r="L50" s="616"/>
      <c r="M50" s="448">
        <f>SUM(M43:M49)</f>
        <v>0</v>
      </c>
      <c r="N50" s="448">
        <f>SUM(N43:N49)</f>
        <v>0</v>
      </c>
      <c r="O50" s="410">
        <v>26</v>
      </c>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7"/>
      <c r="CC50" s="97"/>
      <c r="CD50" s="97"/>
      <c r="CE50" s="97"/>
      <c r="CF50" s="97"/>
      <c r="CG50" s="97"/>
      <c r="CH50" s="97"/>
      <c r="CI50" s="97"/>
      <c r="CJ50" s="97"/>
      <c r="CK50" s="97"/>
      <c r="CL50" s="97"/>
      <c r="CM50" s="97"/>
      <c r="CN50" s="97"/>
      <c r="CO50" s="97"/>
      <c r="CP50" s="97"/>
      <c r="CQ50" s="97"/>
      <c r="CR50" s="97"/>
      <c r="CS50" s="97"/>
      <c r="CT50" s="97"/>
      <c r="CU50" s="97"/>
      <c r="CV50" s="97"/>
      <c r="CW50" s="97"/>
      <c r="CX50" s="97"/>
      <c r="CY50" s="97"/>
    </row>
    <row r="51" spans="1:107">
      <c r="A51" s="121"/>
      <c r="B51" s="160" t="s">
        <v>1704</v>
      </c>
      <c r="C51" s="526"/>
      <c r="D51" s="526"/>
      <c r="E51" s="526"/>
      <c r="F51" s="526"/>
      <c r="G51" s="479"/>
      <c r="H51" s="1898"/>
      <c r="I51" s="163"/>
      <c r="J51" s="526"/>
      <c r="K51" s="1065"/>
      <c r="L51" s="616"/>
      <c r="M51" s="526"/>
      <c r="N51" s="526"/>
      <c r="O51" s="410"/>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c r="CC51" s="97"/>
      <c r="CD51" s="97"/>
      <c r="CE51" s="97"/>
      <c r="CF51" s="97"/>
      <c r="CG51" s="97"/>
      <c r="CH51" s="97"/>
      <c r="CI51" s="97"/>
      <c r="CJ51" s="97"/>
      <c r="CK51" s="97"/>
      <c r="CL51" s="97"/>
      <c r="CM51" s="97"/>
      <c r="CN51" s="97"/>
      <c r="CO51" s="97"/>
      <c r="CP51" s="97"/>
      <c r="CQ51" s="97"/>
      <c r="CR51" s="97"/>
      <c r="CS51" s="97"/>
      <c r="CT51" s="97"/>
      <c r="CU51" s="97"/>
      <c r="CV51" s="97"/>
      <c r="CW51" s="97"/>
      <c r="CX51" s="97"/>
      <c r="CY51" s="97"/>
    </row>
    <row r="52" spans="1:107">
      <c r="A52" s="121">
        <v>27</v>
      </c>
      <c r="B52" s="160" t="s">
        <v>1100</v>
      </c>
      <c r="C52" s="526"/>
      <c r="D52" s="526"/>
      <c r="E52" s="526"/>
      <c r="F52" s="526"/>
      <c r="G52" s="479"/>
      <c r="H52" s="1898"/>
      <c r="I52" s="163" t="s">
        <v>4373</v>
      </c>
      <c r="J52" s="526"/>
      <c r="K52" s="1065"/>
      <c r="L52" s="616"/>
      <c r="M52" s="526"/>
      <c r="N52" s="526"/>
      <c r="O52" s="410">
        <v>27</v>
      </c>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c r="CC52" s="97"/>
      <c r="CD52" s="97"/>
      <c r="CE52" s="97"/>
      <c r="CF52" s="97"/>
      <c r="CG52" s="97"/>
      <c r="CH52" s="97"/>
      <c r="CI52" s="97"/>
      <c r="CJ52" s="97"/>
      <c r="CK52" s="97"/>
      <c r="CL52" s="97"/>
      <c r="CM52" s="97"/>
      <c r="CN52" s="97"/>
      <c r="CO52" s="97"/>
      <c r="CP52" s="97"/>
      <c r="CQ52" s="97"/>
      <c r="CR52" s="97"/>
      <c r="CS52" s="97"/>
      <c r="CT52" s="97"/>
      <c r="CU52" s="97"/>
      <c r="CV52" s="97"/>
      <c r="CW52" s="97"/>
      <c r="CX52" s="97"/>
      <c r="CY52" s="97"/>
    </row>
    <row r="53" spans="1:107">
      <c r="A53" s="121">
        <v>28</v>
      </c>
      <c r="B53" s="160" t="s">
        <v>2510</v>
      </c>
      <c r="C53" s="526"/>
      <c r="D53" s="526"/>
      <c r="E53" s="526"/>
      <c r="F53" s="526"/>
      <c r="G53" s="479"/>
      <c r="H53" s="1898"/>
      <c r="I53" s="163" t="s">
        <v>4373</v>
      </c>
      <c r="J53" s="526"/>
      <c r="K53" s="1065"/>
      <c r="L53" s="616"/>
      <c r="M53" s="526"/>
      <c r="N53" s="526"/>
      <c r="O53" s="410">
        <v>28</v>
      </c>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c r="CC53" s="97"/>
      <c r="CD53" s="97"/>
      <c r="CE53" s="97"/>
      <c r="CF53" s="97"/>
      <c r="CG53" s="97"/>
      <c r="CH53" s="97"/>
      <c r="CI53" s="97"/>
      <c r="CJ53" s="97"/>
      <c r="CK53" s="97"/>
      <c r="CL53" s="97"/>
      <c r="CM53" s="97"/>
      <c r="CN53" s="97"/>
      <c r="CO53" s="97"/>
      <c r="CP53" s="97"/>
      <c r="CQ53" s="97"/>
      <c r="CR53" s="97"/>
      <c r="CS53" s="97"/>
      <c r="CT53" s="97"/>
      <c r="CU53" s="97"/>
      <c r="CV53" s="97"/>
      <c r="CW53" s="97"/>
      <c r="CX53" s="97"/>
      <c r="CY53" s="97"/>
    </row>
    <row r="54" spans="1:107">
      <c r="A54" s="121">
        <v>29</v>
      </c>
      <c r="B54" s="570"/>
      <c r="C54" s="669"/>
      <c r="D54" s="669"/>
      <c r="E54" s="669"/>
      <c r="F54" s="669"/>
      <c r="G54" s="628"/>
      <c r="H54" s="1972"/>
      <c r="I54" s="670"/>
      <c r="J54" s="669"/>
      <c r="K54" s="1714"/>
      <c r="L54" s="671"/>
      <c r="M54" s="669"/>
      <c r="N54" s="669"/>
      <c r="O54" s="410">
        <v>29</v>
      </c>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7"/>
      <c r="CC54" s="97"/>
      <c r="CD54" s="97"/>
      <c r="CE54" s="97"/>
      <c r="CF54" s="97"/>
      <c r="CG54" s="97"/>
      <c r="CH54" s="97"/>
      <c r="CI54" s="97"/>
      <c r="CJ54" s="97"/>
      <c r="CK54" s="97"/>
      <c r="CL54" s="97"/>
      <c r="CM54" s="97"/>
      <c r="CN54" s="97"/>
      <c r="CO54" s="97"/>
      <c r="CP54" s="97"/>
      <c r="CQ54" s="97"/>
      <c r="CR54" s="97"/>
      <c r="CS54" s="97"/>
      <c r="CT54" s="97"/>
      <c r="CU54" s="97"/>
      <c r="CV54" s="97"/>
      <c r="CW54" s="97"/>
      <c r="CX54" s="97"/>
      <c r="CY54" s="97"/>
    </row>
    <row r="55" spans="1:107">
      <c r="A55" s="121">
        <v>30</v>
      </c>
      <c r="B55" s="160"/>
      <c r="C55" s="526"/>
      <c r="D55" s="526"/>
      <c r="E55" s="526"/>
      <c r="F55" s="526"/>
      <c r="G55" s="479"/>
      <c r="H55" s="1898"/>
      <c r="I55" s="163"/>
      <c r="J55" s="526"/>
      <c r="K55" s="1065"/>
      <c r="L55" s="616"/>
      <c r="M55" s="526"/>
      <c r="N55" s="526"/>
      <c r="O55" s="410">
        <v>30</v>
      </c>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c r="CC55" s="97"/>
      <c r="CD55" s="97"/>
      <c r="CE55" s="97"/>
      <c r="CF55" s="97"/>
      <c r="CG55" s="97"/>
      <c r="CH55" s="97"/>
      <c r="CI55" s="97"/>
      <c r="CJ55" s="97"/>
      <c r="CK55" s="97"/>
      <c r="CL55" s="97"/>
      <c r="CM55" s="97"/>
      <c r="CN55" s="97"/>
      <c r="CO55" s="97"/>
      <c r="CP55" s="97"/>
      <c r="CQ55" s="97"/>
      <c r="CR55" s="97"/>
      <c r="CS55" s="97"/>
      <c r="CT55" s="97"/>
      <c r="CU55" s="97"/>
      <c r="CV55" s="97"/>
      <c r="CW55" s="97"/>
      <c r="CX55" s="97"/>
      <c r="CY55" s="97"/>
    </row>
    <row r="56" spans="1:107">
      <c r="A56" s="121">
        <v>31</v>
      </c>
      <c r="B56" s="615"/>
      <c r="C56" s="526"/>
      <c r="D56" s="526"/>
      <c r="E56" s="526"/>
      <c r="F56" s="526"/>
      <c r="G56" s="479"/>
      <c r="H56" s="1898"/>
      <c r="I56" s="163"/>
      <c r="J56" s="526"/>
      <c r="K56" s="1065"/>
      <c r="L56" s="616"/>
      <c r="M56" s="526"/>
      <c r="N56" s="526"/>
      <c r="O56" s="410">
        <v>31</v>
      </c>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7"/>
      <c r="CC56" s="97"/>
      <c r="CD56" s="97"/>
      <c r="CE56" s="97"/>
      <c r="CF56" s="97"/>
      <c r="CG56" s="97"/>
      <c r="CH56" s="97"/>
      <c r="CI56" s="97"/>
      <c r="CJ56" s="97"/>
      <c r="CK56" s="97"/>
      <c r="CL56" s="97"/>
      <c r="CM56" s="97"/>
      <c r="CN56" s="97"/>
      <c r="CO56" s="97"/>
      <c r="CP56" s="97"/>
      <c r="CQ56" s="97"/>
      <c r="CR56" s="97"/>
      <c r="CS56" s="97"/>
      <c r="CT56" s="97"/>
      <c r="CU56" s="97"/>
      <c r="CV56" s="97"/>
      <c r="CW56" s="97"/>
      <c r="CX56" s="97"/>
      <c r="CY56" s="97"/>
    </row>
    <row r="57" spans="1:107">
      <c r="A57" s="121">
        <v>32</v>
      </c>
      <c r="B57" s="160"/>
      <c r="C57" s="526"/>
      <c r="D57" s="526"/>
      <c r="E57" s="526"/>
      <c r="F57" s="526"/>
      <c r="G57" s="479"/>
      <c r="H57" s="1898"/>
      <c r="I57" s="163"/>
      <c r="J57" s="526"/>
      <c r="K57" s="1065"/>
      <c r="L57" s="668"/>
      <c r="M57" s="526"/>
      <c r="N57" s="526"/>
      <c r="O57" s="410">
        <v>32</v>
      </c>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c r="CC57" s="97"/>
      <c r="CD57" s="97"/>
      <c r="CE57" s="97"/>
      <c r="CF57" s="97"/>
      <c r="CG57" s="97"/>
      <c r="CH57" s="97"/>
      <c r="CI57" s="97"/>
      <c r="CJ57" s="97"/>
      <c r="CK57" s="97"/>
      <c r="CL57" s="97"/>
      <c r="CM57" s="97"/>
      <c r="CN57" s="97"/>
      <c r="CO57" s="97"/>
      <c r="CP57" s="97"/>
      <c r="CQ57" s="97"/>
      <c r="CR57" s="97"/>
      <c r="CS57" s="97"/>
      <c r="CT57" s="97"/>
      <c r="CU57" s="97"/>
      <c r="CV57" s="97"/>
      <c r="CW57" s="97"/>
      <c r="CX57" s="97"/>
      <c r="CY57" s="97"/>
    </row>
    <row r="58" spans="1:107">
      <c r="A58" s="121">
        <v>33</v>
      </c>
      <c r="B58" s="160"/>
      <c r="C58" s="526"/>
      <c r="D58" s="526"/>
      <c r="E58" s="526"/>
      <c r="F58" s="526"/>
      <c r="G58" s="479"/>
      <c r="H58" s="1898"/>
      <c r="I58" s="163"/>
      <c r="J58" s="526"/>
      <c r="K58" s="1065"/>
      <c r="L58" s="616"/>
      <c r="M58" s="526"/>
      <c r="N58" s="526"/>
      <c r="O58" s="410">
        <v>33</v>
      </c>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7"/>
      <c r="BR58" s="97"/>
      <c r="BS58" s="97"/>
      <c r="BT58" s="97"/>
      <c r="BU58" s="97"/>
      <c r="BV58" s="97"/>
      <c r="BW58" s="97"/>
      <c r="BX58" s="97"/>
      <c r="BY58" s="97"/>
      <c r="BZ58" s="97"/>
      <c r="CA58" s="97"/>
      <c r="CB58" s="97"/>
      <c r="CC58" s="97"/>
      <c r="CD58" s="97"/>
      <c r="CE58" s="97"/>
      <c r="CF58" s="97"/>
      <c r="CG58" s="97"/>
      <c r="CH58" s="97"/>
      <c r="CI58" s="97"/>
      <c r="CJ58" s="97"/>
      <c r="CK58" s="97"/>
      <c r="CL58" s="97"/>
      <c r="CM58" s="97"/>
      <c r="CN58" s="97"/>
      <c r="CO58" s="97"/>
      <c r="CP58" s="97"/>
      <c r="CQ58" s="97"/>
      <c r="CR58" s="97"/>
      <c r="CS58" s="97"/>
      <c r="CT58" s="97"/>
      <c r="CU58" s="97"/>
      <c r="CV58" s="97"/>
      <c r="CW58" s="97"/>
      <c r="CX58" s="97"/>
      <c r="CY58" s="97"/>
    </row>
    <row r="59" spans="1:107">
      <c r="A59" s="121">
        <v>34</v>
      </c>
      <c r="B59" s="160"/>
      <c r="C59" s="526"/>
      <c r="D59" s="526"/>
      <c r="E59" s="526"/>
      <c r="F59" s="526"/>
      <c r="G59" s="479"/>
      <c r="H59" s="1898"/>
      <c r="I59" s="163"/>
      <c r="J59" s="526"/>
      <c r="K59" s="1065"/>
      <c r="L59" s="668"/>
      <c r="M59" s="526"/>
      <c r="N59" s="526"/>
      <c r="O59" s="410">
        <v>34</v>
      </c>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c r="CC59" s="97"/>
      <c r="CD59" s="97"/>
      <c r="CE59" s="97"/>
      <c r="CF59" s="97"/>
      <c r="CG59" s="97"/>
      <c r="CH59" s="97"/>
      <c r="CI59" s="97"/>
      <c r="CJ59" s="97"/>
      <c r="CK59" s="97"/>
      <c r="CL59" s="97"/>
      <c r="CM59" s="97"/>
      <c r="CN59" s="97"/>
      <c r="CO59" s="97"/>
      <c r="CP59" s="97"/>
      <c r="CQ59" s="97"/>
      <c r="CR59" s="97"/>
      <c r="CS59" s="97"/>
      <c r="CT59" s="97"/>
      <c r="CU59" s="97"/>
      <c r="CV59" s="97"/>
      <c r="CW59" s="97"/>
      <c r="CX59" s="97"/>
      <c r="CY59" s="97"/>
    </row>
    <row r="60" spans="1:107">
      <c r="A60" s="121">
        <v>35</v>
      </c>
      <c r="B60" s="160"/>
      <c r="C60" s="526"/>
      <c r="D60" s="526"/>
      <c r="E60" s="526"/>
      <c r="F60" s="526"/>
      <c r="G60" s="479"/>
      <c r="H60" s="1898"/>
      <c r="I60" s="163"/>
      <c r="J60" s="526"/>
      <c r="K60" s="1065"/>
      <c r="L60" s="668"/>
      <c r="M60" s="526"/>
      <c r="N60" s="526"/>
      <c r="O60" s="410">
        <v>35</v>
      </c>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c r="CC60" s="97"/>
      <c r="CD60" s="97"/>
      <c r="CE60" s="97"/>
      <c r="CF60" s="97"/>
      <c r="CG60" s="97"/>
      <c r="CH60" s="97"/>
      <c r="CI60" s="97"/>
      <c r="CJ60" s="97"/>
      <c r="CK60" s="97"/>
      <c r="CL60" s="97"/>
      <c r="CM60" s="97"/>
      <c r="CN60" s="97"/>
      <c r="CO60" s="97"/>
      <c r="CP60" s="97"/>
      <c r="CQ60" s="97"/>
      <c r="CR60" s="97"/>
      <c r="CS60" s="97"/>
      <c r="CT60" s="97"/>
      <c r="CU60" s="97"/>
      <c r="CV60" s="97"/>
      <c r="CW60" s="97"/>
      <c r="CX60" s="97"/>
      <c r="CY60" s="97"/>
    </row>
    <row r="61" spans="1:107">
      <c r="A61" s="121">
        <v>36</v>
      </c>
      <c r="B61" s="160"/>
      <c r="C61" s="526"/>
      <c r="D61" s="526"/>
      <c r="E61" s="526"/>
      <c r="F61" s="526"/>
      <c r="G61" s="672"/>
      <c r="H61" s="1973"/>
      <c r="I61" s="163"/>
      <c r="J61" s="526"/>
      <c r="K61" s="1065"/>
      <c r="L61" s="616"/>
      <c r="M61" s="526"/>
      <c r="N61" s="526"/>
      <c r="O61" s="410">
        <v>36</v>
      </c>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row>
    <row r="62" spans="1:107">
      <c r="A62" s="121">
        <v>37</v>
      </c>
      <c r="B62" s="160"/>
      <c r="C62" s="526"/>
      <c r="D62" s="526"/>
      <c r="E62" s="526"/>
      <c r="F62" s="526"/>
      <c r="G62" s="672"/>
      <c r="H62" s="1973"/>
      <c r="I62" s="163"/>
      <c r="J62" s="526"/>
      <c r="K62" s="1065"/>
      <c r="L62" s="616"/>
      <c r="M62" s="526"/>
      <c r="N62" s="526"/>
      <c r="O62" s="410">
        <v>37</v>
      </c>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c r="BN62" s="97"/>
      <c r="BO62" s="97"/>
      <c r="BP62" s="97"/>
      <c r="BQ62" s="97"/>
      <c r="BR62" s="97"/>
      <c r="BS62" s="97"/>
      <c r="BT62" s="97"/>
      <c r="BU62" s="97"/>
      <c r="BV62" s="97"/>
      <c r="BW62" s="97"/>
      <c r="BX62" s="97"/>
      <c r="BY62" s="97"/>
      <c r="BZ62" s="97"/>
      <c r="CA62" s="97"/>
      <c r="CB62" s="97"/>
      <c r="CC62" s="97"/>
      <c r="CD62" s="97"/>
      <c r="CE62" s="97"/>
      <c r="CF62" s="97"/>
      <c r="CG62" s="97"/>
      <c r="CH62" s="97"/>
      <c r="CI62" s="97"/>
      <c r="CJ62" s="97"/>
      <c r="CK62" s="97"/>
      <c r="CL62" s="97"/>
      <c r="CM62" s="97"/>
      <c r="CN62" s="97"/>
      <c r="CO62" s="97"/>
      <c r="CP62" s="97"/>
      <c r="CQ62" s="97"/>
      <c r="CR62" s="97"/>
      <c r="CS62" s="97"/>
      <c r="CT62" s="97"/>
      <c r="CU62" s="97"/>
      <c r="CV62" s="97"/>
      <c r="CW62" s="97"/>
      <c r="CX62" s="97"/>
      <c r="CY62" s="97"/>
    </row>
    <row r="63" spans="1:107">
      <c r="A63" s="121">
        <v>38</v>
      </c>
      <c r="B63" s="160"/>
      <c r="C63" s="526"/>
      <c r="D63" s="526"/>
      <c r="E63" s="526"/>
      <c r="F63" s="526"/>
      <c r="G63" s="672"/>
      <c r="H63" s="1973"/>
      <c r="I63" s="163"/>
      <c r="J63" s="526"/>
      <c r="K63" s="1065"/>
      <c r="L63" s="616"/>
      <c r="M63" s="526"/>
      <c r="N63" s="526"/>
      <c r="O63" s="410">
        <v>38</v>
      </c>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c r="BB63" s="97"/>
      <c r="BC63" s="97"/>
      <c r="BD63" s="97"/>
      <c r="BE63" s="97"/>
      <c r="BF63" s="97"/>
      <c r="BG63" s="97"/>
      <c r="BH63" s="97"/>
      <c r="BI63" s="97"/>
      <c r="BJ63" s="97"/>
      <c r="BK63" s="97"/>
      <c r="BL63" s="97"/>
      <c r="BM63" s="97"/>
      <c r="BN63" s="97"/>
      <c r="BO63" s="97"/>
      <c r="BP63" s="97"/>
      <c r="BQ63" s="97"/>
      <c r="BR63" s="97"/>
      <c r="BS63" s="97"/>
      <c r="BT63" s="97"/>
      <c r="BU63" s="97"/>
      <c r="BV63" s="97"/>
      <c r="BW63" s="97"/>
      <c r="BX63" s="97"/>
      <c r="BY63" s="97"/>
      <c r="BZ63" s="97"/>
      <c r="CA63" s="97"/>
      <c r="CB63" s="97"/>
      <c r="CC63" s="97"/>
      <c r="CD63" s="97"/>
      <c r="CE63" s="97"/>
      <c r="CF63" s="97"/>
      <c r="CG63" s="97"/>
      <c r="CH63" s="97"/>
      <c r="CI63" s="97"/>
      <c r="CJ63" s="97"/>
      <c r="CK63" s="97"/>
      <c r="CL63" s="97"/>
      <c r="CM63" s="97"/>
      <c r="CN63" s="97"/>
      <c r="CO63" s="97"/>
      <c r="CP63" s="97"/>
      <c r="CQ63" s="97"/>
      <c r="CR63" s="97"/>
      <c r="CS63" s="97"/>
      <c r="CT63" s="97"/>
      <c r="CU63" s="97"/>
      <c r="CV63" s="97"/>
      <c r="CW63" s="97"/>
      <c r="CX63" s="97"/>
      <c r="CY63" s="97"/>
    </row>
    <row r="64" spans="1:107">
      <c r="A64" s="121">
        <v>39</v>
      </c>
      <c r="B64" s="160"/>
      <c r="C64" s="526"/>
      <c r="D64" s="526"/>
      <c r="E64" s="526"/>
      <c r="F64" s="526"/>
      <c r="G64" s="672"/>
      <c r="H64" s="1973"/>
      <c r="I64" s="163"/>
      <c r="J64" s="526"/>
      <c r="K64" s="1065"/>
      <c r="L64" s="616"/>
      <c r="M64" s="526"/>
      <c r="N64" s="526"/>
      <c r="O64" s="410">
        <v>39</v>
      </c>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7"/>
      <c r="BC64" s="97"/>
      <c r="BD64" s="97"/>
      <c r="BE64" s="97"/>
      <c r="BF64" s="97"/>
      <c r="BG64" s="97"/>
      <c r="BH64" s="97"/>
      <c r="BI64" s="97"/>
      <c r="BJ64" s="97"/>
      <c r="BK64" s="97"/>
      <c r="BL64" s="97"/>
      <c r="BM64" s="97"/>
      <c r="BN64" s="97"/>
      <c r="BO64" s="97"/>
      <c r="BP64" s="97"/>
      <c r="BQ64" s="97"/>
      <c r="BR64" s="97"/>
      <c r="BS64" s="97"/>
      <c r="BT64" s="97"/>
      <c r="BU64" s="97"/>
      <c r="BV64" s="97"/>
      <c r="BW64" s="97"/>
      <c r="BX64" s="97"/>
      <c r="BY64" s="97"/>
      <c r="BZ64" s="97"/>
      <c r="CA64" s="97"/>
      <c r="CB64" s="97"/>
      <c r="CC64" s="97"/>
      <c r="CD64" s="97"/>
      <c r="CE64" s="97"/>
      <c r="CF64" s="97"/>
      <c r="CG64" s="97"/>
      <c r="CH64" s="97"/>
      <c r="CI64" s="97"/>
      <c r="CJ64" s="97"/>
      <c r="CK64" s="97"/>
      <c r="CL64" s="97"/>
      <c r="CM64" s="97"/>
      <c r="CN64" s="97"/>
      <c r="CO64" s="97"/>
      <c r="CP64" s="97"/>
      <c r="CQ64" s="97"/>
      <c r="CR64" s="97"/>
      <c r="CS64" s="97"/>
      <c r="CT64" s="97"/>
      <c r="CU64" s="97"/>
      <c r="CV64" s="97"/>
      <c r="CW64" s="97"/>
      <c r="CX64" s="97"/>
      <c r="CY64" s="97"/>
    </row>
    <row r="65" spans="1:103" ht="15.75" thickBot="1">
      <c r="A65" s="673">
        <v>40</v>
      </c>
      <c r="B65" s="436" t="s">
        <v>1135</v>
      </c>
      <c r="C65" s="2034">
        <f t="shared" ref="C65:N65" si="3">C26+C41+C50+SUM(C51:C64)</f>
        <v>1098911.8</v>
      </c>
      <c r="D65" s="528">
        <f>D26+D41+D50+SUM(D51:D64)</f>
        <v>894289</v>
      </c>
      <c r="E65" s="2034">
        <f>E26+E41+E50+SUM(E51:E64)-1</f>
        <v>14707780</v>
      </c>
      <c r="F65" s="528">
        <f t="shared" si="3"/>
        <v>16716483</v>
      </c>
      <c r="G65" s="439">
        <f t="shared" si="3"/>
        <v>3811600.1399999997</v>
      </c>
      <c r="H65" s="1969"/>
      <c r="I65" s="674">
        <f>I26+I41+I50+SUM(I51:I64)+0.4</f>
        <v>3735709.9</v>
      </c>
      <c r="J65" s="528">
        <f t="shared" si="3"/>
        <v>1008755</v>
      </c>
      <c r="K65" s="2034">
        <f>K26+K41+K50+SUM(K51:K64)</f>
        <v>14099345</v>
      </c>
      <c r="L65" s="528">
        <f t="shared" si="3"/>
        <v>0</v>
      </c>
      <c r="M65" s="1706">
        <f t="shared" si="3"/>
        <v>0</v>
      </c>
      <c r="N65" s="1706">
        <f t="shared" si="3"/>
        <v>0</v>
      </c>
      <c r="O65" s="440">
        <v>40</v>
      </c>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c r="CC65" s="97"/>
      <c r="CD65" s="97"/>
      <c r="CE65" s="97"/>
      <c r="CF65" s="97"/>
      <c r="CG65" s="97"/>
      <c r="CH65" s="97"/>
      <c r="CI65" s="97"/>
      <c r="CJ65" s="97"/>
      <c r="CK65" s="97"/>
      <c r="CL65" s="97"/>
      <c r="CM65" s="97"/>
      <c r="CN65" s="97"/>
      <c r="CO65" s="97"/>
      <c r="CP65" s="97"/>
      <c r="CQ65" s="97"/>
      <c r="CR65" s="97"/>
      <c r="CS65" s="97"/>
      <c r="CT65" s="97"/>
      <c r="CU65" s="97"/>
      <c r="CV65" s="97"/>
      <c r="CW65" s="97"/>
      <c r="CX65" s="97"/>
      <c r="CY65" s="97"/>
    </row>
    <row r="66" spans="1:103">
      <c r="A66" s="97" t="s">
        <v>4066</v>
      </c>
      <c r="B66" s="97"/>
      <c r="C66" s="97"/>
      <c r="D66" s="441"/>
      <c r="E66" s="97"/>
      <c r="F66" s="97"/>
      <c r="G66" s="97"/>
      <c r="H66" s="97"/>
      <c r="I66" s="97"/>
      <c r="J66" s="97"/>
      <c r="K66" s="1715"/>
      <c r="L66" s="97"/>
      <c r="M66" s="97"/>
      <c r="N66" s="442" t="s">
        <v>4066</v>
      </c>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c r="BC66" s="97"/>
      <c r="BD66" s="97"/>
      <c r="BE66" s="97"/>
      <c r="BF66" s="97"/>
      <c r="BG66" s="97"/>
      <c r="BH66" s="97"/>
      <c r="BI66" s="97"/>
      <c r="BJ66" s="97"/>
      <c r="BK66" s="97"/>
      <c r="BL66" s="97"/>
      <c r="BM66" s="97"/>
      <c r="BN66" s="97"/>
      <c r="BO66" s="97"/>
      <c r="BP66" s="97"/>
      <c r="BQ66" s="97"/>
      <c r="BR66" s="97"/>
      <c r="BS66" s="97"/>
      <c r="BT66" s="97"/>
      <c r="BU66" s="97"/>
      <c r="BV66" s="97"/>
      <c r="BW66" s="97"/>
      <c r="BX66" s="97"/>
      <c r="BY66" s="97"/>
      <c r="BZ66" s="97"/>
      <c r="CA66" s="97"/>
      <c r="CB66" s="97"/>
      <c r="CC66" s="97"/>
      <c r="CD66" s="97"/>
      <c r="CE66" s="97"/>
      <c r="CF66" s="97"/>
      <c r="CG66" s="97"/>
      <c r="CH66" s="97"/>
      <c r="CI66" s="97"/>
      <c r="CJ66" s="97"/>
      <c r="CK66" s="97"/>
      <c r="CL66" s="97"/>
      <c r="CM66" s="97"/>
      <c r="CN66" s="97"/>
      <c r="CO66" s="97"/>
      <c r="CP66" s="97"/>
      <c r="CQ66" s="97"/>
      <c r="CR66" s="97"/>
      <c r="CS66" s="97"/>
      <c r="CT66" s="97"/>
      <c r="CU66" s="97"/>
      <c r="CV66" s="97"/>
      <c r="CW66" s="97"/>
      <c r="CX66" s="97"/>
      <c r="CY66" s="97"/>
    </row>
    <row r="67" spans="1:103">
      <c r="A67" s="3050" t="s">
        <v>1705</v>
      </c>
      <c r="B67" s="3050"/>
      <c r="C67" s="3050"/>
      <c r="D67" s="3050"/>
      <c r="E67" s="3050"/>
      <c r="F67" s="3050"/>
      <c r="G67" s="3050"/>
      <c r="H67" s="105"/>
      <c r="I67" s="3052" t="s">
        <v>2136</v>
      </c>
      <c r="J67" s="3052"/>
      <c r="K67" s="3052"/>
      <c r="L67" s="3052"/>
      <c r="M67" s="3052"/>
      <c r="N67" s="3052"/>
      <c r="O67" s="3052"/>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7"/>
      <c r="BD67" s="97"/>
      <c r="BE67" s="97"/>
      <c r="BF67" s="97"/>
      <c r="BG67" s="97"/>
      <c r="BH67" s="97"/>
      <c r="BI67" s="97"/>
      <c r="BJ67" s="97"/>
      <c r="BK67" s="97"/>
      <c r="BL67" s="97"/>
      <c r="BM67" s="97"/>
      <c r="BN67" s="97"/>
      <c r="BO67" s="97"/>
      <c r="BP67" s="97"/>
      <c r="BQ67" s="97"/>
      <c r="BR67" s="97"/>
      <c r="BS67" s="97"/>
      <c r="BT67" s="97"/>
      <c r="BU67" s="97"/>
      <c r="BV67" s="97"/>
      <c r="BW67" s="97"/>
      <c r="BX67" s="97"/>
      <c r="BY67" s="97"/>
      <c r="BZ67" s="97"/>
      <c r="CA67" s="97"/>
      <c r="CB67" s="97"/>
      <c r="CC67" s="97"/>
      <c r="CD67" s="97"/>
      <c r="CE67" s="97"/>
      <c r="CF67" s="97"/>
      <c r="CG67" s="97"/>
      <c r="CH67" s="97"/>
      <c r="CI67" s="97"/>
      <c r="CJ67" s="97"/>
      <c r="CK67" s="97"/>
      <c r="CL67" s="97"/>
      <c r="CM67" s="97"/>
      <c r="CN67" s="97"/>
      <c r="CO67" s="97"/>
      <c r="CP67" s="97"/>
      <c r="CQ67" s="97"/>
      <c r="CR67" s="97"/>
      <c r="CS67" s="97"/>
      <c r="CT67" s="97"/>
      <c r="CU67" s="97"/>
      <c r="CV67" s="97"/>
      <c r="CW67" s="97"/>
      <c r="CX67" s="97"/>
      <c r="CY67" s="97"/>
    </row>
    <row r="68" spans="1:103">
      <c r="A68" s="105"/>
      <c r="B68" s="105"/>
      <c r="C68" s="105"/>
      <c r="D68" s="105"/>
      <c r="E68" s="105"/>
      <c r="F68" s="105"/>
      <c r="G68" s="105"/>
      <c r="H68" s="105"/>
      <c r="I68" s="1951"/>
      <c r="J68" s="1951"/>
      <c r="K68" s="1951"/>
      <c r="L68" s="1951"/>
      <c r="M68" s="1951"/>
      <c r="N68" s="1951"/>
      <c r="O68" s="1951"/>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c r="BI68" s="97"/>
      <c r="BJ68" s="97"/>
      <c r="BK68" s="97"/>
      <c r="BL68" s="97"/>
      <c r="BM68" s="97"/>
      <c r="BN68" s="97"/>
      <c r="BO68" s="97"/>
      <c r="BP68" s="97"/>
      <c r="BQ68" s="97"/>
      <c r="BR68" s="97"/>
      <c r="BS68" s="97"/>
      <c r="BT68" s="97"/>
      <c r="BU68" s="97"/>
      <c r="BV68" s="97"/>
      <c r="BW68" s="97"/>
      <c r="BX68" s="97"/>
      <c r="BY68" s="97"/>
      <c r="BZ68" s="97"/>
      <c r="CA68" s="97"/>
      <c r="CB68" s="97"/>
      <c r="CC68" s="97"/>
      <c r="CD68" s="97"/>
      <c r="CE68" s="97"/>
      <c r="CF68" s="97"/>
      <c r="CG68" s="97"/>
      <c r="CH68" s="97"/>
      <c r="CI68" s="97"/>
      <c r="CJ68" s="97"/>
      <c r="CK68" s="97"/>
      <c r="CL68" s="97"/>
      <c r="CM68" s="97"/>
      <c r="CN68" s="97"/>
      <c r="CO68" s="97"/>
      <c r="CP68" s="97"/>
      <c r="CQ68" s="97"/>
      <c r="CR68" s="97"/>
      <c r="CS68" s="97"/>
      <c r="CT68" s="97"/>
      <c r="CU68" s="97"/>
      <c r="CV68" s="97"/>
      <c r="CW68" s="97"/>
      <c r="CX68" s="97"/>
      <c r="CY68" s="97"/>
    </row>
    <row r="69" spans="1:103" ht="15.75" thickBot="1">
      <c r="A69" s="186" t="str">
        <f>'Data sheet'!$A$65</f>
        <v>Annual Report of New York American Water Company, Inc. (f/k/a Long Island Water Corp)                                    Year Ended  December 31, 2013</v>
      </c>
      <c r="C69" s="131"/>
      <c r="D69" s="131"/>
      <c r="E69" s="128"/>
      <c r="F69" s="128"/>
      <c r="G69" s="128"/>
      <c r="H69" s="128"/>
      <c r="I69" s="128"/>
      <c r="J69" s="131"/>
      <c r="L69" s="131"/>
      <c r="M69" s="128"/>
      <c r="N69" s="128"/>
      <c r="O69" s="128"/>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c r="BB69" s="97"/>
      <c r="BC69" s="97"/>
      <c r="BD69" s="97"/>
      <c r="BE69" s="97"/>
      <c r="BF69" s="97"/>
      <c r="BG69" s="97"/>
      <c r="BH69" s="97"/>
      <c r="BI69" s="97"/>
      <c r="BJ69" s="97"/>
      <c r="BK69" s="97"/>
      <c r="BL69" s="97"/>
      <c r="BM69" s="97"/>
      <c r="BN69" s="97"/>
      <c r="BO69" s="97"/>
      <c r="BP69" s="97"/>
      <c r="BQ69" s="97"/>
      <c r="BR69" s="97"/>
      <c r="BS69" s="97"/>
      <c r="BT69" s="97"/>
      <c r="BU69" s="97"/>
      <c r="BV69" s="97"/>
      <c r="BW69" s="97"/>
      <c r="BX69" s="97"/>
      <c r="BY69" s="97"/>
      <c r="BZ69" s="97"/>
      <c r="CA69" s="97"/>
      <c r="CB69" s="97"/>
      <c r="CC69" s="97"/>
      <c r="CD69" s="97"/>
      <c r="CE69" s="97"/>
      <c r="CF69" s="97"/>
      <c r="CG69" s="97"/>
      <c r="CH69" s="97"/>
      <c r="CI69" s="97"/>
      <c r="CJ69" s="97"/>
      <c r="CK69" s="97"/>
      <c r="CL69" s="97"/>
      <c r="CM69" s="97"/>
      <c r="CN69" s="97"/>
      <c r="CO69" s="97"/>
      <c r="CP69" s="97"/>
      <c r="CQ69" s="97"/>
      <c r="CR69" s="97"/>
      <c r="CS69" s="97"/>
      <c r="CT69" s="97"/>
      <c r="CU69" s="97"/>
      <c r="CV69" s="97"/>
      <c r="CW69" s="97"/>
      <c r="CX69" s="97"/>
      <c r="CY69" s="97"/>
    </row>
    <row r="70" spans="1:103">
      <c r="A70" s="142"/>
      <c r="B70" s="143"/>
      <c r="C70" s="143"/>
      <c r="D70" s="143"/>
      <c r="E70" s="143"/>
      <c r="F70" s="143"/>
      <c r="G70" s="144"/>
      <c r="H70" s="847"/>
      <c r="I70" s="441"/>
      <c r="J70" s="97"/>
      <c r="K70" s="2166"/>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c r="BB70" s="97"/>
      <c r="BC70" s="97"/>
      <c r="BD70" s="97"/>
      <c r="BE70" s="97"/>
      <c r="BF70" s="97"/>
      <c r="BG70" s="97"/>
      <c r="BH70" s="97"/>
      <c r="BI70" s="97"/>
      <c r="BJ70" s="97"/>
      <c r="BK70" s="97"/>
      <c r="BL70" s="97"/>
      <c r="BM70" s="97"/>
      <c r="BN70" s="97"/>
      <c r="BO70" s="97"/>
      <c r="BP70" s="97"/>
      <c r="BQ70" s="97"/>
      <c r="BR70" s="97"/>
      <c r="BS70" s="97"/>
      <c r="BT70" s="97"/>
      <c r="BU70" s="97"/>
      <c r="BV70" s="97"/>
      <c r="BW70" s="97"/>
      <c r="BX70" s="97"/>
      <c r="BY70" s="97"/>
      <c r="BZ70" s="97"/>
      <c r="CA70" s="97"/>
      <c r="CB70" s="97"/>
      <c r="CC70" s="97"/>
      <c r="CD70" s="97"/>
      <c r="CE70" s="97"/>
      <c r="CF70" s="97"/>
      <c r="CG70" s="97"/>
      <c r="CH70" s="97"/>
      <c r="CI70" s="97"/>
      <c r="CJ70" s="97"/>
      <c r="CK70" s="97"/>
      <c r="CL70" s="97"/>
      <c r="CM70" s="97"/>
      <c r="CN70" s="97"/>
      <c r="CO70" s="97"/>
      <c r="CP70" s="97"/>
      <c r="CQ70" s="97"/>
      <c r="CR70" s="97"/>
      <c r="CS70" s="97"/>
      <c r="CT70" s="97"/>
      <c r="CU70" s="97"/>
      <c r="CV70" s="97"/>
      <c r="CW70" s="97"/>
      <c r="CX70" s="97"/>
      <c r="CY70" s="97"/>
    </row>
    <row r="71" spans="1:103" ht="15.75">
      <c r="A71" s="3040" t="s">
        <v>489</v>
      </c>
      <c r="B71" s="3041"/>
      <c r="C71" s="3041"/>
      <c r="D71" s="3041"/>
      <c r="E71" s="3041"/>
      <c r="F71" s="3041"/>
      <c r="G71" s="3042"/>
      <c r="H71" s="2810"/>
      <c r="I71" s="2348"/>
      <c r="J71" s="97"/>
      <c r="K71" s="2165"/>
      <c r="L71" s="97"/>
      <c r="M71" s="97"/>
      <c r="N71" s="195"/>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c r="BB71" s="97"/>
      <c r="BC71" s="97"/>
      <c r="BD71" s="97"/>
      <c r="BE71" s="97"/>
      <c r="BF71" s="97"/>
      <c r="BG71" s="97"/>
      <c r="BH71" s="97"/>
      <c r="BI71" s="97"/>
      <c r="BJ71" s="97"/>
      <c r="BK71" s="97"/>
      <c r="BL71" s="97"/>
      <c r="BM71" s="97"/>
      <c r="BN71" s="97"/>
      <c r="BO71" s="97"/>
      <c r="BP71" s="97"/>
      <c r="BQ71" s="97"/>
      <c r="BR71" s="97"/>
      <c r="BS71" s="97"/>
      <c r="BT71" s="97"/>
      <c r="BU71" s="97"/>
      <c r="BV71" s="97"/>
      <c r="BW71" s="97"/>
      <c r="BX71" s="97"/>
      <c r="BY71" s="97"/>
      <c r="BZ71" s="97"/>
      <c r="CA71" s="97"/>
      <c r="CB71" s="97"/>
      <c r="CC71" s="97"/>
      <c r="CD71" s="97"/>
      <c r="CE71" s="97"/>
      <c r="CF71" s="97"/>
      <c r="CG71" s="97"/>
      <c r="CH71" s="97"/>
      <c r="CI71" s="97"/>
      <c r="CJ71" s="97"/>
      <c r="CK71" s="97"/>
      <c r="CL71" s="97"/>
      <c r="CM71" s="97"/>
      <c r="CN71" s="97"/>
      <c r="CO71" s="97"/>
      <c r="CP71" s="97"/>
      <c r="CQ71" s="97"/>
      <c r="CR71" s="97"/>
      <c r="CS71" s="97"/>
      <c r="CT71" s="97"/>
      <c r="CU71" s="97"/>
      <c r="CV71" s="97"/>
      <c r="CW71" s="97"/>
      <c r="CX71" s="97"/>
      <c r="CY71" s="97"/>
    </row>
    <row r="72" spans="1:103">
      <c r="A72" s="96"/>
      <c r="B72" s="97"/>
      <c r="C72" s="97"/>
      <c r="D72" s="97"/>
      <c r="E72" s="320"/>
      <c r="F72" s="11"/>
      <c r="G72" s="98"/>
      <c r="H72" s="847"/>
      <c r="I72" s="97"/>
      <c r="J72" s="97"/>
      <c r="K72" s="2165"/>
      <c r="L72" s="97"/>
      <c r="M72" s="320"/>
      <c r="N72" s="97"/>
      <c r="O72" s="97"/>
    </row>
    <row r="73" spans="1:103" ht="15.75">
      <c r="A73" s="665" t="s">
        <v>265</v>
      </c>
      <c r="B73" s="516"/>
      <c r="C73" s="516"/>
      <c r="D73" s="516"/>
      <c r="E73" s="516"/>
      <c r="F73" s="516"/>
      <c r="G73" s="517"/>
      <c r="H73" s="1358"/>
      <c r="I73" s="97"/>
      <c r="J73" s="1730"/>
      <c r="K73" s="1066"/>
      <c r="L73" s="97"/>
      <c r="M73" s="97"/>
      <c r="N73" s="97"/>
      <c r="O73" s="97"/>
    </row>
    <row r="74" spans="1:103">
      <c r="A74" s="121"/>
      <c r="B74" s="160"/>
      <c r="C74" s="666" t="s">
        <v>1572</v>
      </c>
      <c r="D74" s="666" t="s">
        <v>1706</v>
      </c>
      <c r="E74" s="666" t="s">
        <v>1588</v>
      </c>
      <c r="F74" s="160"/>
      <c r="G74" s="148"/>
      <c r="H74" s="847"/>
      <c r="I74" s="97"/>
      <c r="J74" s="97"/>
      <c r="K74" s="1066"/>
      <c r="L74" s="97"/>
      <c r="M74" s="97"/>
      <c r="N74" s="97"/>
      <c r="O74" s="105"/>
    </row>
    <row r="75" spans="1:103">
      <c r="A75" s="121"/>
      <c r="B75" s="666" t="s">
        <v>1710</v>
      </c>
      <c r="C75" s="666" t="s">
        <v>1589</v>
      </c>
      <c r="D75" s="666" t="s">
        <v>1590</v>
      </c>
      <c r="E75" s="666" t="s">
        <v>1591</v>
      </c>
      <c r="F75" s="667">
        <v>107</v>
      </c>
      <c r="G75" s="414" t="s">
        <v>1564</v>
      </c>
      <c r="H75" s="1852"/>
      <c r="I75" s="97"/>
      <c r="J75" s="97"/>
      <c r="K75" s="1653"/>
      <c r="L75" s="97"/>
      <c r="M75" s="97"/>
      <c r="N75" s="97"/>
      <c r="O75" s="105"/>
    </row>
    <row r="76" spans="1:103">
      <c r="A76" s="121" t="s">
        <v>1129</v>
      </c>
      <c r="B76" s="666" t="s">
        <v>2175</v>
      </c>
      <c r="C76" s="666" t="s">
        <v>825</v>
      </c>
      <c r="D76" s="666" t="s">
        <v>826</v>
      </c>
      <c r="E76" s="666" t="s">
        <v>827</v>
      </c>
      <c r="F76" s="666" t="s">
        <v>3322</v>
      </c>
      <c r="G76" s="410" t="s">
        <v>3322</v>
      </c>
      <c r="H76" s="1852"/>
      <c r="I76" s="97"/>
      <c r="J76" s="97"/>
      <c r="K76" s="1653"/>
      <c r="L76" s="97"/>
      <c r="M76" s="97"/>
      <c r="N76" s="97"/>
      <c r="O76" s="105"/>
    </row>
    <row r="77" spans="1:103">
      <c r="A77" s="411" t="s">
        <v>3324</v>
      </c>
      <c r="B77" s="667" t="s">
        <v>4032</v>
      </c>
      <c r="C77" s="667" t="s">
        <v>828</v>
      </c>
      <c r="D77" s="667" t="s">
        <v>829</v>
      </c>
      <c r="E77" s="667" t="s">
        <v>830</v>
      </c>
      <c r="F77" s="667" t="s">
        <v>831</v>
      </c>
      <c r="G77" s="414" t="s">
        <v>832</v>
      </c>
      <c r="H77" s="1852"/>
      <c r="I77" s="97"/>
      <c r="J77" s="97"/>
      <c r="K77" s="1653"/>
      <c r="L77" s="97"/>
      <c r="M77" s="97"/>
      <c r="N77" s="97"/>
      <c r="O77" s="105"/>
    </row>
    <row r="78" spans="1:103">
      <c r="A78" s="121"/>
      <c r="B78" s="160" t="s">
        <v>1829</v>
      </c>
      <c r="C78" s="160"/>
      <c r="D78" s="160"/>
      <c r="E78" s="160"/>
      <c r="F78" s="160"/>
      <c r="G78" s="148"/>
      <c r="H78" s="847"/>
      <c r="I78" s="97"/>
      <c r="J78" s="97"/>
      <c r="K78" s="1653"/>
      <c r="L78" s="97"/>
      <c r="M78" s="97"/>
      <c r="N78" s="97"/>
      <c r="O78" s="105"/>
    </row>
    <row r="79" spans="1:103">
      <c r="A79" s="121">
        <v>1</v>
      </c>
      <c r="B79" s="160" t="s">
        <v>2622</v>
      </c>
      <c r="C79" s="1064">
        <v>239</v>
      </c>
      <c r="D79" s="544"/>
      <c r="E79" s="544"/>
      <c r="F79" s="544"/>
      <c r="G79" s="478"/>
      <c r="H79" s="1968"/>
      <c r="I79" s="441"/>
      <c r="J79" s="441"/>
      <c r="K79" s="1716"/>
      <c r="L79" s="460"/>
      <c r="M79" s="460"/>
      <c r="N79" s="441"/>
      <c r="O79" s="105"/>
    </row>
    <row r="80" spans="1:103">
      <c r="A80" s="121">
        <v>2</v>
      </c>
      <c r="B80" s="160" t="s">
        <v>2623</v>
      </c>
      <c r="C80" s="526"/>
      <c r="D80" s="526"/>
      <c r="E80" s="526"/>
      <c r="F80" s="526">
        <f>-K23+E23</f>
        <v>78439</v>
      </c>
      <c r="G80" s="479"/>
      <c r="H80" s="1898"/>
      <c r="I80" s="460"/>
      <c r="J80" s="441"/>
      <c r="K80" s="1066"/>
      <c r="L80" s="460"/>
      <c r="M80" s="460"/>
      <c r="N80" s="460"/>
      <c r="O80" s="105"/>
    </row>
    <row r="81" spans="1:15">
      <c r="A81" s="121">
        <v>3</v>
      </c>
      <c r="B81" s="160" t="s">
        <v>2624</v>
      </c>
      <c r="C81" s="526"/>
      <c r="D81" s="526"/>
      <c r="E81" s="526"/>
      <c r="F81" s="526">
        <f>+E24-K24</f>
        <v>80</v>
      </c>
      <c r="G81" s="479"/>
      <c r="H81" s="1898"/>
      <c r="I81" s="460"/>
      <c r="J81" s="460"/>
      <c r="K81" s="1066"/>
      <c r="L81" s="460"/>
      <c r="M81" s="460"/>
      <c r="N81" s="460"/>
      <c r="O81" s="105"/>
    </row>
    <row r="82" spans="1:15">
      <c r="A82" s="121">
        <v>4</v>
      </c>
      <c r="B82" s="160" t="s">
        <v>2625</v>
      </c>
      <c r="C82" s="526"/>
      <c r="D82" s="526"/>
      <c r="E82" s="526"/>
      <c r="F82" s="526"/>
      <c r="G82" s="479"/>
      <c r="H82" s="1898"/>
      <c r="I82" s="460"/>
      <c r="J82" s="460"/>
      <c r="K82" s="1066"/>
      <c r="L82" s="460"/>
      <c r="M82" s="460"/>
      <c r="N82" s="460"/>
      <c r="O82" s="105"/>
    </row>
    <row r="83" spans="1:15">
      <c r="A83" s="121">
        <v>5</v>
      </c>
      <c r="B83" s="160" t="s">
        <v>2626</v>
      </c>
      <c r="C83" s="448">
        <f>SUM(C79:C82)</f>
        <v>239</v>
      </c>
      <c r="D83" s="448">
        <f>SUM(D79:D82)</f>
        <v>0</v>
      </c>
      <c r="E83" s="448">
        <f>SUM(E79:E82)</f>
        <v>0</v>
      </c>
      <c r="F83" s="448">
        <f>SUM(F79:F82)</f>
        <v>78519</v>
      </c>
      <c r="G83" s="432">
        <f>SUM(G79:G82)</f>
        <v>0</v>
      </c>
      <c r="H83" s="1898"/>
      <c r="I83" s="460"/>
      <c r="J83" s="460"/>
      <c r="K83" s="1066"/>
      <c r="L83" s="460"/>
      <c r="M83" s="460"/>
      <c r="N83" s="460"/>
      <c r="O83" s="105"/>
    </row>
    <row r="84" spans="1:15">
      <c r="A84" s="121"/>
      <c r="B84" s="160" t="s">
        <v>2627</v>
      </c>
      <c r="C84" s="526"/>
      <c r="D84" s="526"/>
      <c r="E84" s="526"/>
      <c r="F84" s="526"/>
      <c r="G84" s="479"/>
      <c r="H84" s="1898"/>
      <c r="I84" s="460"/>
      <c r="J84" s="460"/>
      <c r="K84" s="1066"/>
      <c r="L84" s="460"/>
      <c r="M84" s="460"/>
      <c r="N84" s="460"/>
      <c r="O84" s="105"/>
    </row>
    <row r="85" spans="1:15">
      <c r="A85" s="121">
        <v>6</v>
      </c>
      <c r="B85" s="160" t="s">
        <v>2628</v>
      </c>
      <c r="C85" s="1064">
        <v>65</v>
      </c>
      <c r="D85" s="526"/>
      <c r="E85" s="526"/>
      <c r="F85" s="526"/>
      <c r="G85" s="479"/>
      <c r="H85" s="1898"/>
      <c r="I85" s="460"/>
      <c r="J85" s="460"/>
      <c r="K85" s="1066"/>
      <c r="L85" s="460"/>
      <c r="M85" s="460"/>
      <c r="N85" s="460"/>
      <c r="O85" s="105"/>
    </row>
    <row r="86" spans="1:15" ht="23.25">
      <c r="A86" s="121">
        <v>7</v>
      </c>
      <c r="B86" s="160" t="s">
        <v>2510</v>
      </c>
      <c r="D86" s="526"/>
      <c r="E86" s="526"/>
      <c r="F86" s="526"/>
      <c r="G86" s="479"/>
      <c r="H86" s="1898"/>
      <c r="I86" s="675"/>
      <c r="J86" s="454"/>
      <c r="K86" s="1717"/>
      <c r="L86" s="454"/>
      <c r="M86" s="454"/>
      <c r="N86" s="454"/>
      <c r="O86" s="128"/>
    </row>
    <row r="87" spans="1:15">
      <c r="A87" s="121">
        <v>8</v>
      </c>
      <c r="B87" s="160" t="s">
        <v>3623</v>
      </c>
      <c r="C87" s="526"/>
      <c r="D87" s="526"/>
      <c r="E87" s="526"/>
      <c r="F87" s="526"/>
      <c r="G87" s="479"/>
      <c r="H87" s="1898"/>
      <c r="I87" s="460"/>
      <c r="J87" s="460"/>
      <c r="K87" s="1066"/>
      <c r="L87" s="460"/>
      <c r="M87" s="460"/>
      <c r="N87" s="460"/>
      <c r="O87" s="105"/>
    </row>
    <row r="88" spans="1:15">
      <c r="A88" s="121"/>
      <c r="B88" s="160" t="s">
        <v>3624</v>
      </c>
      <c r="C88" s="526"/>
      <c r="D88" s="526"/>
      <c r="E88" s="526"/>
      <c r="F88" s="526"/>
      <c r="G88" s="479"/>
      <c r="H88" s="1898"/>
      <c r="I88" s="460"/>
      <c r="J88" s="460"/>
      <c r="K88" s="1066"/>
      <c r="L88" s="460"/>
      <c r="M88" s="460"/>
      <c r="N88" s="460"/>
      <c r="O88" s="105"/>
    </row>
    <row r="89" spans="1:15">
      <c r="A89" s="121">
        <v>9</v>
      </c>
      <c r="B89" s="160" t="s">
        <v>3625</v>
      </c>
      <c r="C89" s="526" t="s">
        <v>4373</v>
      </c>
      <c r="D89" s="526"/>
      <c r="E89" s="526" t="s">
        <v>4373</v>
      </c>
      <c r="F89" s="526" t="s">
        <v>4373</v>
      </c>
      <c r="G89" s="479" t="s">
        <v>4373</v>
      </c>
      <c r="H89" s="1898"/>
      <c r="I89" s="460"/>
      <c r="J89" s="460"/>
      <c r="K89" s="1066"/>
      <c r="L89" s="460"/>
      <c r="M89" s="460"/>
      <c r="N89" s="460"/>
      <c r="O89" s="105"/>
    </row>
    <row r="90" spans="1:15">
      <c r="A90" s="121">
        <v>10</v>
      </c>
      <c r="B90" s="160" t="s">
        <v>3626</v>
      </c>
      <c r="C90" s="526"/>
      <c r="D90" s="526"/>
      <c r="E90" s="526"/>
      <c r="F90" s="526"/>
      <c r="G90" s="479"/>
      <c r="H90" s="1898"/>
      <c r="I90" s="460"/>
      <c r="J90" s="460"/>
      <c r="K90" s="1066"/>
      <c r="L90" s="460"/>
      <c r="M90" s="460"/>
      <c r="N90" s="460"/>
      <c r="O90" s="105"/>
    </row>
    <row r="91" spans="1:15">
      <c r="A91" s="121">
        <v>11</v>
      </c>
      <c r="B91" s="160" t="s">
        <v>3627</v>
      </c>
      <c r="C91" s="526"/>
      <c r="D91" s="526"/>
      <c r="E91" s="526"/>
      <c r="F91" s="526"/>
      <c r="G91" s="479"/>
      <c r="H91" s="1898"/>
      <c r="I91" s="460"/>
      <c r="J91" s="460"/>
      <c r="K91" s="1066"/>
      <c r="L91" s="460"/>
      <c r="M91" s="460"/>
      <c r="N91" s="460"/>
      <c r="O91" s="105"/>
    </row>
    <row r="92" spans="1:15">
      <c r="A92" s="121">
        <v>12</v>
      </c>
      <c r="B92" s="160" t="s">
        <v>3628</v>
      </c>
      <c r="C92" s="526"/>
      <c r="D92" s="526"/>
      <c r="E92" s="526"/>
      <c r="F92" s="526"/>
      <c r="G92" s="479"/>
      <c r="H92" s="1898"/>
      <c r="I92" s="460"/>
      <c r="J92" s="460"/>
      <c r="K92" s="1066"/>
      <c r="L92" s="460"/>
      <c r="M92" s="460"/>
      <c r="N92" s="460"/>
      <c r="O92" s="105"/>
    </row>
    <row r="93" spans="1:15">
      <c r="A93" s="121">
        <v>13</v>
      </c>
      <c r="B93" s="160" t="s">
        <v>3629</v>
      </c>
      <c r="C93" s="526"/>
      <c r="D93" s="526"/>
      <c r="E93" s="526"/>
      <c r="F93" s="526">
        <f>+E36-K36</f>
        <v>2210</v>
      </c>
      <c r="G93" s="479"/>
      <c r="H93" s="1898"/>
      <c r="I93" s="460"/>
      <c r="J93" s="460"/>
      <c r="K93" s="1066"/>
      <c r="L93" s="460"/>
      <c r="M93" s="460"/>
      <c r="N93" s="460"/>
      <c r="O93" s="105"/>
    </row>
    <row r="94" spans="1:15">
      <c r="A94" s="121">
        <v>14</v>
      </c>
      <c r="B94" s="160" t="s">
        <v>3420</v>
      </c>
      <c r="C94" s="526"/>
      <c r="D94" s="526"/>
      <c r="E94" s="526"/>
      <c r="F94" s="526"/>
      <c r="G94" s="479"/>
      <c r="H94" s="1898"/>
      <c r="I94" s="460"/>
      <c r="J94" s="460"/>
      <c r="K94" s="1066"/>
      <c r="L94" s="460"/>
      <c r="M94" s="460"/>
      <c r="N94" s="460"/>
      <c r="O94" s="105"/>
    </row>
    <row r="95" spans="1:15">
      <c r="A95" s="121">
        <v>15</v>
      </c>
      <c r="B95" s="160" t="s">
        <v>2980</v>
      </c>
      <c r="C95" s="526" t="s">
        <v>4373</v>
      </c>
      <c r="D95" s="526"/>
      <c r="E95" s="526" t="s">
        <v>4373</v>
      </c>
      <c r="F95" s="526"/>
      <c r="G95" s="1243">
        <f>+E38</f>
        <v>527403</v>
      </c>
      <c r="H95" s="1854"/>
      <c r="I95" s="460"/>
      <c r="J95" s="460"/>
      <c r="K95" s="1066"/>
      <c r="L95" s="460"/>
      <c r="M95" s="460"/>
      <c r="N95" s="460"/>
      <c r="O95" s="105"/>
    </row>
    <row r="96" spans="1:15">
      <c r="A96" s="121">
        <v>16</v>
      </c>
      <c r="B96" s="160" t="s">
        <v>2981</v>
      </c>
      <c r="C96" s="526"/>
      <c r="D96" s="526"/>
      <c r="E96" s="526"/>
      <c r="F96" s="526"/>
      <c r="G96" s="479"/>
      <c r="H96" s="1898"/>
      <c r="I96" s="460"/>
      <c r="J96" s="460"/>
      <c r="K96" s="1066"/>
      <c r="L96" s="460"/>
      <c r="M96" s="460"/>
      <c r="N96" s="460"/>
      <c r="O96" s="105"/>
    </row>
    <row r="97" spans="1:15">
      <c r="A97" s="121">
        <v>17</v>
      </c>
      <c r="B97" s="160" t="s">
        <v>4479</v>
      </c>
      <c r="C97" s="526"/>
      <c r="D97" s="526"/>
      <c r="E97" s="526"/>
      <c r="F97" s="526">
        <f>+E40-K40</f>
        <v>0</v>
      </c>
      <c r="G97" s="479"/>
      <c r="H97" s="1898"/>
      <c r="I97" s="460"/>
      <c r="J97" s="460"/>
      <c r="K97" s="1066"/>
      <c r="L97" s="460"/>
      <c r="M97" s="460"/>
      <c r="N97" s="460"/>
      <c r="O97" s="105"/>
    </row>
    <row r="98" spans="1:15">
      <c r="A98" s="121">
        <v>18</v>
      </c>
      <c r="B98" s="160" t="s">
        <v>2626</v>
      </c>
      <c r="C98" s="448">
        <f>SUM(C85:C97)</f>
        <v>65</v>
      </c>
      <c r="D98" s="448">
        <f>SUM(D85:D97)</f>
        <v>0</v>
      </c>
      <c r="E98" s="448">
        <f>SUM(E85:E97)</f>
        <v>0</v>
      </c>
      <c r="F98" s="448">
        <f>SUM(F85:F97)</f>
        <v>2210</v>
      </c>
      <c r="G98" s="432">
        <f>SUM(G85:G97)</f>
        <v>527403</v>
      </c>
      <c r="H98" s="1898"/>
      <c r="I98" s="460"/>
      <c r="J98" s="460"/>
      <c r="K98" s="1066"/>
      <c r="L98" s="460"/>
      <c r="M98" s="460"/>
      <c r="N98" s="460"/>
      <c r="O98" s="105"/>
    </row>
    <row r="99" spans="1:15">
      <c r="A99" s="121"/>
      <c r="B99" s="160" t="s">
        <v>2982</v>
      </c>
      <c r="C99" s="526"/>
      <c r="D99" s="526"/>
      <c r="E99" s="526"/>
      <c r="F99" s="526"/>
      <c r="G99" s="479"/>
      <c r="H99" s="1898"/>
      <c r="I99" s="460"/>
      <c r="J99" s="460"/>
      <c r="K99" s="1066"/>
      <c r="L99" s="460"/>
      <c r="M99" s="460"/>
      <c r="N99" s="460"/>
      <c r="O99" s="105"/>
    </row>
    <row r="100" spans="1:15">
      <c r="A100" s="121">
        <v>19</v>
      </c>
      <c r="B100" s="160" t="s">
        <v>2983</v>
      </c>
      <c r="C100" s="526"/>
      <c r="D100" s="526"/>
      <c r="E100" s="526"/>
      <c r="F100" s="526">
        <f>+E43-K43</f>
        <v>0</v>
      </c>
      <c r="G100" s="479"/>
      <c r="H100" s="1898"/>
      <c r="I100" s="460"/>
      <c r="J100" s="460"/>
      <c r="K100" s="1066"/>
      <c r="L100" s="460"/>
      <c r="M100" s="460"/>
      <c r="N100" s="460"/>
      <c r="O100" s="105"/>
    </row>
    <row r="101" spans="1:15">
      <c r="A101" s="121">
        <v>20</v>
      </c>
      <c r="B101" s="160" t="s">
        <v>1700</v>
      </c>
      <c r="C101" s="526"/>
      <c r="D101" s="526"/>
      <c r="E101" s="526"/>
      <c r="F101" s="526"/>
      <c r="G101" s="479"/>
      <c r="H101" s="1898"/>
      <c r="I101" s="460"/>
      <c r="J101" s="460"/>
      <c r="K101" s="1066"/>
      <c r="L101" s="460"/>
      <c r="M101" s="460"/>
      <c r="N101" s="460"/>
      <c r="O101" s="105"/>
    </row>
    <row r="102" spans="1:15">
      <c r="A102" s="121">
        <v>21</v>
      </c>
      <c r="B102" s="160" t="s">
        <v>1701</v>
      </c>
      <c r="C102" s="526"/>
      <c r="D102" s="526"/>
      <c r="E102" s="526"/>
      <c r="F102" s="526"/>
      <c r="G102" s="479"/>
      <c r="H102" s="1898"/>
      <c r="I102" s="460"/>
      <c r="J102" s="460"/>
      <c r="K102" s="1066"/>
      <c r="L102" s="460"/>
      <c r="M102" s="460"/>
      <c r="N102" s="460"/>
      <c r="O102" s="105"/>
    </row>
    <row r="103" spans="1:15">
      <c r="A103" s="121">
        <v>22</v>
      </c>
      <c r="B103" s="160" t="s">
        <v>1702</v>
      </c>
      <c r="C103" s="526"/>
      <c r="D103" s="526"/>
      <c r="E103" s="526"/>
      <c r="F103" s="526"/>
      <c r="G103" s="479"/>
      <c r="H103" s="1898"/>
      <c r="I103" s="460"/>
      <c r="J103" s="460"/>
      <c r="K103" s="1066"/>
      <c r="L103" s="460"/>
      <c r="M103" s="460"/>
      <c r="N103" s="460"/>
      <c r="O103" s="105"/>
    </row>
    <row r="104" spans="1:15">
      <c r="A104" s="121">
        <v>23</v>
      </c>
      <c r="B104" s="160" t="s">
        <v>1703</v>
      </c>
      <c r="C104" s="526"/>
      <c r="D104" s="526"/>
      <c r="E104" s="526"/>
      <c r="F104" s="526"/>
      <c r="G104" s="479"/>
      <c r="H104" s="1898"/>
      <c r="I104" s="460"/>
      <c r="J104" s="460"/>
      <c r="K104" s="1066"/>
      <c r="L104" s="460"/>
      <c r="M104" s="460"/>
      <c r="N104" s="460"/>
      <c r="O104" s="105"/>
    </row>
    <row r="105" spans="1:15">
      <c r="A105" s="121">
        <v>24</v>
      </c>
      <c r="B105" s="160" t="s">
        <v>2980</v>
      </c>
      <c r="C105" s="526"/>
      <c r="D105" s="526"/>
      <c r="E105" s="526"/>
      <c r="F105" s="526"/>
      <c r="G105" s="479"/>
      <c r="H105" s="1898"/>
      <c r="I105" s="460"/>
      <c r="J105" s="460"/>
      <c r="K105" s="1066"/>
      <c r="L105" s="460"/>
      <c r="M105" s="460"/>
      <c r="N105" s="460"/>
      <c r="O105" s="105"/>
    </row>
    <row r="106" spans="1:15">
      <c r="A106" s="121">
        <v>25</v>
      </c>
      <c r="B106" s="160" t="s">
        <v>2625</v>
      </c>
      <c r="C106" s="526"/>
      <c r="D106" s="526"/>
      <c r="E106" s="526"/>
      <c r="F106" s="526"/>
      <c r="G106" s="479"/>
      <c r="H106" s="1898"/>
      <c r="I106" s="460"/>
      <c r="J106" s="460"/>
      <c r="K106" s="1066"/>
      <c r="L106" s="460"/>
      <c r="M106" s="460"/>
      <c r="N106" s="460"/>
      <c r="O106" s="105"/>
    </row>
    <row r="107" spans="1:15">
      <c r="A107" s="121">
        <v>26</v>
      </c>
      <c r="B107" s="160" t="s">
        <v>2626</v>
      </c>
      <c r="C107" s="448">
        <f>SUM(C100:C106)</f>
        <v>0</v>
      </c>
      <c r="D107" s="448">
        <f>SUM(D100:D106)</f>
        <v>0</v>
      </c>
      <c r="E107" s="448">
        <f>SUM(E100:E106)</f>
        <v>0</v>
      </c>
      <c r="F107" s="448">
        <f>SUM(F100:F106)</f>
        <v>0</v>
      </c>
      <c r="G107" s="432">
        <f>SUM(G100:G106)</f>
        <v>0</v>
      </c>
      <c r="H107" s="1898"/>
      <c r="I107" s="460"/>
      <c r="J107" s="460"/>
      <c r="K107" s="1066"/>
      <c r="L107" s="460"/>
      <c r="M107" s="460"/>
      <c r="N107" s="460"/>
      <c r="O107" s="105"/>
    </row>
    <row r="108" spans="1:15">
      <c r="A108" s="121"/>
      <c r="B108" s="160" t="s">
        <v>1704</v>
      </c>
      <c r="C108" s="526"/>
      <c r="D108" s="526"/>
      <c r="E108" s="526"/>
      <c r="F108" s="526"/>
      <c r="G108" s="479"/>
      <c r="H108" s="1898"/>
      <c r="I108" s="460"/>
      <c r="J108" s="460"/>
      <c r="K108" s="1066"/>
      <c r="L108" s="460"/>
      <c r="M108" s="460"/>
      <c r="N108" s="460"/>
      <c r="O108" s="105"/>
    </row>
    <row r="109" spans="1:15">
      <c r="A109" s="121">
        <v>27</v>
      </c>
      <c r="B109" s="160"/>
      <c r="C109" s="526"/>
      <c r="D109" s="526"/>
      <c r="E109" s="526"/>
      <c r="F109" s="526"/>
      <c r="G109" s="479"/>
      <c r="H109" s="1898"/>
      <c r="I109" s="460"/>
      <c r="J109" s="460"/>
      <c r="K109" s="1066"/>
      <c r="L109" s="460"/>
      <c r="M109" s="460"/>
      <c r="N109" s="460"/>
      <c r="O109" s="105"/>
    </row>
    <row r="110" spans="1:15">
      <c r="A110" s="121">
        <v>28</v>
      </c>
      <c r="B110" s="160"/>
      <c r="C110" s="526"/>
      <c r="D110" s="526"/>
      <c r="E110" s="526"/>
      <c r="F110" s="526"/>
      <c r="G110" s="479"/>
      <c r="H110" s="1898"/>
      <c r="I110" s="460"/>
      <c r="J110" s="460"/>
      <c r="K110" s="1066"/>
      <c r="L110" s="460"/>
      <c r="M110" s="460"/>
      <c r="N110" s="460"/>
      <c r="O110" s="105"/>
    </row>
    <row r="111" spans="1:15">
      <c r="A111" s="121">
        <v>29</v>
      </c>
      <c r="B111" s="570"/>
      <c r="C111" s="669"/>
      <c r="D111" s="669"/>
      <c r="E111" s="669"/>
      <c r="F111" s="669"/>
      <c r="G111" s="628"/>
      <c r="H111" s="1972"/>
      <c r="I111" s="11"/>
      <c r="J111" s="11"/>
      <c r="K111" s="1666"/>
      <c r="L111" s="11"/>
      <c r="M111" s="11"/>
      <c r="N111" s="11"/>
      <c r="O111" s="105"/>
    </row>
    <row r="112" spans="1:15">
      <c r="A112" s="121">
        <v>30</v>
      </c>
      <c r="B112" s="160"/>
      <c r="C112" s="526"/>
      <c r="D112" s="526"/>
      <c r="E112" s="526"/>
      <c r="F112" s="526"/>
      <c r="G112" s="479"/>
      <c r="H112" s="1898"/>
      <c r="I112" s="460"/>
      <c r="J112" s="460"/>
      <c r="K112" s="1066"/>
      <c r="L112" s="460"/>
      <c r="M112" s="460"/>
      <c r="N112" s="460"/>
      <c r="O112" s="105"/>
    </row>
    <row r="113" spans="1:15">
      <c r="A113" s="121">
        <v>31</v>
      </c>
      <c r="B113" s="160" t="s">
        <v>5214</v>
      </c>
      <c r="C113" s="526"/>
      <c r="D113" s="526"/>
      <c r="E113" s="526"/>
      <c r="F113" s="526"/>
      <c r="G113" s="479"/>
      <c r="H113" s="1898"/>
      <c r="I113" s="460"/>
      <c r="J113" s="460"/>
      <c r="K113" s="1066"/>
      <c r="L113" s="460"/>
      <c r="M113" s="460"/>
      <c r="N113" s="460"/>
      <c r="O113" s="105"/>
    </row>
    <row r="114" spans="1:15">
      <c r="A114" s="121">
        <v>32</v>
      </c>
      <c r="B114" s="160" t="s">
        <v>5215</v>
      </c>
      <c r="C114" s="526"/>
      <c r="D114" s="526"/>
      <c r="E114" s="526"/>
      <c r="F114" s="526"/>
      <c r="G114" s="479"/>
      <c r="H114" s="1898"/>
      <c r="I114" s="97"/>
      <c r="J114" s="97"/>
      <c r="K114" s="1653"/>
      <c r="L114" s="97"/>
      <c r="M114" s="97"/>
      <c r="N114" s="97"/>
      <c r="O114" s="105"/>
    </row>
    <row r="115" spans="1:15">
      <c r="A115" s="121">
        <v>33</v>
      </c>
      <c r="B115" s="160" t="s">
        <v>5216</v>
      </c>
      <c r="C115" s="526"/>
      <c r="D115" s="526"/>
      <c r="E115" s="526"/>
      <c r="F115" s="526"/>
      <c r="G115" s="479"/>
      <c r="H115" s="1898"/>
      <c r="I115" s="460"/>
      <c r="J115" s="460"/>
      <c r="K115" s="1066"/>
      <c r="L115" s="460"/>
      <c r="M115" s="460"/>
      <c r="N115" s="460"/>
      <c r="O115" s="105"/>
    </row>
    <row r="116" spans="1:15">
      <c r="A116" s="121">
        <v>34</v>
      </c>
      <c r="B116" s="160"/>
      <c r="C116" s="526"/>
      <c r="D116" s="526"/>
      <c r="E116" s="526"/>
      <c r="F116" s="526"/>
      <c r="G116" s="479"/>
      <c r="H116" s="1898"/>
      <c r="I116" s="97"/>
      <c r="J116" s="97"/>
      <c r="K116" s="1653"/>
      <c r="L116" s="97"/>
      <c r="M116" s="97"/>
      <c r="N116" s="97"/>
      <c r="O116" s="105"/>
    </row>
    <row r="117" spans="1:15">
      <c r="A117" s="121">
        <v>35</v>
      </c>
      <c r="B117" s="160"/>
      <c r="C117" s="526"/>
      <c r="D117" s="526"/>
      <c r="E117" s="526"/>
      <c r="F117" s="526"/>
      <c r="G117" s="479"/>
      <c r="H117" s="1898"/>
      <c r="I117" s="97"/>
      <c r="J117" s="97"/>
      <c r="K117" s="1653"/>
      <c r="L117" s="97"/>
      <c r="M117" s="97"/>
      <c r="N117" s="97"/>
      <c r="O117" s="105"/>
    </row>
    <row r="118" spans="1:15">
      <c r="A118" s="121">
        <v>36</v>
      </c>
      <c r="B118" s="160"/>
      <c r="C118" s="526"/>
      <c r="D118" s="526"/>
      <c r="E118" s="526"/>
      <c r="F118" s="526"/>
      <c r="G118" s="672"/>
      <c r="H118" s="1973"/>
      <c r="I118" s="460"/>
      <c r="J118" s="460"/>
      <c r="K118" s="1066"/>
      <c r="L118" s="460"/>
      <c r="M118" s="460"/>
      <c r="N118" s="460"/>
      <c r="O118" s="105"/>
    </row>
    <row r="119" spans="1:15">
      <c r="A119" s="121">
        <v>37</v>
      </c>
      <c r="B119" s="160"/>
      <c r="C119" s="526"/>
      <c r="D119" s="526"/>
      <c r="E119" s="526"/>
      <c r="F119" s="526"/>
      <c r="G119" s="672"/>
      <c r="H119" s="1973"/>
      <c r="I119" s="460"/>
      <c r="J119" s="460"/>
      <c r="K119" s="1066"/>
      <c r="L119" s="460"/>
      <c r="M119" s="460"/>
      <c r="N119" s="460"/>
      <c r="O119" s="105"/>
    </row>
    <row r="120" spans="1:15">
      <c r="A120" s="121">
        <v>38</v>
      </c>
      <c r="B120" s="160"/>
      <c r="C120" s="526"/>
      <c r="D120" s="526"/>
      <c r="E120" s="526"/>
      <c r="F120" s="526"/>
      <c r="G120" s="672"/>
      <c r="H120" s="1973"/>
      <c r="I120" s="460"/>
      <c r="J120" s="460"/>
      <c r="K120" s="1066"/>
      <c r="L120" s="460"/>
      <c r="M120" s="460"/>
      <c r="N120" s="460"/>
      <c r="O120" s="105"/>
    </row>
    <row r="121" spans="1:15">
      <c r="A121" s="121">
        <v>39</v>
      </c>
      <c r="B121" s="160"/>
      <c r="C121" s="526"/>
      <c r="D121" s="526"/>
      <c r="E121" s="526"/>
      <c r="F121" s="526"/>
      <c r="G121" s="672"/>
      <c r="H121" s="1973"/>
      <c r="I121" s="460"/>
      <c r="J121" s="460"/>
      <c r="K121" s="1066"/>
      <c r="L121" s="460"/>
      <c r="M121" s="460"/>
      <c r="N121" s="460"/>
      <c r="O121" s="105"/>
    </row>
    <row r="122" spans="1:15" ht="15.75" thickBot="1">
      <c r="A122" s="673">
        <v>40</v>
      </c>
      <c r="B122" s="436" t="s">
        <v>1135</v>
      </c>
      <c r="C122" s="2034">
        <f>C83+C98+C107+SUM(C108:C121)</f>
        <v>304</v>
      </c>
      <c r="D122" s="528">
        <f>D83+D98+D107+SUM(D108:D121)</f>
        <v>0</v>
      </c>
      <c r="E122" s="528">
        <f>E83+E98+E107+SUM(E108:E121)</f>
        <v>0</v>
      </c>
      <c r="F122" s="2034">
        <f>F83+F98+F107+SUM(F108:F121)</f>
        <v>80729</v>
      </c>
      <c r="G122" s="439">
        <f>G83+G98+G107+SUM(G108:G121)</f>
        <v>527403</v>
      </c>
      <c r="H122" s="1968"/>
      <c r="I122" s="441"/>
      <c r="J122" s="441"/>
      <c r="K122" s="1716"/>
      <c r="L122" s="441"/>
      <c r="M122" s="441"/>
      <c r="N122" s="441"/>
      <c r="O122" s="105"/>
    </row>
    <row r="123" spans="1:15">
      <c r="A123" t="s">
        <v>833</v>
      </c>
    </row>
    <row r="124" spans="1:15" ht="18">
      <c r="A124" s="3050" t="s">
        <v>834</v>
      </c>
      <c r="B124" s="3050"/>
      <c r="C124" s="3050"/>
      <c r="D124" s="3050"/>
      <c r="E124" s="3050"/>
      <c r="F124" s="3050"/>
      <c r="G124" s="3050"/>
      <c r="H124" s="105"/>
      <c r="I124" s="11"/>
      <c r="J124" s="676"/>
      <c r="K124" s="1666"/>
      <c r="L124" s="11"/>
      <c r="M124" s="128"/>
      <c r="N124" s="128"/>
      <c r="O124" s="128"/>
    </row>
    <row r="132" spans="1:11">
      <c r="K132"/>
    </row>
    <row r="133" spans="1:11">
      <c r="A133" s="97"/>
      <c r="B133" s="97"/>
      <c r="C133" s="97"/>
      <c r="K133"/>
    </row>
    <row r="134" spans="1:11">
      <c r="A134" s="11"/>
      <c r="B134" s="97"/>
      <c r="K134"/>
    </row>
    <row r="135" spans="1:11">
      <c r="A135" s="11"/>
      <c r="B135" s="97"/>
      <c r="K135"/>
    </row>
    <row r="136" spans="1:11">
      <c r="A136" s="11"/>
      <c r="B136" s="97"/>
      <c r="K136"/>
    </row>
    <row r="137" spans="1:11">
      <c r="A137" s="11"/>
      <c r="B137" s="97"/>
      <c r="K137"/>
    </row>
    <row r="138" spans="1:11">
      <c r="A138" s="11"/>
      <c r="B138" s="97"/>
      <c r="K138"/>
    </row>
    <row r="139" spans="1:11">
      <c r="A139" s="11"/>
      <c r="B139" s="97"/>
      <c r="K139"/>
    </row>
    <row r="140" spans="1:11">
      <c r="A140" s="11"/>
      <c r="B140" s="97"/>
      <c r="K140"/>
    </row>
    <row r="141" spans="1:11">
      <c r="A141" s="11"/>
      <c r="B141" s="97"/>
      <c r="K141"/>
    </row>
    <row r="142" spans="1:11">
      <c r="A142" s="11"/>
      <c r="B142" s="97"/>
      <c r="K142"/>
    </row>
    <row r="143" spans="1:11">
      <c r="A143" s="11"/>
      <c r="B143" s="97"/>
      <c r="K143"/>
    </row>
    <row r="144" spans="1:11">
      <c r="A144" s="11"/>
      <c r="B144" s="97"/>
      <c r="K144"/>
    </row>
    <row r="145" spans="1:11">
      <c r="A145" s="11"/>
      <c r="B145" s="97"/>
      <c r="K145"/>
    </row>
    <row r="146" spans="1:11">
      <c r="K146"/>
    </row>
    <row r="147" spans="1:11">
      <c r="K147"/>
    </row>
    <row r="148" spans="1:11">
      <c r="K148"/>
    </row>
    <row r="149" spans="1:11">
      <c r="K149"/>
    </row>
    <row r="150" spans="1:11">
      <c r="K150"/>
    </row>
    <row r="151" spans="1:11">
      <c r="K151"/>
    </row>
    <row r="152" spans="1:11">
      <c r="K152"/>
    </row>
    <row r="153" spans="1:11">
      <c r="K153"/>
    </row>
    <row r="154" spans="1:11">
      <c r="K154"/>
    </row>
    <row r="155" spans="1:11">
      <c r="K155"/>
    </row>
    <row r="156" spans="1:11">
      <c r="K156"/>
    </row>
    <row r="157" spans="1:11">
      <c r="K157"/>
    </row>
    <row r="158" spans="1:11">
      <c r="K158"/>
    </row>
    <row r="159" spans="1:11">
      <c r="K159"/>
    </row>
    <row r="160" spans="1:11">
      <c r="K160"/>
    </row>
    <row r="161" spans="11:11">
      <c r="K161"/>
    </row>
    <row r="162" spans="11:11">
      <c r="K162"/>
    </row>
    <row r="163" spans="11:11">
      <c r="K163"/>
    </row>
    <row r="164" spans="11:11">
      <c r="K164"/>
    </row>
    <row r="165" spans="11:11">
      <c r="K165"/>
    </row>
    <row r="166" spans="11:11">
      <c r="K166"/>
    </row>
    <row r="167" spans="11:11">
      <c r="K167"/>
    </row>
    <row r="168" spans="11:11">
      <c r="K168"/>
    </row>
    <row r="169" spans="11:11">
      <c r="K169"/>
    </row>
    <row r="170" spans="11:11">
      <c r="K170"/>
    </row>
    <row r="171" spans="11:11">
      <c r="K171"/>
    </row>
    <row r="172" spans="11:11">
      <c r="K172"/>
    </row>
    <row r="173" spans="11:11">
      <c r="K173"/>
    </row>
    <row r="174" spans="11:11">
      <c r="K174"/>
    </row>
    <row r="175" spans="11:11">
      <c r="K175"/>
    </row>
    <row r="176" spans="11:11">
      <c r="K176"/>
    </row>
    <row r="177" spans="11:11">
      <c r="K177"/>
    </row>
    <row r="178" spans="11:11">
      <c r="K178"/>
    </row>
    <row r="179" spans="11:11">
      <c r="K179"/>
    </row>
    <row r="180" spans="11:11">
      <c r="K180"/>
    </row>
    <row r="181" spans="11:11">
      <c r="K181"/>
    </row>
    <row r="182" spans="11:11">
      <c r="K182"/>
    </row>
    <row r="183" spans="11:11">
      <c r="K183"/>
    </row>
    <row r="184" spans="11:11">
      <c r="K184"/>
    </row>
    <row r="185" spans="11:11">
      <c r="K185"/>
    </row>
    <row r="186" spans="11:11">
      <c r="K186"/>
    </row>
    <row r="187" spans="11:11">
      <c r="K187"/>
    </row>
    <row r="188" spans="11:11">
      <c r="K188"/>
    </row>
  </sheetData>
  <customSheetViews>
    <customSheetView guid="{1BA452AD-1A45-4D9C-9666-ADFFA6F2F567}" scale="75" colorId="22" showPageBreaks="1" printArea="1" view="pageBreakPreview" topLeftCell="A7">
      <selection activeCell="G43" sqref="G43"/>
      <pageMargins left="0.75" right="0.4" top="0.3" bottom="0.3" header="0.5" footer="0.5"/>
      <pageSetup scale="63" fitToWidth="3" fitToHeight="3" pageOrder="overThenDown" orientation="portrait" r:id="rId1"/>
      <headerFooter alignWithMargins="0"/>
    </customSheetView>
    <customSheetView guid="{EEF7ABD6-0F96-4791-B749-C06F707E7673}" scale="75" colorId="22" showPageBreaks="1" printArea="1" view="pageBreakPreview" showRuler="0" topLeftCell="A85">
      <selection activeCell="E104" sqref="E104"/>
      <pageMargins left="0.75" right="0.4" top="0.3" bottom="0.3" header="0.5" footer="0.5"/>
      <pageSetup scale="63" fitToWidth="3" fitToHeight="3" pageOrder="overThenDown" orientation="portrait" r:id="rId2"/>
      <headerFooter alignWithMargins="0"/>
    </customSheetView>
    <customSheetView guid="{A7D7DB3C-AFE6-468E-8C6B-9531F6711497}" scale="65" colorId="22" showPageBreaks="1" printArea="1" view="pageBreakPreview" showRuler="0">
      <pane xSplit="2" ySplit="20" topLeftCell="G31" activePane="bottomRight" state="frozen"/>
      <selection pane="bottomRight" activeCell="J38" sqref="J38"/>
      <rowBreaks count="1" manualBreakCount="1">
        <brk id="67" max="16383" man="1"/>
      </rowBreaks>
      <colBreaks count="1" manualBreakCount="1">
        <brk id="7" max="1048575" man="1"/>
      </colBreaks>
      <pageMargins left="0.75" right="0.4" top="0.3" bottom="0.3" header="0.5" footer="0.5"/>
      <pageSetup scale="63" pageOrder="overThenDown" orientation="portrait" r:id="rId3"/>
      <headerFooter alignWithMargins="0"/>
    </customSheetView>
    <customSheetView guid="{4436FEB5-BFEC-4348-9286-CB706802873E}" scale="65" colorId="22" showPageBreaks="1" printArea="1" view="pageBreakPreview" showRuler="0">
      <pane xSplit="2" ySplit="20" topLeftCell="G33" activePane="bottomRight" state="frozen"/>
      <selection pane="bottomRight" activeCell="J38" sqref="J38"/>
      <rowBreaks count="1" manualBreakCount="1">
        <brk id="67" max="16383" man="1"/>
      </rowBreaks>
      <colBreaks count="1" manualBreakCount="1">
        <brk id="7" max="1048575" man="1"/>
      </colBreaks>
      <pageMargins left="0.75" right="0.4" top="0.3" bottom="0.3" header="0.5" footer="0.5"/>
      <pageSetup scale="63" pageOrder="overThenDown" orientation="portrait" r:id="rId4"/>
      <headerFooter alignWithMargins="0"/>
    </customSheetView>
    <customSheetView guid="{044CF00C-469F-44B3-B2C4-9B4049CE70CB}" scale="60" colorId="22" showPageBreaks="1" printArea="1" view="pageBreakPreview" showRuler="0">
      <pane xSplit="2" ySplit="20" topLeftCell="C21" activePane="bottomRight" state="frozen"/>
      <selection pane="bottomRight" activeCell="F39" sqref="F39"/>
      <rowBreaks count="1" manualBreakCount="1">
        <brk id="67" max="16383" man="1"/>
      </rowBreaks>
      <colBreaks count="1" manualBreakCount="1">
        <brk id="7" max="1048575" man="1"/>
      </colBreaks>
      <pageMargins left="0.75" right="0.4" top="0.3" bottom="0.3" header="0.5" footer="0.5"/>
      <pageSetup scale="63" pageOrder="overThenDown" orientation="portrait" r:id="rId5"/>
      <headerFooter alignWithMargins="0"/>
    </customSheetView>
    <customSheetView guid="{4826FCC0-BDD6-4B2C-ACC6-ACE271DDF0E3}" colorId="22" showPageBreaks="1" printArea="1" view="pageBreakPreview" showRuler="0" topLeftCell="I13">
      <selection activeCell="E38" sqref="E38"/>
      <pageMargins left="0.75" right="0.4" top="0.3" bottom="0.3" header="0.5" footer="0.5"/>
      <pageSetup scale="63" fitToWidth="3" fitToHeight="3" pageOrder="overThenDown" orientation="portrait" r:id="rId6"/>
      <headerFooter alignWithMargins="0"/>
    </customSheetView>
    <customSheetView guid="{EF376D10-23D6-4FE2-AB5B-4460D52CC93F}" colorId="22" showPageBreaks="1" printArea="1" view="pageBreakPreview" showRuler="0" topLeftCell="C16">
      <selection activeCell="F22" sqref="F22"/>
      <pageMargins left="0.75" right="0.4" top="0.3" bottom="0.3" header="0.5" footer="0.5"/>
      <pageSetup scale="63" fitToWidth="3" fitToHeight="3" pageOrder="overThenDown" orientation="portrait" r:id="rId7"/>
      <headerFooter alignWithMargins="0"/>
    </customSheetView>
    <customSheetView guid="{1C046605-15CE-44F1-BFCD-2CA8588E7ACF}" scale="75" colorId="22" showPageBreaks="1" printArea="1" view="pageBreakPreview" showRuler="0" topLeftCell="A85">
      <selection activeCell="F100" sqref="F100"/>
      <pageMargins left="0.75" right="0.4" top="0.3" bottom="0.3" header="0.5" footer="0.5"/>
      <pageSetup scale="63" fitToWidth="3" fitToHeight="3" pageOrder="overThenDown" orientation="portrait" r:id="rId8"/>
      <headerFooter alignWithMargins="0"/>
    </customSheetView>
    <customSheetView guid="{3911D713-188C-46A1-A299-F21DD3B7A146}" scale="75" colorId="22" showPageBreaks="1" printArea="1" view="pageBreakPreview" showRuler="0" topLeftCell="A85">
      <selection activeCell="F100" sqref="F100"/>
      <pageMargins left="0.75" right="0.4" top="0.3" bottom="0.3" header="0.5" footer="0.5"/>
      <pageSetup scale="63" fitToWidth="3" fitToHeight="3" pageOrder="overThenDown" orientation="portrait" r:id="rId9"/>
      <headerFooter alignWithMargins="0"/>
    </customSheetView>
    <customSheetView guid="{78BB1E60-60BE-4F56-9763-075185EFEFAB}" scale="75" colorId="22" showPageBreaks="1" printArea="1" view="pageBreakPreview">
      <selection activeCell="G43" sqref="G43"/>
      <pageMargins left="0.75" right="0.4" top="0.3" bottom="0.3" header="0.5" footer="0.5"/>
      <pageSetup scale="63" fitToWidth="3" fitToHeight="3" pageOrder="overThenDown" orientation="portrait" r:id="rId10"/>
      <headerFooter alignWithMargins="0"/>
    </customSheetView>
    <customSheetView guid="{9C30803E-1E2D-4850-B0A5-591CA6F246A1}" scale="75" colorId="22" showPageBreaks="1" printArea="1" view="pageBreakPreview" topLeftCell="A11">
      <selection activeCell="G29" sqref="G29"/>
      <pageMargins left="0.75" right="0.4" top="0.3" bottom="0.3" header="0.5" footer="0.5"/>
      <pageSetup scale="63" fitToWidth="3" fitToHeight="3" pageOrder="overThenDown" orientation="portrait" r:id="rId11"/>
      <headerFooter alignWithMargins="0"/>
    </customSheetView>
    <customSheetView guid="{3B1006FF-A2CA-49E7-9B25-DAC8815279AF}" scale="75" colorId="22" showPageBreaks="1" printArea="1" view="pageBreakPreview" topLeftCell="A22">
      <selection activeCell="A7" sqref="A7"/>
      <pageMargins left="0.75" right="0.4" top="0.3" bottom="0.3" header="0.5" footer="0.5"/>
      <pageSetup scale="63" fitToWidth="3" fitToHeight="3" pageOrder="overThenDown" orientation="portrait" r:id="rId12"/>
      <headerFooter alignWithMargins="0"/>
    </customSheetView>
    <customSheetView guid="{FB1A60C8-E1F9-4DF0-8E0E-1C965F86027F}" scale="75" colorId="22" showPageBreaks="1" printArea="1" view="pageBreakPreview" topLeftCell="A22">
      <selection activeCell="A7" sqref="A7"/>
      <pageMargins left="0.75" right="0.4" top="0.3" bottom="0.3" header="0.5" footer="0.5"/>
      <pageSetup scale="63" fitToWidth="3" fitToHeight="3" pageOrder="overThenDown" orientation="portrait" r:id="rId13"/>
      <headerFooter alignWithMargins="0"/>
    </customSheetView>
    <customSheetView guid="{C5B6D812-CBE6-46AA-99F7-02494E9802B4}" scale="70" colorId="22" showPageBreaks="1" printArea="1" view="pageBreakPreview" topLeftCell="A24">
      <selection activeCell="B43" sqref="B43"/>
      <pageMargins left="0.75" right="0.4" top="0.3" bottom="0.3" header="0.5" footer="0.5"/>
      <pageSetup scale="63" fitToWidth="3" fitToHeight="3" pageOrder="overThenDown" orientation="portrait" r:id="rId14"/>
      <headerFooter alignWithMargins="0"/>
    </customSheetView>
  </customSheetViews>
  <mergeCells count="5">
    <mergeCell ref="A67:G67"/>
    <mergeCell ref="I67:O67"/>
    <mergeCell ref="A124:G124"/>
    <mergeCell ref="A71:G71"/>
    <mergeCell ref="A3:G3"/>
  </mergeCells>
  <phoneticPr fontId="0" type="noConversion"/>
  <pageMargins left="0.75" right="0.4" top="0.3" bottom="0.3" header="0.5" footer="0.5"/>
  <pageSetup scale="63" fitToWidth="3" fitToHeight="3" pageOrder="overThenDown" orientation="portrait" r:id="rId15"/>
  <headerFooter alignWithMargins="0"/>
  <customProperties>
    <customPr name="_pios_id" r:id="rId16"/>
  </customProperties>
</worksheet>
</file>

<file path=xl/worksheets/sheet4.xml><?xml version="1.0" encoding="utf-8"?>
<worksheet xmlns="http://schemas.openxmlformats.org/spreadsheetml/2006/main" xmlns:r="http://schemas.openxmlformats.org/officeDocument/2006/relationships">
  <sheetPr transitionEvaluation="1" codeName="Sheet3" enableFormatConditionsCalculation="0">
    <pageSetUpPr fitToPage="1"/>
  </sheetPr>
  <dimension ref="A1:J43"/>
  <sheetViews>
    <sheetView tabSelected="1" defaultGridColor="0" colorId="22" zoomScale="70" zoomScaleNormal="70" workbookViewId="0"/>
  </sheetViews>
  <sheetFormatPr defaultColWidth="9.77734375" defaultRowHeight="15"/>
  <cols>
    <col min="1" max="1" width="2.77734375" customWidth="1"/>
    <col min="2" max="2" width="12.77734375" customWidth="1"/>
    <col min="3" max="3" width="8.77734375" customWidth="1"/>
    <col min="4" max="4" width="7.77734375" customWidth="1"/>
    <col min="5" max="6" width="12.77734375" customWidth="1"/>
    <col min="7" max="7" width="7.77734375" customWidth="1"/>
    <col min="8" max="8" width="8.77734375" customWidth="1"/>
    <col min="9" max="9" width="12.77734375" customWidth="1"/>
    <col min="10" max="10" width="2.77734375" customWidth="1"/>
  </cols>
  <sheetData>
    <row r="1" spans="1:10" ht="15.75" thickBot="1"/>
    <row r="2" spans="1:10" ht="19.899999999999999" customHeight="1">
      <c r="A2" s="49"/>
      <c r="B2" s="50"/>
      <c r="C2" s="50"/>
      <c r="D2" s="50"/>
      <c r="E2" s="50"/>
      <c r="F2" s="50"/>
      <c r="G2" s="51"/>
      <c r="H2" s="52"/>
      <c r="I2" s="50"/>
      <c r="J2" s="53"/>
    </row>
    <row r="3" spans="1:10" ht="19.899999999999999" customHeight="1">
      <c r="A3" s="54"/>
      <c r="B3" s="55"/>
      <c r="C3" s="55"/>
      <c r="D3" s="55"/>
      <c r="E3" s="55"/>
      <c r="F3" s="55"/>
      <c r="G3" s="55"/>
      <c r="H3" s="55"/>
      <c r="I3" s="55"/>
      <c r="J3" s="56"/>
    </row>
    <row r="4" spans="1:10" ht="19.899999999999999" customHeight="1">
      <c r="A4" s="54"/>
      <c r="B4" s="55"/>
      <c r="C4" s="55"/>
      <c r="D4" s="55"/>
      <c r="E4" s="55"/>
      <c r="F4" s="55"/>
      <c r="G4" s="55"/>
      <c r="H4" s="55"/>
      <c r="I4" s="55"/>
      <c r="J4" s="56"/>
    </row>
    <row r="5" spans="1:10" ht="30" customHeight="1">
      <c r="A5" s="57" t="s">
        <v>2391</v>
      </c>
      <c r="B5" s="58"/>
      <c r="C5" s="58"/>
      <c r="D5" s="58"/>
      <c r="E5" s="58"/>
      <c r="F5" s="58"/>
      <c r="G5" s="58"/>
      <c r="H5" s="58"/>
      <c r="I5" s="58"/>
      <c r="J5" s="59"/>
    </row>
    <row r="6" spans="1:10" ht="30" customHeight="1">
      <c r="A6" s="60" t="s">
        <v>2392</v>
      </c>
      <c r="B6" s="58"/>
      <c r="C6" s="58"/>
      <c r="D6" s="58"/>
      <c r="E6" s="58"/>
      <c r="F6" s="58"/>
      <c r="G6" s="58"/>
      <c r="H6" s="58"/>
      <c r="I6" s="58"/>
      <c r="J6" s="59"/>
    </row>
    <row r="7" spans="1:10" ht="16.899999999999999" customHeight="1">
      <c r="A7" s="54"/>
      <c r="B7" s="55"/>
      <c r="C7" s="55"/>
      <c r="D7" s="55"/>
      <c r="E7" s="55"/>
      <c r="F7" s="55"/>
      <c r="G7" s="55"/>
      <c r="H7" s="55"/>
      <c r="I7" s="55"/>
      <c r="J7" s="56"/>
    </row>
    <row r="8" spans="1:10" ht="30" customHeight="1">
      <c r="A8" s="61" t="s">
        <v>1832</v>
      </c>
      <c r="B8" s="62"/>
      <c r="C8" s="62"/>
      <c r="D8" s="62"/>
      <c r="E8" s="62"/>
      <c r="F8" s="62"/>
      <c r="G8" s="62"/>
      <c r="H8" s="62"/>
      <c r="I8" s="62"/>
      <c r="J8" s="63"/>
    </row>
    <row r="9" spans="1:10" ht="16.899999999999999" customHeight="1">
      <c r="A9" s="54"/>
      <c r="B9" s="55"/>
      <c r="C9" s="55"/>
      <c r="D9" s="55"/>
      <c r="E9" s="55"/>
      <c r="F9" s="55"/>
      <c r="G9" s="55"/>
      <c r="H9" s="55"/>
      <c r="I9" s="55"/>
      <c r="J9" s="56"/>
    </row>
    <row r="10" spans="1:10" ht="16.899999999999999" customHeight="1">
      <c r="A10" s="54"/>
      <c r="B10" s="55"/>
      <c r="C10" s="55"/>
      <c r="D10" s="55"/>
      <c r="E10" s="55"/>
      <c r="F10" s="55"/>
      <c r="G10" s="55"/>
      <c r="H10" s="55"/>
      <c r="I10" s="55"/>
      <c r="J10" s="56"/>
    </row>
    <row r="11" spans="1:10" ht="16.899999999999999" customHeight="1">
      <c r="A11" s="64" t="s">
        <v>2393</v>
      </c>
      <c r="B11" s="58"/>
      <c r="C11" s="58"/>
      <c r="D11" s="58"/>
      <c r="E11" s="58"/>
      <c r="F11" s="58"/>
      <c r="G11" s="58"/>
      <c r="H11" s="58"/>
      <c r="I11" s="58"/>
      <c r="J11" s="59"/>
    </row>
    <row r="12" spans="1:10" ht="16.899999999999999" customHeight="1">
      <c r="A12" s="54"/>
      <c r="B12" s="55"/>
      <c r="C12" s="55"/>
      <c r="D12" s="55"/>
      <c r="E12" s="55"/>
      <c r="F12" s="55"/>
      <c r="G12" s="55"/>
      <c r="H12" s="55"/>
      <c r="I12" s="55"/>
      <c r="J12" s="56"/>
    </row>
    <row r="13" spans="1:10" ht="22.5" customHeight="1" thickBot="1">
      <c r="A13" s="54"/>
      <c r="B13" s="65" t="str">
        <f>'Data sheet'!D27</f>
        <v>New York American Water Company, Inc. (f/k/a Long Island Water Corp)</v>
      </c>
      <c r="C13" s="58"/>
      <c r="D13" s="58"/>
      <c r="E13" s="58"/>
      <c r="F13" s="58"/>
      <c r="G13" s="58"/>
      <c r="H13" s="58"/>
      <c r="I13" s="58"/>
      <c r="J13" s="56"/>
    </row>
    <row r="14" spans="1:10" ht="15.75">
      <c r="A14" s="66"/>
      <c r="B14" s="67" t="s">
        <v>4109</v>
      </c>
      <c r="C14" s="68"/>
      <c r="D14" s="68"/>
      <c r="E14" s="68"/>
      <c r="F14" s="68"/>
      <c r="G14" s="68"/>
      <c r="H14" s="68"/>
      <c r="I14" s="68"/>
      <c r="J14" s="56"/>
    </row>
    <row r="15" spans="1:10">
      <c r="A15" s="69" t="s">
        <v>4110</v>
      </c>
      <c r="B15" s="70"/>
      <c r="C15" s="70"/>
      <c r="D15" s="70"/>
      <c r="E15" s="70"/>
      <c r="F15" s="70"/>
      <c r="G15" s="70"/>
      <c r="H15" s="70"/>
      <c r="I15" s="70"/>
      <c r="J15" s="71"/>
    </row>
    <row r="16" spans="1:10" ht="19.899999999999999" customHeight="1">
      <c r="A16" s="54"/>
      <c r="B16" s="55"/>
      <c r="C16" s="55"/>
      <c r="D16" s="55"/>
      <c r="E16" s="55"/>
      <c r="F16" s="55"/>
      <c r="G16" s="55"/>
      <c r="H16" s="55"/>
      <c r="I16" s="55"/>
      <c r="J16" s="56"/>
    </row>
    <row r="17" spans="1:10" ht="19.899999999999999" customHeight="1" thickBot="1">
      <c r="A17" s="54"/>
      <c r="B17" s="72" t="str">
        <f>'Data sheet'!D29</f>
        <v>60 Brooklyn Avenue</v>
      </c>
      <c r="C17" s="73"/>
      <c r="D17" s="73"/>
      <c r="E17" s="73"/>
      <c r="F17" s="73"/>
      <c r="G17" s="73"/>
      <c r="H17" s="73"/>
      <c r="I17" s="73"/>
      <c r="J17" s="56"/>
    </row>
    <row r="18" spans="1:10" ht="19.899999999999999" customHeight="1">
      <c r="A18" s="54"/>
      <c r="B18" s="55"/>
      <c r="C18" s="55"/>
      <c r="D18" s="55"/>
      <c r="E18" s="55"/>
      <c r="F18" s="55"/>
      <c r="G18" s="55"/>
      <c r="H18" s="55"/>
      <c r="I18" s="55"/>
      <c r="J18" s="56"/>
    </row>
    <row r="19" spans="1:10" ht="21.95" customHeight="1" thickBot="1">
      <c r="A19" s="54"/>
      <c r="B19" s="72" t="str">
        <f>'Data sheet'!D31</f>
        <v>Merrick, NY 11566</v>
      </c>
      <c r="C19" s="73"/>
      <c r="D19" s="73"/>
      <c r="E19" s="73"/>
      <c r="F19" s="73"/>
      <c r="G19" s="73"/>
      <c r="H19" s="73"/>
      <c r="I19" s="73"/>
      <c r="J19" s="56"/>
    </row>
    <row r="20" spans="1:10">
      <c r="A20" s="74"/>
      <c r="B20" s="75" t="s">
        <v>1639</v>
      </c>
      <c r="C20" s="58"/>
      <c r="D20" s="58"/>
      <c r="E20" s="58"/>
      <c r="F20" s="58"/>
      <c r="G20" s="58"/>
      <c r="H20" s="58"/>
      <c r="I20" s="58"/>
      <c r="J20" s="56"/>
    </row>
    <row r="21" spans="1:10">
      <c r="A21" s="54"/>
      <c r="B21" s="76"/>
      <c r="C21" s="55"/>
      <c r="D21" s="55"/>
      <c r="E21" s="55"/>
      <c r="F21" s="55"/>
      <c r="G21" s="55"/>
      <c r="H21" s="55"/>
      <c r="I21" s="55"/>
      <c r="J21" s="56"/>
    </row>
    <row r="22" spans="1:10">
      <c r="A22" s="54"/>
      <c r="B22" s="55"/>
      <c r="C22" s="55"/>
      <c r="D22" s="55"/>
      <c r="E22" s="55"/>
      <c r="F22" s="55"/>
      <c r="G22" s="55"/>
      <c r="H22" s="55"/>
      <c r="I22" s="55"/>
      <c r="J22" s="56"/>
    </row>
    <row r="23" spans="1:10" ht="18" customHeight="1">
      <c r="A23" s="54"/>
      <c r="B23" s="77" t="s">
        <v>1640</v>
      </c>
      <c r="C23" s="58"/>
      <c r="D23" s="58"/>
      <c r="E23" s="58"/>
      <c r="F23" s="58"/>
      <c r="G23" s="58"/>
      <c r="H23" s="58"/>
      <c r="I23" s="58"/>
      <c r="J23" s="56"/>
    </row>
    <row r="24" spans="1:10">
      <c r="A24" s="54"/>
      <c r="B24" s="55"/>
      <c r="C24" s="55"/>
      <c r="D24" s="55"/>
      <c r="E24" s="55"/>
      <c r="F24" s="55"/>
      <c r="G24" s="55"/>
      <c r="H24" s="55"/>
      <c r="I24" s="55"/>
      <c r="J24" s="56"/>
    </row>
    <row r="25" spans="1:10" ht="27.95" customHeight="1">
      <c r="A25" s="78"/>
      <c r="B25" s="79" t="str">
        <f>'Data sheet'!A47</f>
        <v>Year Ended  December 31, 2013</v>
      </c>
      <c r="C25" s="58"/>
      <c r="D25" s="58"/>
      <c r="E25" s="58"/>
      <c r="F25" s="58"/>
      <c r="G25" s="58"/>
      <c r="H25" s="58"/>
      <c r="I25" s="58"/>
      <c r="J25" s="56"/>
    </row>
    <row r="26" spans="1:10" ht="18" customHeight="1">
      <c r="A26" s="54"/>
      <c r="B26" s="55"/>
      <c r="C26" s="55"/>
      <c r="D26" s="55"/>
      <c r="E26" s="55"/>
      <c r="F26" s="55"/>
      <c r="G26" s="55"/>
      <c r="H26" s="55"/>
      <c r="I26" s="55"/>
      <c r="J26" s="56"/>
    </row>
    <row r="27" spans="1:10" ht="19.899999999999999" customHeight="1">
      <c r="A27" s="54"/>
      <c r="B27" s="80" t="s">
        <v>1641</v>
      </c>
      <c r="C27" s="58"/>
      <c r="D27" s="58"/>
      <c r="E27" s="58"/>
      <c r="F27" s="58"/>
      <c r="G27" s="58"/>
      <c r="H27" s="58"/>
      <c r="I27" s="58"/>
      <c r="J27" s="56"/>
    </row>
    <row r="28" spans="1:10">
      <c r="A28" s="54"/>
      <c r="B28" s="55"/>
      <c r="C28" s="55"/>
      <c r="D28" s="55"/>
      <c r="E28" s="55"/>
      <c r="F28" s="55"/>
      <c r="G28" s="55"/>
      <c r="H28" s="55"/>
      <c r="I28" s="55"/>
      <c r="J28" s="56"/>
    </row>
    <row r="29" spans="1:10">
      <c r="A29" s="54"/>
      <c r="B29" s="55"/>
      <c r="C29" s="55"/>
      <c r="D29" s="55"/>
      <c r="E29" s="55"/>
      <c r="F29" s="55"/>
      <c r="G29" s="55"/>
      <c r="H29" s="55"/>
      <c r="I29" s="55"/>
      <c r="J29" s="56"/>
    </row>
    <row r="30" spans="1:10" ht="19.899999999999999" customHeight="1">
      <c r="A30" s="54"/>
      <c r="B30" s="80" t="s">
        <v>2164</v>
      </c>
      <c r="C30" s="58"/>
      <c r="D30" s="58"/>
      <c r="E30" s="58"/>
      <c r="F30" s="58"/>
      <c r="G30" s="58"/>
      <c r="H30" s="58"/>
      <c r="I30" s="58"/>
      <c r="J30" s="56"/>
    </row>
    <row r="31" spans="1:10">
      <c r="A31" s="54"/>
      <c r="B31" s="55"/>
      <c r="C31" s="55"/>
      <c r="D31" s="55"/>
      <c r="E31" s="55"/>
      <c r="F31" s="55"/>
      <c r="G31" s="55"/>
      <c r="H31" s="55"/>
      <c r="I31" s="55"/>
      <c r="J31" s="56"/>
    </row>
    <row r="32" spans="1:10" ht="12" customHeight="1">
      <c r="A32" s="54"/>
      <c r="B32" s="55"/>
      <c r="C32" s="55"/>
      <c r="D32" s="55"/>
      <c r="E32" s="55"/>
      <c r="F32" s="55"/>
      <c r="G32" s="55"/>
      <c r="H32" s="55"/>
      <c r="I32" s="55"/>
      <c r="J32" s="56"/>
    </row>
    <row r="33" spans="1:10" ht="19.899999999999999" customHeight="1">
      <c r="A33" s="54"/>
      <c r="B33" s="80" t="s">
        <v>1831</v>
      </c>
      <c r="C33" s="58"/>
      <c r="D33" s="58"/>
      <c r="E33" s="58"/>
      <c r="F33" s="58"/>
      <c r="G33" s="58"/>
      <c r="H33" s="58"/>
      <c r="I33" s="58"/>
      <c r="J33" s="56"/>
    </row>
    <row r="34" spans="1:10" ht="19.899999999999999" customHeight="1">
      <c r="A34" s="54"/>
      <c r="B34" s="55"/>
      <c r="C34" s="55"/>
      <c r="D34" s="55"/>
      <c r="E34" s="55"/>
      <c r="F34" s="55"/>
      <c r="G34" s="55"/>
      <c r="H34" s="55"/>
      <c r="I34" s="55"/>
      <c r="J34" s="56"/>
    </row>
    <row r="35" spans="1:10" ht="19.899999999999999" customHeight="1" thickBot="1">
      <c r="A35" s="54"/>
      <c r="B35" s="81"/>
      <c r="C35" s="58"/>
      <c r="D35" s="73"/>
      <c r="E35" s="73"/>
      <c r="F35" s="73"/>
      <c r="G35" s="73"/>
      <c r="H35" s="58"/>
      <c r="I35" s="58"/>
      <c r="J35" s="56"/>
    </row>
    <row r="36" spans="1:10" ht="19.899999999999999" customHeight="1">
      <c r="A36" s="54"/>
      <c r="B36" s="55"/>
      <c r="C36" s="55"/>
      <c r="D36" s="55"/>
      <c r="E36" s="55"/>
      <c r="F36" s="55"/>
      <c r="G36" s="55"/>
      <c r="H36" s="55"/>
      <c r="I36" s="55"/>
      <c r="J36" s="56"/>
    </row>
    <row r="37" spans="1:10" ht="19.899999999999999" customHeight="1">
      <c r="A37" s="54"/>
      <c r="B37" s="55"/>
      <c r="C37" s="55" t="s">
        <v>2383</v>
      </c>
      <c r="D37" s="55"/>
      <c r="E37" s="55"/>
      <c r="F37" s="55"/>
      <c r="G37" s="55"/>
      <c r="H37" s="55"/>
      <c r="I37" s="55"/>
      <c r="J37" s="56"/>
    </row>
    <row r="38" spans="1:10" ht="19.899999999999999" customHeight="1">
      <c r="A38" s="54"/>
      <c r="B38" s="82"/>
      <c r="C38" s="82" t="s">
        <v>4065</v>
      </c>
      <c r="D38" s="55"/>
      <c r="E38" s="55"/>
      <c r="F38" s="55"/>
      <c r="G38" s="55"/>
      <c r="H38" s="55"/>
      <c r="I38" s="55"/>
      <c r="J38" s="56"/>
    </row>
    <row r="39" spans="1:10" ht="19.899999999999999" customHeight="1">
      <c r="A39" s="54"/>
      <c r="B39" s="3018" t="s">
        <v>5322</v>
      </c>
      <c r="C39" s="3018"/>
      <c r="D39" s="3018"/>
      <c r="E39" s="3018"/>
      <c r="F39" s="3018"/>
      <c r="G39" s="3018"/>
      <c r="H39" s="3018"/>
      <c r="I39" s="3018"/>
      <c r="J39" s="56"/>
    </row>
    <row r="40" spans="1:10" ht="19.899999999999999" customHeight="1">
      <c r="A40" s="54"/>
      <c r="B40" s="3019" t="s">
        <v>5323</v>
      </c>
      <c r="C40" s="3020"/>
      <c r="D40" s="3020"/>
      <c r="E40" s="3020"/>
      <c r="F40" s="3020"/>
      <c r="G40" s="3020"/>
      <c r="H40" s="3020"/>
      <c r="I40" s="3020"/>
      <c r="J40" s="56"/>
    </row>
    <row r="41" spans="1:10" ht="19.899999999999999" customHeight="1">
      <c r="A41" s="54"/>
      <c r="B41" s="55"/>
      <c r="C41" s="55"/>
      <c r="D41" s="55"/>
      <c r="E41" s="55"/>
      <c r="F41" s="55"/>
      <c r="G41" s="55"/>
      <c r="H41" s="55"/>
      <c r="I41" s="55"/>
      <c r="J41" s="56"/>
    </row>
    <row r="42" spans="1:10" ht="9.9499999999999993" customHeight="1" thickBot="1">
      <c r="A42" s="83"/>
      <c r="B42" s="84"/>
      <c r="C42" s="84"/>
      <c r="D42" s="84"/>
      <c r="E42" s="84"/>
      <c r="F42" s="84"/>
      <c r="G42" s="84"/>
      <c r="H42" s="84"/>
      <c r="I42" s="84"/>
      <c r="J42" s="85"/>
    </row>
    <row r="43" spans="1:10">
      <c r="A43" s="86"/>
      <c r="B43" s="86"/>
      <c r="C43" s="86"/>
      <c r="D43" s="86"/>
      <c r="E43" s="86"/>
      <c r="F43" s="86"/>
      <c r="G43" s="86"/>
      <c r="H43" s="86"/>
      <c r="I43" s="87" t="s">
        <v>4066</v>
      </c>
      <c r="J43" s="86"/>
    </row>
  </sheetData>
  <customSheetViews>
    <customSheetView guid="{1BA452AD-1A45-4D9C-9666-ADFFA6F2F567}" colorId="22" fitToPage="1">
      <selection activeCell="A9" sqref="A9"/>
      <pageMargins left="0.75" right="0.4" top="0.3" bottom="0.3" header="0.5" footer="0.5"/>
      <pageSetup scale="87" orientation="portrait" r:id="rId1"/>
      <headerFooter alignWithMargins="0"/>
    </customSheetView>
    <customSheetView guid="{EEF7ABD6-0F96-4791-B749-C06F707E7673}" scale="60" colorId="22" showPageBreaks="1" fitToPage="1" printArea="1" view="pageBreakPreview" showRuler="0">
      <selection activeCell="E54" sqref="E54"/>
      <pageMargins left="0.75" right="0.4" top="0.3" bottom="0.3" header="0.5" footer="0.5"/>
      <pageSetup scale="87" orientation="portrait" r:id="rId2"/>
      <headerFooter alignWithMargins="0"/>
    </customSheetView>
    <customSheetView guid="{A7D7DB3C-AFE6-468E-8C6B-9531F6711497}" scale="87" colorId="22" fitToPage="1" showRuler="0" topLeftCell="A22">
      <selection activeCell="C41" sqref="C41"/>
      <pageMargins left="0.75" right="0.4" top="0.3" bottom="0.3" header="0.5" footer="0.5"/>
      <pageSetup scale="87" orientation="portrait" r:id="rId3"/>
      <headerFooter alignWithMargins="0"/>
    </customSheetView>
    <customSheetView guid="{4436FEB5-BFEC-4348-9286-CB706802873E}" scale="87" colorId="22" fitToPage="1" showRuler="0" topLeftCell="A22">
      <selection activeCell="C41" sqref="C41"/>
      <pageMargins left="0.75" right="0.4" top="0.3" bottom="0.3" header="0.5" footer="0.5"/>
      <pageSetup scale="87" orientation="portrait" r:id="rId4"/>
      <headerFooter alignWithMargins="0"/>
    </customSheetView>
    <customSheetView guid="{044CF00C-469F-44B3-B2C4-9B4049CE70CB}" scale="87" colorId="22" fitToPage="1" showRuler="0" topLeftCell="A19">
      <selection activeCell="A2" sqref="A2"/>
      <pageMargins left="0.75" right="0.4" top="0.3" bottom="0.3" header="0.5" footer="0.5"/>
      <pageSetup scale="87" orientation="portrait" r:id="rId5"/>
      <headerFooter alignWithMargins="0"/>
    </customSheetView>
    <customSheetView guid="{4826FCC0-BDD6-4B2C-ACC6-ACE271DDF0E3}" scale="60" colorId="22" showPageBreaks="1" fitToPage="1" printArea="1" view="pageBreakPreview" showRuler="0">
      <selection activeCell="E54" sqref="E54"/>
      <pageMargins left="0.75" right="0.4" top="0.3" bottom="0.3" header="0.5" footer="0.5"/>
      <pageSetup scale="87" orientation="portrait" r:id="rId6"/>
      <headerFooter alignWithMargins="0"/>
    </customSheetView>
    <customSheetView guid="{EF376D10-23D6-4FE2-AB5B-4460D52CC93F}" scale="60" colorId="22" showPageBreaks="1" fitToPage="1" printArea="1" view="pageBreakPreview" showRuler="0">
      <selection activeCell="E54" sqref="E54"/>
      <pageMargins left="0.75" right="0.4" top="0.3" bottom="0.3" header="0.5" footer="0.5"/>
      <pageSetup scale="87" orientation="portrait" r:id="rId7"/>
      <headerFooter alignWithMargins="0"/>
    </customSheetView>
    <customSheetView guid="{1C046605-15CE-44F1-BFCD-2CA8588E7ACF}" scale="60" colorId="22" showPageBreaks="1" fitToPage="1" printArea="1" view="pageBreakPreview" showRuler="0">
      <selection activeCell="E54" sqref="E54"/>
      <pageMargins left="0.75" right="0.4" top="0.3" bottom="0.3" header="0.5" footer="0.5"/>
      <pageSetup scale="87" orientation="portrait" r:id="rId8"/>
      <headerFooter alignWithMargins="0"/>
    </customSheetView>
    <customSheetView guid="{3911D713-188C-46A1-A299-F21DD3B7A146}" scale="60" colorId="22" showPageBreaks="1" fitToPage="1" printArea="1" view="pageBreakPreview" showRuler="0">
      <selection activeCell="E54" sqref="E54"/>
      <pageMargins left="0.75" right="0.4" top="0.3" bottom="0.3" header="0.5" footer="0.5"/>
      <pageSetup scale="87" orientation="portrait" r:id="rId9"/>
      <headerFooter alignWithMargins="0"/>
    </customSheetView>
    <customSheetView guid="{78BB1E60-60BE-4F56-9763-075185EFEFAB}" colorId="22" fitToPage="1">
      <selection activeCell="M8" sqref="M8"/>
      <pageMargins left="0.75" right="0.4" top="0.3" bottom="0.3" header="0.5" footer="0.5"/>
      <pageSetup scale="87" orientation="portrait" r:id="rId10"/>
      <headerFooter alignWithMargins="0"/>
    </customSheetView>
    <customSheetView guid="{9C30803E-1E2D-4850-B0A5-591CA6F246A1}" colorId="22" fitToPage="1">
      <selection activeCell="M8" sqref="M8"/>
      <pageMargins left="0.75" right="0.4" top="0.3" bottom="0.3" header="0.5" footer="0.5"/>
      <pageSetup scale="87" orientation="portrait" r:id="rId11"/>
      <headerFooter alignWithMargins="0"/>
    </customSheetView>
    <customSheetView guid="{3B1006FF-A2CA-49E7-9B25-DAC8815279AF}" colorId="22" fitToPage="1">
      <selection activeCell="M8" sqref="M8"/>
      <pageMargins left="0.75" right="0.4" top="0.3" bottom="0.3" header="0.5" footer="0.5"/>
      <pageSetup scale="87" orientation="portrait" r:id="rId12"/>
      <headerFooter alignWithMargins="0"/>
    </customSheetView>
    <customSheetView guid="{FB1A60C8-E1F9-4DF0-8E0E-1C965F86027F}" colorId="22" fitToPage="1">
      <selection activeCell="M8" sqref="M8"/>
      <pageMargins left="0.75" right="0.4" top="0.3" bottom="0.3" header="0.5" footer="0.5"/>
      <pageSetup scale="87" orientation="portrait" r:id="rId13"/>
      <headerFooter alignWithMargins="0"/>
    </customSheetView>
    <customSheetView guid="{C5B6D812-CBE6-46AA-99F7-02494E9802B4}" scale="70" colorId="22" fitToPage="1" topLeftCell="A3">
      <selection activeCell="C10" sqref="C10"/>
      <pageMargins left="0.75" right="0.4" top="0.3" bottom="0.3" header="0.5" footer="0.5"/>
      <pageSetup scale="87" orientation="portrait" r:id="rId14"/>
      <headerFooter alignWithMargins="0"/>
    </customSheetView>
  </customSheetViews>
  <mergeCells count="2">
    <mergeCell ref="B39:I39"/>
    <mergeCell ref="B40:I40"/>
  </mergeCells>
  <phoneticPr fontId="0" type="noConversion"/>
  <pageMargins left="0.75" right="0.4" top="0.3" bottom="0.3" header="0.5" footer="0.5"/>
  <pageSetup scale="87" orientation="portrait" r:id="rId15"/>
  <headerFooter alignWithMargins="0"/>
  <customProperties>
    <customPr name="_pios_id" r:id="rId16"/>
  </customProperties>
</worksheet>
</file>

<file path=xl/worksheets/sheet40.xml><?xml version="1.0" encoding="utf-8"?>
<worksheet xmlns="http://schemas.openxmlformats.org/spreadsheetml/2006/main" xmlns:r="http://schemas.openxmlformats.org/officeDocument/2006/relationships">
  <sheetPr transitionEvaluation="1" codeName="Sheet40" enableFormatConditionsCalculation="0">
    <pageSetUpPr fitToPage="1"/>
  </sheetPr>
  <dimension ref="A2:X59"/>
  <sheetViews>
    <sheetView defaultGridColor="0" colorId="22" zoomScale="75" zoomScaleNormal="75" zoomScaleSheetLayoutView="70" workbookViewId="0"/>
  </sheetViews>
  <sheetFormatPr defaultColWidth="9.77734375" defaultRowHeight="15"/>
  <cols>
    <col min="1" max="1" width="4.77734375" customWidth="1"/>
    <col min="2" max="2" width="31.88671875" customWidth="1"/>
    <col min="3" max="3" width="16.77734375" customWidth="1"/>
    <col min="4" max="4" width="7.77734375" customWidth="1"/>
    <col min="5" max="5" width="14.77734375" customWidth="1"/>
    <col min="6" max="6" width="14.21875" customWidth="1"/>
    <col min="7" max="7" width="17.6640625" customWidth="1"/>
    <col min="8" max="8" width="2.88671875" customWidth="1"/>
    <col min="9" max="9" width="14.6640625" style="2049" bestFit="1" customWidth="1"/>
    <col min="10" max="10" width="6.44140625" style="1654" bestFit="1" customWidth="1"/>
    <col min="11" max="11" width="10" style="1626" bestFit="1" customWidth="1"/>
    <col min="12" max="12" width="32.33203125" customWidth="1"/>
    <col min="14" max="14" width="18.5546875" customWidth="1"/>
    <col min="15" max="15" width="11.5546875" customWidth="1"/>
    <col min="16" max="16" width="12.21875" bestFit="1" customWidth="1"/>
    <col min="17" max="17" width="15.109375" bestFit="1" customWidth="1"/>
    <col min="19" max="20" width="15.109375" bestFit="1" customWidth="1"/>
    <col min="21" max="21" width="15.6640625" bestFit="1" customWidth="1"/>
    <col min="22" max="22" width="12.6640625" customWidth="1"/>
  </cols>
  <sheetData>
    <row r="2" spans="1:24" ht="15.75" thickBot="1">
      <c r="A2" s="186" t="str">
        <f>'Data sheet'!$A$63</f>
        <v>Annual Report of New York American Water Company, Inc. (f/k/a Long Island Water Corp)                                    Year Ended  December 31, 2013</v>
      </c>
      <c r="F2" s="1633"/>
      <c r="G2" s="1674"/>
    </row>
    <row r="3" spans="1:24">
      <c r="A3" s="530"/>
      <c r="B3" s="233"/>
      <c r="C3" s="233"/>
      <c r="D3" s="233"/>
      <c r="E3" s="233"/>
      <c r="F3" s="233"/>
      <c r="G3" s="531"/>
    </row>
    <row r="4" spans="1:24" ht="15.75">
      <c r="A4" s="235" t="s">
        <v>164</v>
      </c>
      <c r="B4" s="6"/>
      <c r="C4" s="6"/>
      <c r="D4" s="6"/>
      <c r="E4" s="6"/>
      <c r="F4" s="6"/>
      <c r="G4" s="248"/>
    </row>
    <row r="5" spans="1:24">
      <c r="A5" s="538" t="s">
        <v>4373</v>
      </c>
      <c r="B5" s="552"/>
      <c r="C5" s="552" t="s">
        <v>4373</v>
      </c>
      <c r="D5" s="552"/>
      <c r="E5" s="552"/>
      <c r="F5" s="552"/>
      <c r="G5" s="553"/>
    </row>
    <row r="6" spans="1:24">
      <c r="A6" s="677" t="s">
        <v>479</v>
      </c>
      <c r="B6" s="230" t="s">
        <v>165</v>
      </c>
      <c r="C6" s="230"/>
      <c r="D6" s="230"/>
      <c r="E6" s="230"/>
      <c r="F6" s="230"/>
      <c r="G6" s="532"/>
    </row>
    <row r="7" spans="1:24">
      <c r="A7" s="238" t="s">
        <v>2916</v>
      </c>
      <c r="B7" s="230" t="s">
        <v>166</v>
      </c>
      <c r="C7" s="230"/>
      <c r="D7" s="230"/>
      <c r="E7" s="230"/>
      <c r="F7" s="230"/>
      <c r="G7" s="532"/>
    </row>
    <row r="8" spans="1:24">
      <c r="A8" s="238" t="s">
        <v>3164</v>
      </c>
      <c r="B8" s="230" t="s">
        <v>1374</v>
      </c>
      <c r="C8" s="230"/>
      <c r="D8" s="230"/>
      <c r="E8" s="230"/>
      <c r="F8" s="230"/>
      <c r="G8" s="532"/>
      <c r="I8"/>
      <c r="J8"/>
      <c r="K8"/>
    </row>
    <row r="9" spans="1:24">
      <c r="A9" s="533"/>
      <c r="B9" s="534" t="s">
        <v>4373</v>
      </c>
      <c r="C9" s="534"/>
      <c r="D9" s="534"/>
      <c r="E9" s="534"/>
      <c r="F9" s="534"/>
      <c r="G9" s="535"/>
      <c r="I9"/>
      <c r="J9"/>
      <c r="K9"/>
    </row>
    <row r="10" spans="1:24">
      <c r="A10" s="547"/>
      <c r="B10" s="536"/>
      <c r="C10" s="682" t="s">
        <v>1062</v>
      </c>
      <c r="D10" s="678" t="s">
        <v>525</v>
      </c>
      <c r="E10" s="552"/>
      <c r="F10" s="536"/>
      <c r="G10" s="679" t="s">
        <v>1062</v>
      </c>
      <c r="I10"/>
      <c r="J10"/>
      <c r="K10"/>
    </row>
    <row r="11" spans="1:24">
      <c r="A11" s="547"/>
      <c r="B11" s="680" t="s">
        <v>1375</v>
      </c>
      <c r="C11" s="682" t="s">
        <v>1938</v>
      </c>
      <c r="D11" s="680" t="s">
        <v>427</v>
      </c>
      <c r="E11" s="536"/>
      <c r="F11" s="680" t="s">
        <v>3990</v>
      </c>
      <c r="G11" s="679" t="s">
        <v>2423</v>
      </c>
      <c r="I11"/>
      <c r="J11"/>
      <c r="K11"/>
    </row>
    <row r="12" spans="1:24">
      <c r="A12" s="547" t="s">
        <v>1129</v>
      </c>
      <c r="B12" s="680" t="s">
        <v>1376</v>
      </c>
      <c r="C12" s="682" t="s">
        <v>1940</v>
      </c>
      <c r="D12" s="680" t="s">
        <v>1139</v>
      </c>
      <c r="E12" s="682" t="s">
        <v>430</v>
      </c>
      <c r="F12" s="536"/>
      <c r="G12" s="679"/>
      <c r="I12"/>
      <c r="J12"/>
      <c r="K12"/>
    </row>
    <row r="13" spans="1:24">
      <c r="A13" s="549" t="s">
        <v>3324</v>
      </c>
      <c r="B13" s="828" t="s">
        <v>4032</v>
      </c>
      <c r="C13" s="828" t="s">
        <v>4033</v>
      </c>
      <c r="D13" s="828" t="s">
        <v>4034</v>
      </c>
      <c r="E13" s="828" t="s">
        <v>4035</v>
      </c>
      <c r="F13" s="678" t="s">
        <v>2277</v>
      </c>
      <c r="G13" s="681" t="s">
        <v>2278</v>
      </c>
      <c r="I13"/>
      <c r="J13"/>
      <c r="K13"/>
    </row>
    <row r="14" spans="1:24">
      <c r="A14" s="547">
        <v>1</v>
      </c>
      <c r="B14" s="1790" t="s">
        <v>3288</v>
      </c>
      <c r="C14" s="1065">
        <v>3221091</v>
      </c>
      <c r="D14" s="1790"/>
      <c r="E14" s="1065">
        <v>5308558</v>
      </c>
      <c r="F14" s="1065">
        <f>2918113+1305754</f>
        <v>4223867</v>
      </c>
      <c r="G14" s="1243">
        <f>+C14-E14+F14</f>
        <v>2136400</v>
      </c>
      <c r="H14" s="1633"/>
      <c r="I14"/>
      <c r="J14"/>
      <c r="K14"/>
    </row>
    <row r="15" spans="1:24" s="1633" customFormat="1">
      <c r="A15" s="2087">
        <v>2</v>
      </c>
      <c r="B15" s="536"/>
      <c r="C15" s="526"/>
      <c r="D15" s="536"/>
      <c r="E15" s="526"/>
      <c r="F15" s="526"/>
      <c r="G15" s="1243"/>
      <c r="I15"/>
      <c r="J15"/>
      <c r="K15"/>
      <c r="L15"/>
      <c r="M15"/>
      <c r="N15"/>
      <c r="O15"/>
      <c r="P15"/>
      <c r="Q15"/>
      <c r="R15"/>
      <c r="S15"/>
      <c r="T15"/>
      <c r="U15"/>
      <c r="V15"/>
      <c r="W15"/>
      <c r="X15"/>
    </row>
    <row r="16" spans="1:24" s="1633" customFormat="1">
      <c r="A16" s="2087">
        <v>3</v>
      </c>
      <c r="B16" s="536" t="s">
        <v>3289</v>
      </c>
      <c r="C16" s="526">
        <v>3381332</v>
      </c>
      <c r="D16" s="536"/>
      <c r="E16" s="526">
        <f>3983853+965970</f>
        <v>4949823</v>
      </c>
      <c r="F16" s="526">
        <f>1946978</f>
        <v>1946978</v>
      </c>
      <c r="G16" s="1243">
        <f>+C16-E16+F16</f>
        <v>378487</v>
      </c>
      <c r="I16"/>
      <c r="J16"/>
      <c r="K16"/>
      <c r="L16"/>
      <c r="M16"/>
      <c r="N16"/>
      <c r="O16"/>
      <c r="P16"/>
      <c r="Q16"/>
      <c r="R16"/>
      <c r="S16"/>
      <c r="T16"/>
      <c r="U16"/>
      <c r="V16"/>
      <c r="W16"/>
      <c r="X16"/>
    </row>
    <row r="17" spans="1:24" s="1633" customFormat="1">
      <c r="A17" s="2087">
        <v>4</v>
      </c>
      <c r="B17" s="536"/>
      <c r="C17" s="526"/>
      <c r="D17" s="536"/>
      <c r="E17" s="526"/>
      <c r="F17" s="526"/>
      <c r="G17" s="1243"/>
      <c r="I17"/>
      <c r="J17"/>
      <c r="K17"/>
      <c r="L17"/>
      <c r="M17"/>
      <c r="N17"/>
      <c r="O17"/>
      <c r="P17"/>
      <c r="Q17"/>
      <c r="R17"/>
      <c r="S17"/>
      <c r="T17"/>
      <c r="U17"/>
      <c r="V17"/>
      <c r="W17"/>
      <c r="X17"/>
    </row>
    <row r="18" spans="1:24" s="1633" customFormat="1">
      <c r="A18" s="2087">
        <v>5</v>
      </c>
      <c r="B18" s="536" t="s">
        <v>1384</v>
      </c>
      <c r="C18" s="526">
        <v>823533</v>
      </c>
      <c r="D18" s="536"/>
      <c r="E18" s="526">
        <v>823533</v>
      </c>
      <c r="F18" s="526"/>
      <c r="G18" s="1243">
        <f>+C18-E18+F18</f>
        <v>0</v>
      </c>
      <c r="I18"/>
      <c r="J18"/>
      <c r="K18"/>
      <c r="L18"/>
      <c r="M18"/>
      <c r="N18"/>
      <c r="O18"/>
      <c r="P18"/>
      <c r="Q18"/>
      <c r="R18"/>
      <c r="S18"/>
      <c r="T18"/>
      <c r="U18"/>
      <c r="V18"/>
      <c r="W18"/>
      <c r="X18"/>
    </row>
    <row r="19" spans="1:24" s="1633" customFormat="1">
      <c r="A19" s="2087">
        <v>6</v>
      </c>
      <c r="B19" s="536"/>
      <c r="C19" s="526"/>
      <c r="D19" s="536"/>
      <c r="E19" s="526"/>
      <c r="F19" s="526"/>
      <c r="G19" s="1243"/>
      <c r="I19"/>
      <c r="J19"/>
      <c r="K19"/>
      <c r="L19"/>
      <c r="M19"/>
      <c r="N19"/>
      <c r="O19"/>
      <c r="P19"/>
      <c r="Q19"/>
      <c r="R19"/>
      <c r="S19"/>
      <c r="T19"/>
      <c r="U19"/>
      <c r="V19"/>
      <c r="W19"/>
      <c r="X19"/>
    </row>
    <row r="20" spans="1:24" s="1633" customFormat="1">
      <c r="A20" s="2087">
        <v>7</v>
      </c>
      <c r="B20" s="536" t="s">
        <v>3290</v>
      </c>
      <c r="C20" s="526">
        <v>1173954</v>
      </c>
      <c r="D20" s="536"/>
      <c r="E20" s="526">
        <f>8857271+650022</f>
        <v>9507293</v>
      </c>
      <c r="F20" s="526">
        <v>7856168</v>
      </c>
      <c r="G20" s="1243">
        <f>+C20-E20+F20</f>
        <v>-477171</v>
      </c>
      <c r="I20"/>
      <c r="J20"/>
      <c r="K20"/>
      <c r="L20"/>
      <c r="M20"/>
      <c r="N20"/>
      <c r="O20"/>
      <c r="P20"/>
      <c r="Q20"/>
      <c r="R20"/>
      <c r="S20"/>
      <c r="T20"/>
      <c r="U20"/>
      <c r="V20"/>
      <c r="W20"/>
      <c r="X20"/>
    </row>
    <row r="21" spans="1:24" s="1633" customFormat="1">
      <c r="A21" s="2087">
        <v>8</v>
      </c>
      <c r="B21" s="536"/>
      <c r="C21" s="526"/>
      <c r="D21" s="536"/>
      <c r="E21" s="526"/>
      <c r="F21" s="526"/>
      <c r="G21" s="1243"/>
      <c r="I21"/>
      <c r="J21"/>
      <c r="K21"/>
      <c r="L21"/>
      <c r="M21"/>
      <c r="N21"/>
      <c r="O21"/>
      <c r="P21"/>
      <c r="Q21"/>
      <c r="R21"/>
      <c r="S21"/>
      <c r="T21"/>
      <c r="U21"/>
      <c r="V21"/>
      <c r="W21"/>
      <c r="X21"/>
    </row>
    <row r="22" spans="1:24" s="1633" customFormat="1">
      <c r="A22" s="2087">
        <v>9</v>
      </c>
      <c r="B22" s="536" t="s">
        <v>2755</v>
      </c>
      <c r="C22" s="526">
        <v>-764943</v>
      </c>
      <c r="D22" s="536"/>
      <c r="E22" s="526">
        <v>637404</v>
      </c>
      <c r="F22" s="526">
        <v>637404</v>
      </c>
      <c r="G22" s="1243">
        <f>+C22-E22+F22</f>
        <v>-764943</v>
      </c>
      <c r="I22"/>
      <c r="J22"/>
      <c r="K22"/>
      <c r="L22"/>
      <c r="M22"/>
      <c r="N22"/>
      <c r="O22"/>
      <c r="P22"/>
      <c r="Q22"/>
      <c r="R22"/>
      <c r="S22"/>
      <c r="T22"/>
      <c r="U22"/>
      <c r="V22"/>
      <c r="W22"/>
      <c r="X22"/>
    </row>
    <row r="23" spans="1:24" s="1633" customFormat="1">
      <c r="A23" s="2087">
        <v>10</v>
      </c>
      <c r="B23" s="536"/>
      <c r="C23" s="526"/>
      <c r="D23" s="536"/>
      <c r="E23" s="526"/>
      <c r="F23" s="526"/>
      <c r="G23" s="1243"/>
      <c r="I23"/>
      <c r="J23"/>
      <c r="K23"/>
      <c r="L23"/>
      <c r="M23"/>
      <c r="N23"/>
      <c r="O23"/>
      <c r="P23"/>
      <c r="Q23"/>
      <c r="R23"/>
      <c r="S23"/>
      <c r="T23"/>
      <c r="U23"/>
      <c r="V23"/>
      <c r="W23"/>
      <c r="X23"/>
    </row>
    <row r="24" spans="1:24" s="1633" customFormat="1">
      <c r="A24" s="2087">
        <v>11</v>
      </c>
      <c r="B24" s="536" t="s">
        <v>3227</v>
      </c>
      <c r="C24" s="526">
        <v>-2360525</v>
      </c>
      <c r="D24" s="536"/>
      <c r="E24" s="526">
        <v>2561000</v>
      </c>
      <c r="F24" s="526">
        <f>1383475+1057572</f>
        <v>2441047</v>
      </c>
      <c r="G24" s="1243">
        <f>+C24-E24+F24</f>
        <v>-2480478</v>
      </c>
      <c r="I24"/>
      <c r="J24"/>
      <c r="K24"/>
      <c r="L24"/>
      <c r="M24"/>
      <c r="N24"/>
      <c r="O24"/>
      <c r="P24"/>
      <c r="Q24"/>
      <c r="R24"/>
      <c r="S24"/>
      <c r="T24"/>
      <c r="U24"/>
      <c r="V24"/>
      <c r="W24"/>
      <c r="X24"/>
    </row>
    <row r="25" spans="1:24" s="1633" customFormat="1">
      <c r="A25" s="2087">
        <v>12</v>
      </c>
      <c r="B25" s="536"/>
      <c r="C25" s="526"/>
      <c r="D25" s="536"/>
      <c r="E25" s="526"/>
      <c r="F25" s="526"/>
      <c r="G25" s="1243"/>
      <c r="I25"/>
      <c r="J25"/>
      <c r="K25"/>
      <c r="L25"/>
      <c r="M25"/>
      <c r="N25"/>
      <c r="O25"/>
      <c r="P25"/>
      <c r="Q25"/>
      <c r="R25"/>
      <c r="S25"/>
      <c r="T25"/>
      <c r="U25"/>
      <c r="V25"/>
      <c r="W25"/>
      <c r="X25"/>
    </row>
    <row r="26" spans="1:24" s="1633" customFormat="1">
      <c r="A26" s="2087">
        <v>13</v>
      </c>
      <c r="B26" s="536" t="s">
        <v>3994</v>
      </c>
      <c r="C26" s="526">
        <v>235372</v>
      </c>
      <c r="D26" s="536"/>
      <c r="E26" s="526">
        <v>0</v>
      </c>
      <c r="F26" s="526">
        <v>41988</v>
      </c>
      <c r="G26" s="1243">
        <f>+C26-E26+F26</f>
        <v>277360</v>
      </c>
      <c r="I26"/>
      <c r="J26"/>
      <c r="K26"/>
      <c r="L26"/>
      <c r="M26"/>
      <c r="N26"/>
      <c r="O26"/>
      <c r="P26"/>
      <c r="Q26"/>
      <c r="R26"/>
      <c r="S26"/>
      <c r="T26"/>
      <c r="U26"/>
      <c r="V26"/>
      <c r="W26"/>
      <c r="X26"/>
    </row>
    <row r="27" spans="1:24" s="1633" customFormat="1">
      <c r="A27" s="2087">
        <v>14</v>
      </c>
      <c r="B27" s="536"/>
      <c r="C27" s="526"/>
      <c r="D27" s="536"/>
      <c r="E27" s="526"/>
      <c r="F27" s="526"/>
      <c r="G27" s="1243"/>
      <c r="I27"/>
      <c r="J27"/>
      <c r="K27"/>
      <c r="L27"/>
      <c r="M27"/>
      <c r="N27"/>
      <c r="O27"/>
      <c r="P27"/>
      <c r="Q27"/>
      <c r="R27"/>
      <c r="S27"/>
      <c r="T27"/>
      <c r="U27"/>
      <c r="V27"/>
      <c r="W27"/>
      <c r="X27"/>
    </row>
    <row r="28" spans="1:24">
      <c r="A28" s="547">
        <v>19</v>
      </c>
      <c r="B28" s="536" t="s">
        <v>4078</v>
      </c>
      <c r="C28" s="526">
        <v>29431</v>
      </c>
      <c r="D28" s="536"/>
      <c r="E28" s="526">
        <v>0</v>
      </c>
      <c r="F28" s="526">
        <v>0</v>
      </c>
      <c r="G28" s="1243">
        <f>+C28-E28+F28</f>
        <v>29431</v>
      </c>
      <c r="H28" s="1633"/>
      <c r="I28"/>
      <c r="J28"/>
      <c r="K28"/>
    </row>
    <row r="29" spans="1:24">
      <c r="A29" s="547">
        <v>20</v>
      </c>
      <c r="B29" s="536"/>
      <c r="C29" s="526"/>
      <c r="D29" s="536"/>
      <c r="E29" s="526"/>
      <c r="F29" s="526"/>
      <c r="G29" s="1243"/>
      <c r="I29"/>
      <c r="J29"/>
      <c r="K29"/>
    </row>
    <row r="30" spans="1:24">
      <c r="A30" s="547">
        <v>21</v>
      </c>
      <c r="B30" s="536" t="s">
        <v>2533</v>
      </c>
      <c r="C30" s="526">
        <v>5002</v>
      </c>
      <c r="D30" s="536"/>
      <c r="E30" s="526">
        <v>2085</v>
      </c>
      <c r="F30" s="526">
        <v>2580</v>
      </c>
      <c r="G30" s="1243">
        <f>+C30-E30+F30</f>
        <v>5497</v>
      </c>
      <c r="H30" s="1633"/>
      <c r="I30"/>
      <c r="J30"/>
      <c r="K30"/>
    </row>
    <row r="31" spans="1:24">
      <c r="A31" s="547">
        <v>22</v>
      </c>
      <c r="B31" s="536"/>
      <c r="C31" s="526"/>
      <c r="D31" s="536"/>
      <c r="E31" s="526"/>
      <c r="F31" s="526"/>
      <c r="G31" s="1243"/>
      <c r="I31"/>
      <c r="J31"/>
      <c r="K31"/>
    </row>
    <row r="32" spans="1:24" s="1633" customFormat="1">
      <c r="A32" s="2087">
        <v>25</v>
      </c>
      <c r="B32" s="536" t="s">
        <v>777</v>
      </c>
      <c r="C32" s="526">
        <v>-36</v>
      </c>
      <c r="D32" s="536"/>
      <c r="E32" s="526">
        <v>5490061</v>
      </c>
      <c r="F32" s="526">
        <f>993991+188086-20</f>
        <v>1182057</v>
      </c>
      <c r="G32" s="1243">
        <f>+C32-E32+F32</f>
        <v>-4308040</v>
      </c>
      <c r="I32"/>
      <c r="J32"/>
      <c r="K32"/>
      <c r="L32"/>
      <c r="M32"/>
      <c r="N32"/>
      <c r="O32"/>
      <c r="P32"/>
      <c r="Q32"/>
      <c r="R32"/>
      <c r="S32"/>
      <c r="T32"/>
      <c r="U32"/>
      <c r="V32"/>
      <c r="W32"/>
      <c r="X32"/>
    </row>
    <row r="33" spans="1:24" s="1633" customFormat="1">
      <c r="A33" s="2087">
        <v>26</v>
      </c>
      <c r="B33" s="1790"/>
      <c r="C33" s="1065"/>
      <c r="D33" s="1790"/>
      <c r="E33" s="1065"/>
      <c r="F33" s="1065"/>
      <c r="G33" s="1243"/>
      <c r="I33"/>
      <c r="J33"/>
      <c r="K33"/>
      <c r="L33"/>
      <c r="M33"/>
      <c r="N33"/>
      <c r="O33"/>
      <c r="P33"/>
      <c r="Q33"/>
      <c r="R33"/>
      <c r="S33"/>
      <c r="T33"/>
      <c r="U33"/>
      <c r="V33"/>
      <c r="W33"/>
      <c r="X33"/>
    </row>
    <row r="34" spans="1:24" s="1633" customFormat="1">
      <c r="A34" s="2087">
        <v>27</v>
      </c>
      <c r="B34" s="1790" t="s">
        <v>4897</v>
      </c>
      <c r="C34" s="1065">
        <v>383117</v>
      </c>
      <c r="D34" s="1790"/>
      <c r="E34" s="1065">
        <f>16641+1</f>
        <v>16642</v>
      </c>
      <c r="F34" s="1065">
        <v>0</v>
      </c>
      <c r="G34" s="1243">
        <f>+C34-E34+F34</f>
        <v>366475</v>
      </c>
      <c r="I34"/>
      <c r="J34"/>
      <c r="K34"/>
      <c r="L34"/>
      <c r="M34"/>
      <c r="N34"/>
      <c r="O34"/>
      <c r="P34"/>
      <c r="Q34"/>
      <c r="R34"/>
      <c r="S34"/>
      <c r="T34"/>
      <c r="U34"/>
      <c r="V34"/>
      <c r="W34"/>
      <c r="X34"/>
    </row>
    <row r="35" spans="1:24" s="1633" customFormat="1" ht="15.75">
      <c r="A35" s="2087">
        <v>28</v>
      </c>
      <c r="B35" s="1790"/>
      <c r="C35" s="1065"/>
      <c r="D35" s="1790"/>
      <c r="E35" s="1065"/>
      <c r="F35" s="1065"/>
      <c r="G35" s="1243"/>
      <c r="I35" s="2716"/>
      <c r="K35" s="2090"/>
      <c r="L35" s="2091"/>
      <c r="M35" s="1675"/>
    </row>
    <row r="36" spans="1:24" s="1633" customFormat="1">
      <c r="A36" s="2087">
        <v>29</v>
      </c>
      <c r="B36" s="1790" t="s">
        <v>5174</v>
      </c>
      <c r="C36" s="1065">
        <v>0</v>
      </c>
      <c r="D36" s="1790"/>
      <c r="E36" s="1065">
        <f>103749+869297</f>
        <v>973046</v>
      </c>
      <c r="F36" s="1065">
        <v>4124711</v>
      </c>
      <c r="G36" s="1243">
        <f>+C36-E36+F36</f>
        <v>3151665</v>
      </c>
      <c r="I36" s="2088"/>
      <c r="J36" s="2089"/>
      <c r="K36" s="2064"/>
    </row>
    <row r="37" spans="1:24" s="1633" customFormat="1">
      <c r="A37" s="2087">
        <v>30</v>
      </c>
      <c r="B37" s="1790"/>
      <c r="C37" s="1065"/>
      <c r="D37" s="1790"/>
      <c r="E37" s="1065"/>
      <c r="F37" s="1065"/>
      <c r="G37" s="1243"/>
      <c r="I37" s="2088"/>
      <c r="J37" s="2089"/>
      <c r="K37" s="2064"/>
    </row>
    <row r="38" spans="1:24" s="1633" customFormat="1">
      <c r="A38" s="2087">
        <v>31</v>
      </c>
      <c r="B38" s="1790" t="s">
        <v>5175</v>
      </c>
      <c r="C38" s="1065">
        <v>0</v>
      </c>
      <c r="D38" s="1790"/>
      <c r="E38" s="1065">
        <f>7287068</f>
        <v>7287068</v>
      </c>
      <c r="F38" s="1065">
        <f>8741969+13338</f>
        <v>8755307</v>
      </c>
      <c r="G38" s="1243">
        <f>+C38-E38+F38</f>
        <v>1468239</v>
      </c>
      <c r="I38" s="2088"/>
      <c r="J38" s="2089"/>
      <c r="K38" s="2064"/>
    </row>
    <row r="39" spans="1:24" s="1633" customFormat="1">
      <c r="A39" s="2087">
        <v>32</v>
      </c>
      <c r="B39" s="1790"/>
      <c r="C39" s="1065"/>
      <c r="D39" s="1790"/>
      <c r="E39" s="1065"/>
      <c r="F39" s="1065"/>
      <c r="G39" s="1243"/>
      <c r="I39" s="2716"/>
      <c r="K39" s="2064"/>
    </row>
    <row r="40" spans="1:24" s="1633" customFormat="1">
      <c r="A40" s="2087">
        <v>33</v>
      </c>
      <c r="B40" s="1790"/>
      <c r="C40" s="1065"/>
      <c r="D40" s="1790"/>
      <c r="E40" s="1065"/>
      <c r="F40" s="1065"/>
      <c r="G40" s="1243"/>
      <c r="I40" s="2088"/>
      <c r="J40" s="2089"/>
      <c r="K40" s="2064"/>
    </row>
    <row r="41" spans="1:24" s="1633" customFormat="1">
      <c r="A41" s="2087">
        <v>34</v>
      </c>
      <c r="B41" s="1790"/>
      <c r="C41" s="1065"/>
      <c r="D41" s="1790"/>
      <c r="E41" s="1065"/>
      <c r="F41" s="1065"/>
      <c r="G41" s="1243"/>
      <c r="I41" s="2716"/>
      <c r="K41" s="2064"/>
    </row>
    <row r="42" spans="1:24" s="1633" customFormat="1">
      <c r="A42" s="2087">
        <v>35</v>
      </c>
      <c r="B42" s="1790"/>
      <c r="C42" s="1065"/>
      <c r="D42" s="1790"/>
      <c r="E42" s="1065"/>
      <c r="F42" s="1065"/>
      <c r="G42" s="1243"/>
      <c r="I42" s="2088"/>
      <c r="J42" s="2089"/>
      <c r="K42" s="2064"/>
    </row>
    <row r="43" spans="1:24" s="1633" customFormat="1">
      <c r="A43" s="2087">
        <v>36</v>
      </c>
      <c r="B43" s="1790"/>
      <c r="C43" s="1065"/>
      <c r="D43" s="1790"/>
      <c r="E43" s="1065"/>
      <c r="F43" s="1065"/>
      <c r="G43" s="1243"/>
      <c r="I43" s="2716"/>
      <c r="K43" s="2064"/>
    </row>
    <row r="44" spans="1:24" s="1633" customFormat="1">
      <c r="A44" s="2087">
        <v>37</v>
      </c>
      <c r="B44" s="1790"/>
      <c r="C44" s="1065"/>
      <c r="D44" s="1790"/>
      <c r="E44" s="1065"/>
      <c r="F44" s="1065"/>
      <c r="G44" s="1243"/>
      <c r="I44" s="2088"/>
      <c r="J44" s="2089"/>
      <c r="K44" s="2064"/>
    </row>
    <row r="45" spans="1:24" s="1633" customFormat="1">
      <c r="A45" s="2087">
        <v>38</v>
      </c>
      <c r="B45" s="1790"/>
      <c r="C45" s="1065"/>
      <c r="D45" s="1790"/>
      <c r="E45" s="1065"/>
      <c r="F45" s="1065"/>
      <c r="G45" s="1243"/>
      <c r="I45" s="2716"/>
      <c r="K45" s="2064"/>
    </row>
    <row r="46" spans="1:24" s="1633" customFormat="1">
      <c r="A46" s="2087">
        <v>39</v>
      </c>
      <c r="B46" s="1790"/>
      <c r="C46" s="1065"/>
      <c r="D46" s="1790"/>
      <c r="E46" s="1065"/>
      <c r="F46" s="1065"/>
      <c r="G46" s="1243"/>
      <c r="I46" s="2088"/>
      <c r="J46" s="2089"/>
      <c r="K46" s="2064"/>
    </row>
    <row r="47" spans="1:24" s="1633" customFormat="1">
      <c r="A47" s="2087">
        <v>40</v>
      </c>
      <c r="B47" s="1790"/>
      <c r="C47" s="1065"/>
      <c r="D47" s="1790"/>
      <c r="E47" s="1065"/>
      <c r="F47" s="1065"/>
      <c r="G47" s="1243"/>
      <c r="I47" s="2716"/>
      <c r="K47" s="2064"/>
    </row>
    <row r="48" spans="1:24" s="1633" customFormat="1">
      <c r="A48" s="2087">
        <v>41</v>
      </c>
      <c r="B48" s="1790"/>
      <c r="C48" s="1065"/>
      <c r="D48" s="1790"/>
      <c r="E48" s="1065"/>
      <c r="F48" s="1065"/>
      <c r="G48" s="1243"/>
      <c r="I48" s="2088"/>
      <c r="J48" s="2089"/>
      <c r="K48" s="2064"/>
    </row>
    <row r="49" spans="1:13" s="1633" customFormat="1">
      <c r="A49" s="2087">
        <v>42</v>
      </c>
      <c r="B49" s="1790"/>
      <c r="C49" s="1065"/>
      <c r="D49" s="1790"/>
      <c r="E49" s="1065"/>
      <c r="F49" s="1065"/>
      <c r="G49" s="1243"/>
      <c r="I49" s="2716"/>
      <c r="K49" s="2064"/>
    </row>
    <row r="50" spans="1:13" s="1633" customFormat="1">
      <c r="A50" s="2087">
        <v>43</v>
      </c>
      <c r="B50" s="1790"/>
      <c r="C50" s="1065"/>
      <c r="D50" s="1790"/>
      <c r="E50" s="1065"/>
      <c r="F50" s="1065"/>
      <c r="G50" s="1243"/>
      <c r="I50" s="2088"/>
      <c r="J50" s="2089"/>
      <c r="K50" s="2064"/>
    </row>
    <row r="51" spans="1:13" s="1633" customFormat="1">
      <c r="A51" s="2087">
        <v>44</v>
      </c>
      <c r="B51" s="1790"/>
      <c r="C51" s="1065"/>
      <c r="D51" s="1790"/>
      <c r="E51" s="1065"/>
      <c r="F51" s="1065"/>
      <c r="G51" s="1243"/>
      <c r="I51" s="2716"/>
      <c r="K51" s="2064"/>
    </row>
    <row r="52" spans="1:13">
      <c r="A52" s="547">
        <v>45</v>
      </c>
      <c r="B52" s="536"/>
      <c r="C52" s="526"/>
      <c r="D52" s="536"/>
      <c r="E52" s="526"/>
      <c r="F52" s="526"/>
      <c r="G52" s="1243"/>
    </row>
    <row r="53" spans="1:13" ht="15.75" thickBot="1">
      <c r="A53" s="547">
        <v>46</v>
      </c>
      <c r="B53" s="536"/>
      <c r="C53" s="526"/>
      <c r="D53" s="536"/>
      <c r="E53" s="526"/>
      <c r="F53" s="526"/>
      <c r="G53" s="683"/>
    </row>
    <row r="54" spans="1:13" ht="15.75" thickBot="1">
      <c r="A54" s="684">
        <v>47</v>
      </c>
      <c r="B54" s="543" t="s">
        <v>1135</v>
      </c>
      <c r="C54" s="528">
        <f>SUM(C14:C53)+I54</f>
        <v>6127328</v>
      </c>
      <c r="D54" s="685"/>
      <c r="E54" s="528">
        <f>SUM(E14:E53)</f>
        <v>37556513</v>
      </c>
      <c r="F54" s="528">
        <f>SUM(F14:F53)</f>
        <v>31212107</v>
      </c>
      <c r="G54" s="439">
        <f>SUM(G14:G53)+I54+L54</f>
        <v>-217078</v>
      </c>
      <c r="I54" s="2717"/>
      <c r="J54" s="2092" t="s">
        <v>2756</v>
      </c>
      <c r="L54" s="2065"/>
      <c r="M54" t="s">
        <v>2708</v>
      </c>
    </row>
    <row r="55" spans="1:13">
      <c r="A55" s="230"/>
      <c r="B55" s="230"/>
      <c r="C55" s="230"/>
      <c r="D55" s="230"/>
      <c r="E55" s="230"/>
      <c r="F55" s="230"/>
      <c r="G55" s="230" t="s">
        <v>4066</v>
      </c>
    </row>
    <row r="56" spans="1:13">
      <c r="A56" s="686" t="s">
        <v>1377</v>
      </c>
      <c r="B56" s="13"/>
      <c r="C56" s="13"/>
      <c r="D56" s="13"/>
      <c r="E56" s="13"/>
      <c r="F56" s="13"/>
      <c r="G56" s="13"/>
    </row>
    <row r="57" spans="1:13">
      <c r="A57" s="230"/>
      <c r="B57" s="230"/>
      <c r="C57" s="230"/>
      <c r="D57" s="230"/>
      <c r="E57" s="230"/>
      <c r="F57" s="230"/>
      <c r="G57" s="230"/>
    </row>
    <row r="58" spans="1:13">
      <c r="A58" s="230"/>
      <c r="B58" s="230"/>
      <c r="C58" s="230"/>
      <c r="D58" s="230"/>
      <c r="E58" s="230"/>
      <c r="F58" s="230"/>
      <c r="G58" s="230"/>
    </row>
    <row r="59" spans="1:13">
      <c r="A59" s="230"/>
      <c r="B59" s="230"/>
      <c r="C59" s="230"/>
      <c r="D59" s="230"/>
      <c r="E59" s="230"/>
      <c r="F59" s="230"/>
      <c r="G59" s="230"/>
    </row>
  </sheetData>
  <customSheetViews>
    <customSheetView guid="{1BA452AD-1A45-4D9C-9666-ADFFA6F2F567}" scale="75" colorId="22" showPageBreaks="1" fitToPage="1" printArea="1" view="pageBreakPreview" topLeftCell="A7">
      <selection activeCell="L59" sqref="L59"/>
      <pageMargins left="0.75" right="0.4" top="0.3" bottom="0.3" header="0.5" footer="0.5"/>
      <pageSetup scale="72" orientation="portrait" r:id="rId1"/>
      <headerFooter alignWithMargins="0"/>
    </customSheetView>
    <customSheetView guid="{EEF7ABD6-0F96-4791-B749-C06F707E7673}" scale="75" colorId="22" showRuler="0" topLeftCell="A15">
      <selection activeCell="M36" sqref="M36"/>
      <pageMargins left="0.75" right="0.4" top="0.3" bottom="0.3" header="0.5" footer="0.5"/>
      <pageSetup scale="66" orientation="portrait" r:id="rId2"/>
      <headerFooter alignWithMargins="0"/>
    </customSheetView>
    <customSheetView guid="{A7D7DB3C-AFE6-468E-8C6B-9531F6711497}" scale="75" colorId="22" showPageBreaks="1" printArea="1" view="pageBreakPreview" showRuler="0" topLeftCell="A13">
      <selection activeCell="I35" sqref="I35"/>
      <pageMargins left="0.75" right="0.4" top="0.3" bottom="0.3" header="0.5" footer="0.5"/>
      <pageSetup scale="66" orientation="portrait" r:id="rId3"/>
      <headerFooter alignWithMargins="0"/>
    </customSheetView>
    <customSheetView guid="{4436FEB5-BFEC-4348-9286-CB706802873E}" scale="75" colorId="22" showPageBreaks="1" printArea="1" view="pageBreakPreview" showRuler="0" topLeftCell="A13">
      <selection activeCell="I35" sqref="I35"/>
      <pageMargins left="0.75" right="0.4" top="0.3" bottom="0.3" header="0.5" footer="0.5"/>
      <pageSetup scale="66" orientation="portrait" r:id="rId4"/>
      <headerFooter alignWithMargins="0"/>
    </customSheetView>
    <customSheetView guid="{044CF00C-469F-44B3-B2C4-9B4049CE70CB}" scale="75" colorId="22" showRuler="0" topLeftCell="A10">
      <selection activeCell="J41" sqref="J41"/>
      <pageMargins left="0.75" right="0.4" top="0.3" bottom="0.3" header="0.5" footer="0.5"/>
      <pageSetup scale="66" orientation="portrait" r:id="rId5"/>
      <headerFooter alignWithMargins="0"/>
    </customSheetView>
    <customSheetView guid="{4826FCC0-BDD6-4B2C-ACC6-ACE271DDF0E3}" scale="75" colorId="22" showRuler="0" topLeftCell="A16">
      <selection activeCell="F41" sqref="F41"/>
      <pageMargins left="0.75" right="0.4" top="0.3" bottom="0.3" header="0.5" footer="0.5"/>
      <pageSetup scale="66" orientation="portrait" r:id="rId6"/>
      <headerFooter alignWithMargins="0"/>
    </customSheetView>
    <customSheetView guid="{EF376D10-23D6-4FE2-AB5B-4460D52CC93F}" scale="75" colorId="22" showRuler="0" topLeftCell="A10">
      <selection activeCell="L34" sqref="L34"/>
      <pageMargins left="0.75" right="0.4" top="0.3" bottom="0.3" header="0.5" footer="0.5"/>
      <pageSetup scale="66" orientation="portrait" r:id="rId7"/>
      <headerFooter alignWithMargins="0"/>
    </customSheetView>
    <customSheetView guid="{1C046605-15CE-44F1-BFCD-2CA8588E7ACF}" scale="75" colorId="22" fitToPage="1" showRuler="0">
      <selection activeCell="C48" sqref="C48"/>
      <pageMargins left="0.75" right="0.4" top="0.3" bottom="0.3" header="0.5" footer="0.5"/>
      <pageSetup scale="72" orientation="portrait" r:id="rId8"/>
      <headerFooter alignWithMargins="0"/>
    </customSheetView>
    <customSheetView guid="{3911D713-188C-46A1-A299-F21DD3B7A146}" scale="75" colorId="22" fitToPage="1" showRuler="0">
      <selection activeCell="C48" sqref="C48"/>
      <pageMargins left="0.75" right="0.4" top="0.3" bottom="0.3" header="0.5" footer="0.5"/>
      <pageSetup scale="72" orientation="portrait" r:id="rId9"/>
      <headerFooter alignWithMargins="0"/>
    </customSheetView>
    <customSheetView guid="{78BB1E60-60BE-4F56-9763-075185EFEFAB}" scale="75" colorId="22" showPageBreaks="1" fitToPage="1" printArea="1" view="pageBreakPreview">
      <selection activeCell="M27" sqref="M27"/>
      <pageMargins left="0.75" right="0.4" top="0.3" bottom="0.3" header="0.5" footer="0.5"/>
      <pageSetup scale="72" orientation="portrait" r:id="rId10"/>
      <headerFooter alignWithMargins="0"/>
    </customSheetView>
    <customSheetView guid="{9C30803E-1E2D-4850-B0A5-591CA6F246A1}" scale="75" colorId="22" showPageBreaks="1" fitToPage="1" printArea="1" view="pageBreakPreview">
      <selection activeCell="A28" sqref="A28:IV28"/>
      <pageMargins left="0.75" right="0.4" top="0.3" bottom="0.3" header="0.5" footer="0.5"/>
      <pageSetup scale="72" orientation="portrait" r:id="rId11"/>
      <headerFooter alignWithMargins="0"/>
    </customSheetView>
    <customSheetView guid="{3B1006FF-A2CA-49E7-9B25-DAC8815279AF}" scale="75" colorId="22" showPageBreaks="1" fitToPage="1" printArea="1" view="pageBreakPreview">
      <selection activeCell="A28" sqref="A28:IV28"/>
      <pageMargins left="0.75" right="0.4" top="0.3" bottom="0.3" header="0.5" footer="0.5"/>
      <pageSetup scale="72" orientation="portrait" r:id="rId12"/>
      <headerFooter alignWithMargins="0"/>
    </customSheetView>
    <customSheetView guid="{FB1A60C8-E1F9-4DF0-8E0E-1C965F86027F}" scale="75" colorId="22" showPageBreaks="1" fitToPage="1" printArea="1" view="pageBreakPreview">
      <selection activeCell="A28" sqref="A28:IV28"/>
      <pageMargins left="0.75" right="0.4" top="0.3" bottom="0.3" header="0.5" footer="0.5"/>
      <pageSetup scale="72" orientation="portrait" r:id="rId13"/>
      <headerFooter alignWithMargins="0"/>
    </customSheetView>
    <customSheetView guid="{C5B6D812-CBE6-46AA-99F7-02494E9802B4}" scale="70" colorId="22" showPageBreaks="1" fitToPage="1" printArea="1" view="pageBreakPreview" topLeftCell="A10">
      <selection activeCell="K15" sqref="K15"/>
      <pageMargins left="0.75" right="0.4" top="0.3" bottom="0.3" header="0.5" footer="0.5"/>
      <pageSetup scale="72" orientation="portrait" r:id="rId14"/>
      <headerFooter alignWithMargins="0"/>
    </customSheetView>
  </customSheetViews>
  <phoneticPr fontId="0" type="noConversion"/>
  <pageMargins left="0.75" right="0.4" top="0.3" bottom="0.3" header="0.5" footer="0.5"/>
  <pageSetup scale="72" orientation="portrait" r:id="rId15"/>
  <headerFooter alignWithMargins="0"/>
  <customProperties>
    <customPr name="_pios_id" r:id="rId16"/>
  </customProperties>
</worksheet>
</file>

<file path=xl/worksheets/sheet41.xml><?xml version="1.0" encoding="utf-8"?>
<worksheet xmlns="http://schemas.openxmlformats.org/spreadsheetml/2006/main" xmlns:r="http://schemas.openxmlformats.org/officeDocument/2006/relationships">
  <sheetPr transitionEvaluation="1" codeName="Sheet41" enableFormatConditionsCalculation="0"/>
  <dimension ref="A2:P74"/>
  <sheetViews>
    <sheetView defaultGridColor="0" colorId="22" zoomScale="70" zoomScaleNormal="70" workbookViewId="0"/>
  </sheetViews>
  <sheetFormatPr defaultColWidth="9.77734375" defaultRowHeight="15"/>
  <cols>
    <col min="1" max="1" width="4.77734375" customWidth="1"/>
    <col min="2" max="2" width="17.77734375" customWidth="1"/>
    <col min="3" max="3" width="15.77734375" customWidth="1"/>
    <col min="4" max="4" width="7.77734375" customWidth="1"/>
    <col min="5" max="5" width="15.77734375" customWidth="1"/>
    <col min="6" max="6" width="7.77734375" customWidth="1"/>
    <col min="7" max="7" width="15.77734375" customWidth="1"/>
    <col min="8" max="8" width="24" customWidth="1"/>
    <col min="9" max="9" width="1.21875" customWidth="1"/>
    <col min="10" max="11" width="18.77734375" customWidth="1"/>
    <col min="12" max="13" width="20.77734375" customWidth="1"/>
    <col min="14" max="14" width="28.77734375" customWidth="1"/>
    <col min="15" max="15" width="4.77734375" customWidth="1"/>
  </cols>
  <sheetData>
    <row r="2" spans="1:16" ht="15.75" thickBot="1">
      <c r="A2" s="186" t="str">
        <f>'Data sheet'!$A$53</f>
        <v>Annual Report of New York American Water Company, Inc. (f/k/a Long Island Water Corp)                                   Year Ended  December 31, 2013</v>
      </c>
      <c r="G2" s="1633"/>
      <c r="H2" s="1633"/>
      <c r="I2" s="1633"/>
      <c r="J2" s="186" t="str">
        <f>'Data sheet'!$A$53</f>
        <v>Annual Report of New York American Water Company, Inc. (f/k/a Long Island Water Corp)                                   Year Ended  December 31, 2013</v>
      </c>
    </row>
    <row r="3" spans="1:16">
      <c r="A3" s="142"/>
      <c r="B3" s="143"/>
      <c r="C3" s="143"/>
      <c r="D3" s="143"/>
      <c r="E3" s="143"/>
      <c r="F3" s="143"/>
      <c r="G3" s="143"/>
      <c r="H3" s="453"/>
      <c r="I3" s="1257"/>
      <c r="J3" s="142"/>
      <c r="K3" s="143"/>
      <c r="L3" s="143"/>
      <c r="M3" s="143"/>
      <c r="N3" s="143"/>
      <c r="O3" s="144"/>
    </row>
    <row r="4" spans="1:16" ht="15.75">
      <c r="A4" s="3040" t="s">
        <v>1688</v>
      </c>
      <c r="B4" s="3041"/>
      <c r="C4" s="3041"/>
      <c r="D4" s="3041"/>
      <c r="E4" s="3041"/>
      <c r="F4" s="3041"/>
      <c r="G4" s="3041"/>
      <c r="H4" s="3042"/>
      <c r="I4" s="2811"/>
      <c r="J4" s="130" t="s">
        <v>1839</v>
      </c>
      <c r="K4" s="128"/>
      <c r="L4" s="128"/>
      <c r="M4" s="128"/>
      <c r="N4" s="128"/>
      <c r="O4" s="145"/>
    </row>
    <row r="5" spans="1:16">
      <c r="A5" s="136"/>
      <c r="B5" s="11"/>
      <c r="C5" s="11"/>
      <c r="D5" s="11"/>
      <c r="E5" s="11"/>
      <c r="F5" s="11"/>
      <c r="G5" s="11"/>
      <c r="H5" s="338"/>
      <c r="I5" s="1084"/>
      <c r="J5" s="136"/>
      <c r="K5" s="11"/>
      <c r="L5" s="11"/>
      <c r="M5" s="11"/>
      <c r="N5" s="11"/>
      <c r="O5" s="338"/>
    </row>
    <row r="6" spans="1:16">
      <c r="A6" s="96"/>
      <c r="B6" s="101" t="s">
        <v>3569</v>
      </c>
      <c r="C6" s="101"/>
      <c r="D6" s="101"/>
      <c r="E6" s="101"/>
      <c r="F6" s="101"/>
      <c r="G6" s="101"/>
      <c r="H6" s="104"/>
      <c r="I6" s="847"/>
      <c r="J6" s="96"/>
      <c r="K6" s="101"/>
      <c r="L6" s="101"/>
      <c r="M6" s="101"/>
      <c r="N6" s="101"/>
      <c r="O6" s="104"/>
      <c r="P6" s="93"/>
    </row>
    <row r="7" spans="1:16">
      <c r="A7" s="96"/>
      <c r="B7" s="97" t="s">
        <v>3570</v>
      </c>
      <c r="C7" s="97"/>
      <c r="D7" s="97"/>
      <c r="E7" s="97"/>
      <c r="F7" s="97"/>
      <c r="G7" s="97"/>
      <c r="H7" s="98"/>
      <c r="I7" s="847"/>
      <c r="J7" s="96"/>
      <c r="K7" s="97"/>
      <c r="L7" s="97"/>
      <c r="M7" s="97"/>
      <c r="N7" s="97"/>
      <c r="O7" s="98"/>
    </row>
    <row r="8" spans="1:16">
      <c r="A8" s="96"/>
      <c r="B8" s="97" t="s">
        <v>141</v>
      </c>
      <c r="C8" s="97"/>
      <c r="D8" s="97"/>
      <c r="E8" s="97"/>
      <c r="F8" s="97"/>
      <c r="G8" s="97"/>
      <c r="H8" s="98"/>
      <c r="I8" s="847"/>
      <c r="J8" s="96"/>
      <c r="K8" s="97"/>
      <c r="L8" s="97"/>
      <c r="M8" s="97"/>
      <c r="N8" s="97"/>
      <c r="O8" s="98"/>
    </row>
    <row r="9" spans="1:16">
      <c r="A9" s="96"/>
      <c r="B9" s="97"/>
      <c r="C9" s="97"/>
      <c r="D9" s="97"/>
      <c r="E9" s="97"/>
      <c r="F9" s="97"/>
      <c r="G9" s="97"/>
      <c r="H9" s="98"/>
      <c r="I9" s="847"/>
      <c r="J9" s="108"/>
      <c r="K9" s="109"/>
      <c r="L9" s="109"/>
      <c r="M9" s="109"/>
      <c r="N9" s="109"/>
      <c r="O9" s="112"/>
    </row>
    <row r="10" spans="1:16">
      <c r="A10" s="409" t="s">
        <v>1129</v>
      </c>
      <c r="B10" s="103"/>
      <c r="C10" s="102"/>
      <c r="D10" s="688" t="s">
        <v>1134</v>
      </c>
      <c r="E10" s="688"/>
      <c r="F10" s="689" t="s">
        <v>142</v>
      </c>
      <c r="G10" s="688"/>
      <c r="H10" s="156"/>
      <c r="I10" s="847"/>
      <c r="J10" s="96"/>
      <c r="K10" s="160"/>
      <c r="L10" s="690"/>
      <c r="M10" s="146" t="s">
        <v>143</v>
      </c>
      <c r="N10" s="109"/>
      <c r="O10" s="410" t="s">
        <v>1129</v>
      </c>
    </row>
    <row r="11" spans="1:16">
      <c r="A11" s="121" t="s">
        <v>3324</v>
      </c>
      <c r="B11" s="107"/>
      <c r="C11" s="476" t="s">
        <v>1062</v>
      </c>
      <c r="D11" s="146" t="s">
        <v>3991</v>
      </c>
      <c r="E11" s="146"/>
      <c r="F11" s="412" t="s">
        <v>903</v>
      </c>
      <c r="G11" s="146"/>
      <c r="H11" s="148"/>
      <c r="I11" s="847"/>
      <c r="J11" s="121" t="s">
        <v>1062</v>
      </c>
      <c r="K11" s="666" t="s">
        <v>904</v>
      </c>
      <c r="L11" s="160"/>
      <c r="M11" s="97"/>
      <c r="N11" s="97"/>
      <c r="O11" s="410" t="s">
        <v>3324</v>
      </c>
    </row>
    <row r="12" spans="1:16">
      <c r="A12" s="121"/>
      <c r="B12" s="120" t="s">
        <v>1139</v>
      </c>
      <c r="C12" s="476" t="s">
        <v>1938</v>
      </c>
      <c r="D12" s="128" t="s">
        <v>1139</v>
      </c>
      <c r="E12" s="107"/>
      <c r="F12" s="128" t="s">
        <v>1139</v>
      </c>
      <c r="G12" s="160"/>
      <c r="H12" s="148"/>
      <c r="I12" s="847"/>
      <c r="J12" s="121" t="s">
        <v>1031</v>
      </c>
      <c r="K12" s="666" t="s">
        <v>905</v>
      </c>
      <c r="L12" s="160"/>
      <c r="M12" s="97"/>
      <c r="N12" s="97"/>
      <c r="O12" s="410"/>
    </row>
    <row r="13" spans="1:16">
      <c r="A13" s="121"/>
      <c r="B13" s="120" t="s">
        <v>906</v>
      </c>
      <c r="C13" s="476" t="s">
        <v>1940</v>
      </c>
      <c r="D13" s="105" t="s">
        <v>3324</v>
      </c>
      <c r="E13" s="120" t="s">
        <v>430</v>
      </c>
      <c r="F13" s="105" t="s">
        <v>3324</v>
      </c>
      <c r="G13" s="666" t="s">
        <v>430</v>
      </c>
      <c r="H13" s="410" t="s">
        <v>560</v>
      </c>
      <c r="I13" s="1852"/>
      <c r="J13" s="121" t="s">
        <v>2268</v>
      </c>
      <c r="K13" s="666" t="s">
        <v>907</v>
      </c>
      <c r="L13" s="160"/>
      <c r="M13" s="97"/>
      <c r="N13" s="97"/>
      <c r="O13" s="410"/>
    </row>
    <row r="14" spans="1:16">
      <c r="A14" s="411"/>
      <c r="B14" s="800" t="s">
        <v>4032</v>
      </c>
      <c r="C14" s="816" t="s">
        <v>4033</v>
      </c>
      <c r="D14" s="799" t="s">
        <v>4034</v>
      </c>
      <c r="E14" s="800" t="s">
        <v>4035</v>
      </c>
      <c r="F14" s="799" t="s">
        <v>2277</v>
      </c>
      <c r="G14" s="667" t="s">
        <v>2278</v>
      </c>
      <c r="H14" s="414" t="s">
        <v>2279</v>
      </c>
      <c r="I14" s="799"/>
      <c r="J14" s="411" t="s">
        <v>2280</v>
      </c>
      <c r="K14" s="667" t="s">
        <v>2281</v>
      </c>
      <c r="L14" s="412"/>
      <c r="M14" s="146"/>
      <c r="N14" s="146"/>
      <c r="O14" s="414"/>
    </row>
    <row r="15" spans="1:16">
      <c r="A15" s="121">
        <v>1</v>
      </c>
      <c r="B15" s="120" t="s">
        <v>1136</v>
      </c>
      <c r="C15" s="691"/>
      <c r="D15" s="692"/>
      <c r="E15" s="693"/>
      <c r="F15" s="692"/>
      <c r="G15" s="694"/>
      <c r="H15" s="695"/>
      <c r="I15" s="1974"/>
      <c r="J15" s="696"/>
      <c r="K15" s="697"/>
      <c r="L15" s="698"/>
      <c r="M15" s="699"/>
      <c r="N15" s="699"/>
      <c r="O15" s="410">
        <v>1</v>
      </c>
    </row>
    <row r="16" spans="1:16">
      <c r="A16" s="121">
        <v>2</v>
      </c>
      <c r="B16" s="107"/>
      <c r="C16" s="2035">
        <v>238822</v>
      </c>
      <c r="D16" s="97"/>
      <c r="E16" s="598"/>
      <c r="F16" s="105">
        <v>412</v>
      </c>
      <c r="G16" s="2042">
        <v>15000</v>
      </c>
      <c r="H16" s="478"/>
      <c r="I16" s="1968"/>
      <c r="J16" s="470">
        <f t="shared" ref="J16:J33" si="0">C16+E16-G16+H16</f>
        <v>223822</v>
      </c>
      <c r="K16" s="160"/>
      <c r="L16" s="698"/>
      <c r="M16" s="699"/>
      <c r="N16" s="699"/>
      <c r="O16" s="410">
        <v>2</v>
      </c>
    </row>
    <row r="17" spans="1:15">
      <c r="A17" s="121">
        <v>3</v>
      </c>
      <c r="B17" s="107"/>
      <c r="C17" s="620"/>
      <c r="D17" s="97"/>
      <c r="E17" s="557"/>
      <c r="F17" s="97"/>
      <c r="G17" s="1065"/>
      <c r="H17" s="700"/>
      <c r="I17" s="1975"/>
      <c r="J17" s="163">
        <f t="shared" si="0"/>
        <v>0</v>
      </c>
      <c r="K17" s="160"/>
      <c r="L17" s="698"/>
      <c r="M17" s="699"/>
      <c r="N17" s="699"/>
      <c r="O17" s="410">
        <v>3</v>
      </c>
    </row>
    <row r="18" spans="1:15">
      <c r="A18" s="121">
        <v>4</v>
      </c>
      <c r="B18" s="107"/>
      <c r="C18" s="620"/>
      <c r="D18" s="97"/>
      <c r="E18" s="557"/>
      <c r="F18" s="97"/>
      <c r="G18" s="526"/>
      <c r="H18" s="700"/>
      <c r="I18" s="1975"/>
      <c r="J18" s="163">
        <f t="shared" si="0"/>
        <v>0</v>
      </c>
      <c r="K18" s="160"/>
      <c r="L18" s="698"/>
      <c r="M18" s="699"/>
      <c r="N18" s="699"/>
      <c r="O18" s="410">
        <v>4</v>
      </c>
    </row>
    <row r="19" spans="1:15">
      <c r="A19" s="121">
        <v>5</v>
      </c>
      <c r="B19" s="107"/>
      <c r="C19" s="620"/>
      <c r="D19" s="97"/>
      <c r="E19" s="557"/>
      <c r="F19" s="97"/>
      <c r="G19" s="526"/>
      <c r="H19" s="700"/>
      <c r="I19" s="1975"/>
      <c r="J19" s="163">
        <f t="shared" si="0"/>
        <v>0</v>
      </c>
      <c r="K19" s="160"/>
      <c r="L19" s="698"/>
      <c r="M19" s="699"/>
      <c r="N19" s="699"/>
      <c r="O19" s="410">
        <v>5</v>
      </c>
    </row>
    <row r="20" spans="1:15">
      <c r="A20" s="121">
        <v>6</v>
      </c>
      <c r="B20" s="107"/>
      <c r="C20" s="620"/>
      <c r="D20" s="97"/>
      <c r="E20" s="557"/>
      <c r="F20" s="97"/>
      <c r="G20" s="526"/>
      <c r="H20" s="700"/>
      <c r="I20" s="1975"/>
      <c r="J20" s="163">
        <f t="shared" si="0"/>
        <v>0</v>
      </c>
      <c r="K20" s="160"/>
      <c r="L20" s="698"/>
      <c r="M20" s="699"/>
      <c r="N20" s="699"/>
      <c r="O20" s="410">
        <v>6</v>
      </c>
    </row>
    <row r="21" spans="1:15">
      <c r="A21" s="121">
        <v>7</v>
      </c>
      <c r="B21" s="107"/>
      <c r="C21" s="620"/>
      <c r="D21" s="97"/>
      <c r="E21" s="557"/>
      <c r="F21" s="97"/>
      <c r="G21" s="526"/>
      <c r="H21" s="700"/>
      <c r="I21" s="1975"/>
      <c r="J21" s="163">
        <f t="shared" si="0"/>
        <v>0</v>
      </c>
      <c r="K21" s="160"/>
      <c r="L21" s="698"/>
      <c r="M21" s="699"/>
      <c r="N21" s="699"/>
      <c r="O21" s="410">
        <v>7</v>
      </c>
    </row>
    <row r="22" spans="1:15">
      <c r="A22" s="121">
        <v>8</v>
      </c>
      <c r="B22" s="107"/>
      <c r="C22" s="620"/>
      <c r="D22" s="97"/>
      <c r="E22" s="557"/>
      <c r="F22" s="97"/>
      <c r="G22" s="526"/>
      <c r="H22" s="700"/>
      <c r="I22" s="1975"/>
      <c r="J22" s="163">
        <f t="shared" si="0"/>
        <v>0</v>
      </c>
      <c r="K22" s="160"/>
      <c r="L22" s="698"/>
      <c r="M22" s="699"/>
      <c r="N22" s="699"/>
      <c r="O22" s="410">
        <v>8</v>
      </c>
    </row>
    <row r="23" spans="1:15">
      <c r="A23" s="121">
        <v>9</v>
      </c>
      <c r="B23" s="107"/>
      <c r="C23" s="620"/>
      <c r="D23" s="97"/>
      <c r="E23" s="557"/>
      <c r="F23" s="97"/>
      <c r="G23" s="526"/>
      <c r="H23" s="700"/>
      <c r="I23" s="1975"/>
      <c r="J23" s="163">
        <f t="shared" si="0"/>
        <v>0</v>
      </c>
      <c r="K23" s="160"/>
      <c r="L23" s="698"/>
      <c r="M23" s="699"/>
      <c r="N23" s="699"/>
      <c r="O23" s="410">
        <v>9</v>
      </c>
    </row>
    <row r="24" spans="1:15">
      <c r="A24" s="121">
        <v>10</v>
      </c>
      <c r="B24" s="107"/>
      <c r="C24" s="620"/>
      <c r="D24" s="97"/>
      <c r="E24" s="557"/>
      <c r="F24" s="97"/>
      <c r="G24" s="526"/>
      <c r="H24" s="700"/>
      <c r="I24" s="1975"/>
      <c r="J24" s="163">
        <f t="shared" si="0"/>
        <v>0</v>
      </c>
      <c r="K24" s="160"/>
      <c r="L24" s="698"/>
      <c r="M24" s="699"/>
      <c r="N24" s="699"/>
      <c r="O24" s="410">
        <v>10</v>
      </c>
    </row>
    <row r="25" spans="1:15">
      <c r="A25" s="121">
        <v>11</v>
      </c>
      <c r="B25" s="107"/>
      <c r="C25" s="620"/>
      <c r="D25" s="97"/>
      <c r="E25" s="557"/>
      <c r="F25" s="97"/>
      <c r="G25" s="526"/>
      <c r="H25" s="700"/>
      <c r="I25" s="1975"/>
      <c r="J25" s="163">
        <f t="shared" si="0"/>
        <v>0</v>
      </c>
      <c r="K25" s="160"/>
      <c r="L25" s="698"/>
      <c r="M25" s="699"/>
      <c r="N25" s="699"/>
      <c r="O25" s="410">
        <v>11</v>
      </c>
    </row>
    <row r="26" spans="1:15">
      <c r="A26" s="121">
        <v>12</v>
      </c>
      <c r="B26" s="107"/>
      <c r="C26" s="620"/>
      <c r="D26" s="97"/>
      <c r="E26" s="557"/>
      <c r="F26" s="97"/>
      <c r="G26" s="526"/>
      <c r="H26" s="700"/>
      <c r="I26" s="1975"/>
      <c r="J26" s="163">
        <f t="shared" si="0"/>
        <v>0</v>
      </c>
      <c r="K26" s="160"/>
      <c r="L26" s="698"/>
      <c r="M26" s="699"/>
      <c r="N26" s="699"/>
      <c r="O26" s="410">
        <v>12</v>
      </c>
    </row>
    <row r="27" spans="1:15">
      <c r="A27" s="121">
        <v>13</v>
      </c>
      <c r="B27" s="107"/>
      <c r="C27" s="620"/>
      <c r="D27" s="97"/>
      <c r="E27" s="557"/>
      <c r="F27" s="97"/>
      <c r="G27" s="526"/>
      <c r="H27" s="700"/>
      <c r="I27" s="1975"/>
      <c r="J27" s="163">
        <f t="shared" si="0"/>
        <v>0</v>
      </c>
      <c r="K27" s="160"/>
      <c r="L27" s="698"/>
      <c r="M27" s="699"/>
      <c r="N27" s="699"/>
      <c r="O27" s="410">
        <v>13</v>
      </c>
    </row>
    <row r="28" spans="1:15">
      <c r="A28" s="121">
        <v>14</v>
      </c>
      <c r="B28" s="107"/>
      <c r="C28" s="620"/>
      <c r="D28" s="97"/>
      <c r="E28" s="557"/>
      <c r="F28" s="97"/>
      <c r="G28" s="526"/>
      <c r="H28" s="700"/>
      <c r="I28" s="1975"/>
      <c r="J28" s="163">
        <f t="shared" si="0"/>
        <v>0</v>
      </c>
      <c r="K28" s="160"/>
      <c r="L28" s="698"/>
      <c r="M28" s="699"/>
      <c r="N28" s="699"/>
      <c r="O28" s="410">
        <v>14</v>
      </c>
    </row>
    <row r="29" spans="1:15">
      <c r="A29" s="121">
        <v>15</v>
      </c>
      <c r="B29" s="701"/>
      <c r="C29" s="620"/>
      <c r="D29" s="441"/>
      <c r="E29" s="557"/>
      <c r="F29" s="441"/>
      <c r="G29" s="526"/>
      <c r="H29" s="700"/>
      <c r="I29" s="1975"/>
      <c r="J29" s="163">
        <f t="shared" si="0"/>
        <v>0</v>
      </c>
      <c r="K29" s="160"/>
      <c r="L29" s="698"/>
      <c r="M29" s="699"/>
      <c r="N29" s="699"/>
      <c r="O29" s="410">
        <v>15</v>
      </c>
    </row>
    <row r="30" spans="1:15">
      <c r="A30" s="121">
        <v>16</v>
      </c>
      <c r="B30" s="701"/>
      <c r="C30" s="620"/>
      <c r="D30" s="441"/>
      <c r="E30" s="557"/>
      <c r="F30" s="441"/>
      <c r="G30" s="526"/>
      <c r="H30" s="700"/>
      <c r="I30" s="1975"/>
      <c r="J30" s="163">
        <f t="shared" si="0"/>
        <v>0</v>
      </c>
      <c r="K30" s="160"/>
      <c r="L30" s="698"/>
      <c r="M30" s="699"/>
      <c r="N30" s="699"/>
      <c r="O30" s="410">
        <v>16</v>
      </c>
    </row>
    <row r="31" spans="1:15">
      <c r="A31" s="121">
        <v>17</v>
      </c>
      <c r="B31" s="701"/>
      <c r="C31" s="620"/>
      <c r="D31" s="441"/>
      <c r="E31" s="557"/>
      <c r="F31" s="441"/>
      <c r="G31" s="526"/>
      <c r="H31" s="700"/>
      <c r="I31" s="1975"/>
      <c r="J31" s="163">
        <f t="shared" si="0"/>
        <v>0</v>
      </c>
      <c r="K31" s="160"/>
      <c r="L31" s="698"/>
      <c r="M31" s="699"/>
      <c r="N31" s="699"/>
      <c r="O31" s="410">
        <v>17</v>
      </c>
    </row>
    <row r="32" spans="1:15">
      <c r="A32" s="121">
        <v>18</v>
      </c>
      <c r="B32" s="107"/>
      <c r="C32" s="620"/>
      <c r="D32" s="97"/>
      <c r="E32" s="557"/>
      <c r="F32" s="97"/>
      <c r="G32" s="526"/>
      <c r="H32" s="700"/>
      <c r="I32" s="1975"/>
      <c r="J32" s="163">
        <f t="shared" si="0"/>
        <v>0</v>
      </c>
      <c r="K32" s="160"/>
      <c r="L32" s="698"/>
      <c r="M32" s="699"/>
      <c r="N32" s="699"/>
      <c r="O32" s="410">
        <v>18</v>
      </c>
    </row>
    <row r="33" spans="1:15">
      <c r="A33" s="121">
        <v>19</v>
      </c>
      <c r="B33" s="840" t="s">
        <v>908</v>
      </c>
      <c r="C33" s="425">
        <f>SUM(C16:C32)</f>
        <v>238822</v>
      </c>
      <c r="D33" s="441"/>
      <c r="E33" s="422">
        <f>SUM(E16:E32)</f>
        <v>0</v>
      </c>
      <c r="F33" s="441"/>
      <c r="G33" s="450">
        <f>SUM(G16:G32)</f>
        <v>15000</v>
      </c>
      <c r="H33" s="541">
        <f>SUM(H16:H32)</f>
        <v>0</v>
      </c>
      <c r="I33" s="1976"/>
      <c r="J33" s="702">
        <f t="shared" si="0"/>
        <v>223822</v>
      </c>
      <c r="K33" s="540"/>
      <c r="L33" s="698"/>
      <c r="M33" s="97"/>
      <c r="N33" s="97"/>
      <c r="O33" s="410">
        <v>19</v>
      </c>
    </row>
    <row r="34" spans="1:15">
      <c r="A34" s="121">
        <v>20</v>
      </c>
      <c r="B34" s="120" t="s">
        <v>3322</v>
      </c>
      <c r="C34" s="691"/>
      <c r="D34" s="692"/>
      <c r="E34" s="693"/>
      <c r="F34" s="692"/>
      <c r="G34" s="694"/>
      <c r="H34" s="695"/>
      <c r="I34" s="1974"/>
      <c r="J34" s="703"/>
      <c r="K34" s="704"/>
      <c r="L34" s="160"/>
      <c r="M34" s="97"/>
      <c r="N34" s="97"/>
      <c r="O34" s="410">
        <v>20</v>
      </c>
    </row>
    <row r="35" spans="1:15">
      <c r="A35" s="121">
        <v>21</v>
      </c>
      <c r="B35" s="107"/>
      <c r="C35" s="620"/>
      <c r="D35" s="97"/>
      <c r="E35" s="557"/>
      <c r="F35" s="97"/>
      <c r="G35" s="526"/>
      <c r="H35" s="700"/>
      <c r="I35" s="1975"/>
      <c r="J35" s="470">
        <f t="shared" ref="J35:J54" si="1">C35+E35-G35+H35</f>
        <v>0</v>
      </c>
      <c r="K35" s="160"/>
      <c r="L35" s="698"/>
      <c r="M35" s="699"/>
      <c r="N35" s="699"/>
      <c r="O35" s="410">
        <v>21</v>
      </c>
    </row>
    <row r="36" spans="1:15">
      <c r="A36" s="121">
        <v>22</v>
      </c>
      <c r="B36" s="107"/>
      <c r="C36" s="620"/>
      <c r="D36" s="97"/>
      <c r="E36" s="557"/>
      <c r="F36" s="97"/>
      <c r="G36" s="526"/>
      <c r="H36" s="700"/>
      <c r="I36" s="1975"/>
      <c r="J36" s="163">
        <f t="shared" si="1"/>
        <v>0</v>
      </c>
      <c r="K36" s="160"/>
      <c r="L36" s="698"/>
      <c r="M36" s="699"/>
      <c r="N36" s="699"/>
      <c r="O36" s="410">
        <v>22</v>
      </c>
    </row>
    <row r="37" spans="1:15">
      <c r="A37" s="121">
        <v>23</v>
      </c>
      <c r="B37" s="107"/>
      <c r="C37" s="620"/>
      <c r="D37" s="230"/>
      <c r="E37" s="557"/>
      <c r="F37" s="97"/>
      <c r="G37" s="526"/>
      <c r="H37" s="700"/>
      <c r="I37" s="1975"/>
      <c r="J37" s="163">
        <f t="shared" si="1"/>
        <v>0</v>
      </c>
      <c r="K37" s="160"/>
      <c r="L37" s="698"/>
      <c r="M37" s="699"/>
      <c r="N37" s="699"/>
      <c r="O37" s="410">
        <v>23</v>
      </c>
    </row>
    <row r="38" spans="1:15">
      <c r="A38" s="121">
        <v>24</v>
      </c>
      <c r="B38" s="107"/>
      <c r="C38" s="620"/>
      <c r="D38" s="230"/>
      <c r="E38" s="557"/>
      <c r="F38" s="97"/>
      <c r="G38" s="526"/>
      <c r="H38" s="700"/>
      <c r="I38" s="1975"/>
      <c r="J38" s="163">
        <f t="shared" si="1"/>
        <v>0</v>
      </c>
      <c r="K38" s="160"/>
      <c r="L38" s="698"/>
      <c r="M38" s="699"/>
      <c r="N38" s="699"/>
      <c r="O38" s="410">
        <v>24</v>
      </c>
    </row>
    <row r="39" spans="1:15">
      <c r="A39" s="121">
        <v>25</v>
      </c>
      <c r="B39" s="107"/>
      <c r="C39" s="620"/>
      <c r="D39" s="230"/>
      <c r="E39" s="557"/>
      <c r="F39" s="230"/>
      <c r="G39" s="526"/>
      <c r="H39" s="700"/>
      <c r="I39" s="1975"/>
      <c r="J39" s="163">
        <f t="shared" si="1"/>
        <v>0</v>
      </c>
      <c r="K39" s="160"/>
      <c r="L39" s="698"/>
      <c r="M39" s="699"/>
      <c r="N39" s="699"/>
      <c r="O39" s="410">
        <v>25</v>
      </c>
    </row>
    <row r="40" spans="1:15">
      <c r="A40" s="121">
        <v>26</v>
      </c>
      <c r="B40" s="107"/>
      <c r="C40" s="620"/>
      <c r="D40" s="230"/>
      <c r="E40" s="557"/>
      <c r="F40" s="230"/>
      <c r="G40" s="526"/>
      <c r="H40" s="700"/>
      <c r="I40" s="1975"/>
      <c r="J40" s="163">
        <f t="shared" si="1"/>
        <v>0</v>
      </c>
      <c r="K40" s="160"/>
      <c r="L40" s="698"/>
      <c r="M40" s="699"/>
      <c r="N40" s="699"/>
      <c r="O40" s="410">
        <v>26</v>
      </c>
    </row>
    <row r="41" spans="1:15">
      <c r="A41" s="121">
        <v>27</v>
      </c>
      <c r="B41" s="107"/>
      <c r="C41" s="620"/>
      <c r="D41" s="230"/>
      <c r="E41" s="557"/>
      <c r="F41" s="230"/>
      <c r="G41" s="526"/>
      <c r="H41" s="700"/>
      <c r="I41" s="1975"/>
      <c r="J41" s="163">
        <f t="shared" si="1"/>
        <v>0</v>
      </c>
      <c r="K41" s="160"/>
      <c r="L41" s="698"/>
      <c r="M41" s="699"/>
      <c r="N41" s="699"/>
      <c r="O41" s="410">
        <v>27</v>
      </c>
    </row>
    <row r="42" spans="1:15">
      <c r="A42" s="121">
        <v>28</v>
      </c>
      <c r="B42" s="107"/>
      <c r="C42" s="620"/>
      <c r="D42" s="230"/>
      <c r="E42" s="557"/>
      <c r="F42" s="230"/>
      <c r="G42" s="526"/>
      <c r="H42" s="700"/>
      <c r="I42" s="1975"/>
      <c r="J42" s="163">
        <f t="shared" si="1"/>
        <v>0</v>
      </c>
      <c r="K42" s="160"/>
      <c r="L42" s="698"/>
      <c r="M42" s="699"/>
      <c r="N42" s="699"/>
      <c r="O42" s="410">
        <v>28</v>
      </c>
    </row>
    <row r="43" spans="1:15">
      <c r="A43" s="121">
        <v>29</v>
      </c>
      <c r="B43" s="107"/>
      <c r="C43" s="620"/>
      <c r="D43" s="230"/>
      <c r="E43" s="557"/>
      <c r="F43" s="230"/>
      <c r="G43" s="526"/>
      <c r="H43" s="700"/>
      <c r="I43" s="1975"/>
      <c r="J43" s="163">
        <f t="shared" si="1"/>
        <v>0</v>
      </c>
      <c r="K43" s="160"/>
      <c r="L43" s="698"/>
      <c r="M43" s="699"/>
      <c r="N43" s="699"/>
      <c r="O43" s="410">
        <v>29</v>
      </c>
    </row>
    <row r="44" spans="1:15">
      <c r="A44" s="121">
        <v>30</v>
      </c>
      <c r="B44" s="107"/>
      <c r="C44" s="620"/>
      <c r="D44" s="230"/>
      <c r="E44" s="557"/>
      <c r="F44" s="230"/>
      <c r="G44" s="526"/>
      <c r="H44" s="700"/>
      <c r="I44" s="1975"/>
      <c r="J44" s="163">
        <f t="shared" si="1"/>
        <v>0</v>
      </c>
      <c r="K44" s="160"/>
      <c r="L44" s="160"/>
      <c r="M44" s="97"/>
      <c r="N44" s="97"/>
      <c r="O44" s="410">
        <v>30</v>
      </c>
    </row>
    <row r="45" spans="1:15">
      <c r="A45" s="121">
        <v>31</v>
      </c>
      <c r="B45" s="107"/>
      <c r="C45" s="620"/>
      <c r="D45" s="230"/>
      <c r="E45" s="557"/>
      <c r="F45" s="230"/>
      <c r="G45" s="526"/>
      <c r="H45" s="700"/>
      <c r="I45" s="1975"/>
      <c r="J45" s="163">
        <f t="shared" si="1"/>
        <v>0</v>
      </c>
      <c r="K45" s="160"/>
      <c r="L45" s="160"/>
      <c r="M45" s="97"/>
      <c r="N45" s="97"/>
      <c r="O45" s="410">
        <v>31</v>
      </c>
    </row>
    <row r="46" spans="1:15">
      <c r="A46" s="121">
        <v>32</v>
      </c>
      <c r="B46" s="107"/>
      <c r="C46" s="620"/>
      <c r="D46" s="230"/>
      <c r="E46" s="557"/>
      <c r="F46" s="230"/>
      <c r="G46" s="526"/>
      <c r="H46" s="700"/>
      <c r="I46" s="1975"/>
      <c r="J46" s="163">
        <f t="shared" si="1"/>
        <v>0</v>
      </c>
      <c r="K46" s="160"/>
      <c r="L46" s="160"/>
      <c r="M46" s="97"/>
      <c r="N46" s="97"/>
      <c r="O46" s="410">
        <v>32</v>
      </c>
    </row>
    <row r="47" spans="1:15">
      <c r="A47" s="121">
        <v>33</v>
      </c>
      <c r="B47" s="701"/>
      <c r="C47" s="620"/>
      <c r="D47" s="230"/>
      <c r="E47" s="557"/>
      <c r="F47" s="230"/>
      <c r="G47" s="526"/>
      <c r="H47" s="700"/>
      <c r="I47" s="1975"/>
      <c r="J47" s="163">
        <f t="shared" si="1"/>
        <v>0</v>
      </c>
      <c r="K47" s="160"/>
      <c r="L47" s="160"/>
      <c r="M47" s="97"/>
      <c r="N47" s="97"/>
      <c r="O47" s="410">
        <v>33</v>
      </c>
    </row>
    <row r="48" spans="1:15">
      <c r="A48" s="121">
        <v>34</v>
      </c>
      <c r="B48" s="107"/>
      <c r="C48" s="620"/>
      <c r="D48" s="230"/>
      <c r="E48" s="557"/>
      <c r="F48" s="97" t="s">
        <v>4373</v>
      </c>
      <c r="G48" s="526"/>
      <c r="H48" s="700"/>
      <c r="I48" s="1975"/>
      <c r="J48" s="163">
        <f t="shared" si="1"/>
        <v>0</v>
      </c>
      <c r="K48" s="160"/>
      <c r="L48" s="160"/>
      <c r="M48" s="97"/>
      <c r="N48" s="97"/>
      <c r="O48" s="410">
        <v>34</v>
      </c>
    </row>
    <row r="49" spans="1:15">
      <c r="A49" s="121">
        <v>35</v>
      </c>
      <c r="B49" s="107"/>
      <c r="C49" s="620"/>
      <c r="D49" s="230"/>
      <c r="E49" s="557"/>
      <c r="F49" s="230"/>
      <c r="G49" s="526"/>
      <c r="H49" s="479"/>
      <c r="I49" s="1898"/>
      <c r="J49" s="163">
        <f t="shared" si="1"/>
        <v>0</v>
      </c>
      <c r="K49" s="160"/>
      <c r="L49" s="160"/>
      <c r="M49" s="97"/>
      <c r="N49" s="97"/>
      <c r="O49" s="410">
        <v>35</v>
      </c>
    </row>
    <row r="50" spans="1:15">
      <c r="A50" s="121">
        <v>36</v>
      </c>
      <c r="B50" s="701"/>
      <c r="C50" s="620"/>
      <c r="D50" s="230"/>
      <c r="E50" s="557"/>
      <c r="F50" s="230"/>
      <c r="G50" s="526"/>
      <c r="H50" s="479"/>
      <c r="I50" s="1898"/>
      <c r="J50" s="163">
        <f t="shared" si="1"/>
        <v>0</v>
      </c>
      <c r="K50" s="536"/>
      <c r="L50" s="698"/>
      <c r="M50" s="97"/>
      <c r="N50" s="97"/>
      <c r="O50" s="410">
        <v>36</v>
      </c>
    </row>
    <row r="51" spans="1:15">
      <c r="A51" s="121">
        <v>37</v>
      </c>
      <c r="B51" s="701"/>
      <c r="C51" s="620"/>
      <c r="D51" s="230"/>
      <c r="E51" s="557"/>
      <c r="F51" s="230"/>
      <c r="G51" s="526"/>
      <c r="H51" s="479"/>
      <c r="I51" s="1898"/>
      <c r="J51" s="163">
        <f t="shared" si="1"/>
        <v>0</v>
      </c>
      <c r="K51" s="536"/>
      <c r="L51" s="698"/>
      <c r="M51" s="97"/>
      <c r="N51" s="97"/>
      <c r="O51" s="410">
        <v>37</v>
      </c>
    </row>
    <row r="52" spans="1:15">
      <c r="A52" s="121">
        <v>38</v>
      </c>
      <c r="B52" s="107"/>
      <c r="C52" s="620"/>
      <c r="D52" s="230"/>
      <c r="E52" s="557"/>
      <c r="F52" s="230"/>
      <c r="G52" s="526"/>
      <c r="H52" s="700"/>
      <c r="I52" s="1975"/>
      <c r="J52" s="163">
        <f t="shared" si="1"/>
        <v>0</v>
      </c>
      <c r="K52" s="160"/>
      <c r="L52" s="160"/>
      <c r="M52" s="97"/>
      <c r="N52" s="97"/>
      <c r="O52" s="410">
        <v>38</v>
      </c>
    </row>
    <row r="53" spans="1:15">
      <c r="A53" s="121">
        <v>39</v>
      </c>
      <c r="B53" s="840" t="s">
        <v>908</v>
      </c>
      <c r="C53" s="705">
        <f>SUM(C35:C52)</f>
        <v>0</v>
      </c>
      <c r="D53" s="230"/>
      <c r="E53" s="706">
        <f>SUM(E35:E52)</f>
        <v>0</v>
      </c>
      <c r="F53" s="230"/>
      <c r="G53" s="525">
        <f>SUM(G35:G52)</f>
        <v>0</v>
      </c>
      <c r="H53" s="546">
        <f>SUM(H35:H52)</f>
        <v>0</v>
      </c>
      <c r="I53" s="1977"/>
      <c r="J53" s="702">
        <f t="shared" si="1"/>
        <v>0</v>
      </c>
      <c r="K53" s="540"/>
      <c r="L53" s="698"/>
      <c r="M53" s="97"/>
      <c r="N53" s="97"/>
      <c r="O53" s="410">
        <v>39</v>
      </c>
    </row>
    <row r="54" spans="1:15" ht="15.75" thickBot="1">
      <c r="A54" s="471">
        <v>40</v>
      </c>
      <c r="B54" s="841" t="s">
        <v>1135</v>
      </c>
      <c r="C54" s="707">
        <f>C33+C53</f>
        <v>238822</v>
      </c>
      <c r="D54" s="550"/>
      <c r="E54" s="438">
        <f>E33+E53</f>
        <v>0</v>
      </c>
      <c r="F54" s="550"/>
      <c r="G54" s="528">
        <f>G33+G53</f>
        <v>15000</v>
      </c>
      <c r="H54" s="439">
        <f>H33+H53</f>
        <v>0</v>
      </c>
      <c r="I54" s="1969"/>
      <c r="J54" s="674">
        <f t="shared" si="1"/>
        <v>223822</v>
      </c>
      <c r="K54" s="600"/>
      <c r="L54" s="600"/>
      <c r="M54" s="124"/>
      <c r="N54" s="124"/>
      <c r="O54" s="622">
        <v>40</v>
      </c>
    </row>
    <row r="55" spans="1:15">
      <c r="A55" s="97" t="s">
        <v>4066</v>
      </c>
      <c r="B55" s="97"/>
      <c r="C55" s="97"/>
      <c r="D55" s="97"/>
      <c r="E55" s="97"/>
      <c r="F55" s="97"/>
      <c r="G55" s="97"/>
      <c r="H55" s="97"/>
      <c r="I55" s="97"/>
      <c r="J55" s="97"/>
      <c r="K55" s="97"/>
      <c r="L55" s="97"/>
      <c r="M55" s="97"/>
      <c r="N55" s="442" t="s">
        <v>4066</v>
      </c>
      <c r="O55" s="105"/>
    </row>
    <row r="56" spans="1:15">
      <c r="A56" s="128" t="s">
        <v>1037</v>
      </c>
      <c r="B56" s="128"/>
      <c r="C56" s="128"/>
      <c r="D56" s="128"/>
      <c r="E56" s="128"/>
      <c r="F56" s="128"/>
      <c r="G56" s="128"/>
      <c r="H56" s="128"/>
      <c r="I56" s="128"/>
      <c r="J56" s="128" t="s">
        <v>550</v>
      </c>
      <c r="K56" s="128"/>
      <c r="L56" s="128"/>
      <c r="M56" s="128"/>
      <c r="N56" s="128"/>
      <c r="O56" s="128"/>
    </row>
    <row r="57" spans="1:15">
      <c r="A57" s="97"/>
      <c r="B57" s="97"/>
      <c r="C57" s="97"/>
      <c r="D57" s="97"/>
      <c r="E57" s="97"/>
      <c r="F57" s="97"/>
      <c r="G57" s="97"/>
      <c r="H57" s="97"/>
      <c r="I57" s="97"/>
      <c r="J57" s="97"/>
      <c r="K57" s="97"/>
      <c r="L57" s="97"/>
      <c r="M57" s="97"/>
      <c r="N57" s="97"/>
      <c r="O57" s="97"/>
    </row>
    <row r="58" spans="1:15">
      <c r="A58" s="97"/>
      <c r="B58" s="97"/>
      <c r="C58" s="97"/>
      <c r="D58" s="97"/>
      <c r="E58" s="97"/>
      <c r="F58" s="97"/>
      <c r="G58" s="97"/>
      <c r="H58" s="97"/>
      <c r="I58" s="97"/>
      <c r="J58" s="97"/>
      <c r="K58" s="97"/>
      <c r="L58" s="97"/>
      <c r="M58" s="97"/>
      <c r="N58" s="97"/>
      <c r="O58" s="97"/>
    </row>
    <row r="59" spans="1:15">
      <c r="A59" s="97"/>
      <c r="B59" s="97"/>
      <c r="C59" s="97"/>
      <c r="D59" s="97"/>
      <c r="E59" s="97"/>
      <c r="F59" s="97"/>
      <c r="G59" s="97"/>
      <c r="H59" s="97"/>
      <c r="I59" s="97"/>
      <c r="J59" s="97"/>
      <c r="K59" s="97"/>
      <c r="L59" s="97"/>
      <c r="M59" s="97"/>
      <c r="N59" s="97"/>
      <c r="O59" s="97"/>
    </row>
    <row r="60" spans="1:15">
      <c r="A60" s="97"/>
      <c r="B60" s="97"/>
      <c r="C60" s="97"/>
      <c r="D60" s="97" t="s">
        <v>4120</v>
      </c>
      <c r="E60" s="97"/>
      <c r="F60" s="97"/>
      <c r="G60" s="97"/>
      <c r="H60" s="97"/>
      <c r="I60" s="97"/>
      <c r="J60" s="97"/>
      <c r="K60" s="97"/>
      <c r="L60" s="97"/>
      <c r="M60" s="97"/>
      <c r="N60" s="97"/>
      <c r="O60" s="97"/>
    </row>
    <row r="61" spans="1:15">
      <c r="A61" s="97"/>
      <c r="B61" s="97"/>
      <c r="C61" s="97"/>
      <c r="D61" s="97"/>
      <c r="E61" s="97"/>
      <c r="F61" s="97"/>
      <c r="G61" s="97"/>
      <c r="H61" s="97"/>
      <c r="I61" s="97"/>
      <c r="J61" s="97"/>
      <c r="K61" s="97"/>
      <c r="L61" s="97"/>
      <c r="M61" s="97"/>
      <c r="N61" s="97"/>
      <c r="O61" s="97"/>
    </row>
    <row r="62" spans="1:15">
      <c r="A62" s="97"/>
      <c r="B62" s="97"/>
      <c r="C62" s="97"/>
      <c r="D62" s="97"/>
      <c r="E62" s="97"/>
      <c r="F62" s="97"/>
      <c r="G62" s="97"/>
      <c r="H62" s="97"/>
      <c r="I62" s="97"/>
      <c r="J62" s="97"/>
      <c r="K62" s="97"/>
      <c r="L62" s="97"/>
      <c r="M62" s="97"/>
      <c r="N62" s="97"/>
      <c r="O62" s="97"/>
    </row>
    <row r="63" spans="1:15">
      <c r="A63" s="119"/>
      <c r="B63" s="97"/>
      <c r="C63" s="97"/>
      <c r="D63" s="97"/>
      <c r="E63" s="97"/>
      <c r="F63" s="97"/>
      <c r="G63" s="97"/>
      <c r="H63" s="97"/>
      <c r="I63" s="97"/>
      <c r="J63" s="97"/>
      <c r="K63" s="97"/>
      <c r="L63" s="97"/>
      <c r="M63" s="97"/>
      <c r="N63" s="97"/>
      <c r="O63" s="97"/>
    </row>
    <row r="64" spans="1:15">
      <c r="A64" s="97"/>
      <c r="B64" s="97"/>
      <c r="C64" s="97"/>
      <c r="D64" s="97"/>
      <c r="E64" s="97"/>
      <c r="F64" s="97"/>
      <c r="G64" s="97"/>
      <c r="H64" s="97"/>
      <c r="I64" s="97"/>
      <c r="J64" s="97"/>
      <c r="K64" s="97"/>
      <c r="L64" s="97"/>
      <c r="M64" s="97"/>
      <c r="N64" s="97"/>
      <c r="O64" s="97"/>
    </row>
    <row r="65" spans="1:15">
      <c r="A65" s="97"/>
      <c r="B65" s="97"/>
      <c r="C65" s="97"/>
      <c r="D65" s="97"/>
      <c r="E65" s="97"/>
      <c r="F65" s="97"/>
      <c r="G65" s="97"/>
      <c r="H65" s="97"/>
      <c r="I65" s="97"/>
      <c r="J65" s="97"/>
      <c r="K65" s="97"/>
      <c r="L65" s="97"/>
      <c r="M65" s="97"/>
      <c r="N65" s="97"/>
      <c r="O65" s="97"/>
    </row>
    <row r="66" spans="1:15">
      <c r="A66" s="97"/>
      <c r="B66" s="97"/>
      <c r="C66" s="97"/>
      <c r="D66" s="97"/>
      <c r="E66" s="97"/>
      <c r="F66" s="97"/>
      <c r="G66" s="97"/>
      <c r="H66" s="97"/>
      <c r="I66" s="97"/>
      <c r="J66" s="97"/>
      <c r="K66" s="97"/>
      <c r="L66" s="97"/>
      <c r="M66" s="97"/>
      <c r="N66" s="97"/>
      <c r="O66" s="97"/>
    </row>
    <row r="67" spans="1:15">
      <c r="A67" s="97"/>
      <c r="B67" s="97"/>
      <c r="C67" s="97"/>
      <c r="D67" s="97"/>
      <c r="E67" s="97"/>
      <c r="F67" s="97"/>
      <c r="G67" s="97"/>
      <c r="H67" s="97"/>
      <c r="I67" s="97"/>
      <c r="J67" s="97"/>
      <c r="K67" s="97"/>
      <c r="L67" s="97"/>
      <c r="M67" s="97"/>
      <c r="N67" s="97"/>
      <c r="O67" s="97"/>
    </row>
    <row r="68" spans="1:15">
      <c r="A68" s="97"/>
      <c r="B68" s="97"/>
      <c r="C68" s="97"/>
      <c r="D68" s="97"/>
      <c r="E68" s="97"/>
      <c r="F68" s="97"/>
      <c r="G68" s="97"/>
      <c r="H68" s="97"/>
      <c r="I68" s="97"/>
      <c r="J68" s="97"/>
      <c r="K68" s="97"/>
      <c r="L68" s="97"/>
      <c r="M68" s="97"/>
      <c r="N68" s="97"/>
      <c r="O68" s="97"/>
    </row>
    <row r="69" spans="1:15">
      <c r="A69" s="97"/>
      <c r="B69" s="97"/>
      <c r="C69" s="97"/>
      <c r="D69" s="97"/>
      <c r="E69" s="97"/>
      <c r="F69" s="97"/>
      <c r="G69" s="97"/>
      <c r="H69" s="97"/>
      <c r="I69" s="97"/>
      <c r="J69" s="97"/>
      <c r="K69" s="97"/>
      <c r="L69" s="97"/>
      <c r="M69" s="97"/>
      <c r="N69" s="97"/>
      <c r="O69" s="97"/>
    </row>
    <row r="70" spans="1:15">
      <c r="A70" s="97"/>
      <c r="B70" s="97"/>
      <c r="C70" s="97"/>
      <c r="D70" s="97"/>
      <c r="E70" s="97"/>
      <c r="F70" s="97"/>
      <c r="G70" s="97"/>
      <c r="H70" s="97"/>
      <c r="I70" s="97"/>
      <c r="J70" s="97"/>
      <c r="K70" s="97"/>
      <c r="L70" s="97"/>
      <c r="M70" s="97"/>
      <c r="N70" s="97"/>
      <c r="O70" s="97"/>
    </row>
    <row r="71" spans="1:15">
      <c r="A71" s="97"/>
      <c r="B71" s="97"/>
      <c r="C71" s="97"/>
      <c r="D71" s="97"/>
      <c r="E71" s="97"/>
      <c r="F71" s="97"/>
      <c r="G71" s="97"/>
      <c r="H71" s="97"/>
      <c r="I71" s="97"/>
      <c r="J71" s="97"/>
      <c r="K71" s="97"/>
      <c r="L71" s="97"/>
      <c r="M71" s="97"/>
      <c r="N71" s="97"/>
      <c r="O71" s="97"/>
    </row>
    <row r="72" spans="1:15">
      <c r="A72" s="97"/>
      <c r="B72" s="97"/>
      <c r="C72" s="97"/>
      <c r="D72" s="97"/>
      <c r="E72" s="97"/>
      <c r="F72" s="97"/>
      <c r="G72" s="97"/>
      <c r="H72" s="97"/>
      <c r="I72" s="97"/>
      <c r="J72" s="97"/>
      <c r="K72" s="97"/>
      <c r="L72" s="97"/>
      <c r="M72" s="97"/>
      <c r="N72" s="97"/>
      <c r="O72" s="97"/>
    </row>
    <row r="73" spans="1:15">
      <c r="A73" s="97"/>
      <c r="B73" s="97"/>
      <c r="C73" s="97"/>
      <c r="D73" s="97"/>
      <c r="E73" s="97"/>
      <c r="F73" s="97"/>
      <c r="G73" s="97"/>
      <c r="H73" s="97"/>
      <c r="I73" s="97"/>
      <c r="J73" s="97"/>
      <c r="K73" s="97"/>
      <c r="L73" s="97"/>
      <c r="M73" s="97"/>
      <c r="N73" s="97"/>
      <c r="O73" s="97"/>
    </row>
    <row r="74" spans="1:15">
      <c r="A74" s="97"/>
      <c r="B74" s="97"/>
      <c r="C74" s="97"/>
      <c r="D74" s="97"/>
      <c r="E74" s="97"/>
      <c r="F74" s="97"/>
      <c r="G74" s="97"/>
      <c r="H74" s="97"/>
      <c r="I74" s="97"/>
      <c r="J74" s="97"/>
      <c r="K74" s="97"/>
      <c r="L74" s="97"/>
      <c r="M74" s="97"/>
      <c r="N74" s="97"/>
      <c r="O74" s="97"/>
    </row>
  </sheetData>
  <customSheetViews>
    <customSheetView guid="{1BA452AD-1A45-4D9C-9666-ADFFA6F2F567}" scale="60" colorId="22" showPageBreaks="1" printArea="1" view="pageBreakPreview">
      <selection activeCell="C16" sqref="C16"/>
      <colBreaks count="1" manualBreakCount="1">
        <brk id="9" max="1048575" man="1"/>
      </colBreaks>
      <pageMargins left="0.75" right="0.4" top="0.3" bottom="0.3" header="0.5" footer="0.5"/>
      <pageSetup scale="69" fitToWidth="2" orientation="portrait" r:id="rId1"/>
      <headerFooter alignWithMargins="0"/>
    </customSheetView>
    <customSheetView guid="{EEF7ABD6-0F96-4791-B749-C06F707E7673}" scale="75" colorId="22" showRuler="0" topLeftCell="A4">
      <selection activeCell="C16" sqref="C16"/>
      <colBreaks count="1" manualBreakCount="1">
        <brk id="9" max="1048575" man="1"/>
      </colBreaks>
      <pageMargins left="0.75" right="0.4" top="0.3" bottom="0.3" header="0.5" footer="0.5"/>
      <pageSetup scale="69" fitToWidth="2" orientation="portrait" r:id="rId2"/>
      <headerFooter alignWithMargins="0"/>
    </customSheetView>
    <customSheetView guid="{A7D7DB3C-AFE6-468E-8C6B-9531F6711497}" scale="60" colorId="22" showPageBreaks="1" printArea="1" view="pageBreakPreview" showRuler="0">
      <selection activeCell="I60" sqref="I60"/>
      <colBreaks count="1" manualBreakCount="1">
        <brk id="8" max="1048575" man="1"/>
      </colBreaks>
      <pageMargins left="0.75" right="0.4" top="0.3" bottom="0.3" header="0.5" footer="0.5"/>
      <pageSetup scale="69" fitToWidth="2" orientation="portrait" r:id="rId3"/>
      <headerFooter alignWithMargins="0"/>
    </customSheetView>
    <customSheetView guid="{4436FEB5-BFEC-4348-9286-CB706802873E}" scale="60" colorId="22" showPageBreaks="1" printArea="1" view="pageBreakPreview" showRuler="0">
      <selection activeCell="I60" sqref="I60"/>
      <colBreaks count="1" manualBreakCount="1">
        <brk id="8" max="1048575" man="1"/>
      </colBreaks>
      <pageMargins left="0.75" right="0.4" top="0.3" bottom="0.3" header="0.5" footer="0.5"/>
      <pageSetup scale="69" fitToWidth="2" orientation="portrait" r:id="rId4"/>
      <headerFooter alignWithMargins="0"/>
    </customSheetView>
    <customSheetView guid="{044CF00C-469F-44B3-B2C4-9B4049CE70CB}" scale="60" colorId="22" showPageBreaks="1" printArea="1" view="pageBreakPreview" showRuler="0" topLeftCell="A18">
      <selection activeCell="G54" sqref="G54"/>
      <colBreaks count="1" manualBreakCount="1">
        <brk id="8" max="1048575" man="1"/>
      </colBreaks>
      <pageMargins left="0.75" right="0.4" top="0.3" bottom="0.3" header="0.5" footer="0.5"/>
      <pageSetup scale="69" fitToWidth="2" orientation="portrait" r:id="rId5"/>
      <headerFooter alignWithMargins="0"/>
    </customSheetView>
    <customSheetView guid="{4826FCC0-BDD6-4B2C-ACC6-ACE271DDF0E3}" scale="75" colorId="22" showRuler="0">
      <selection activeCell="C16" sqref="C16"/>
      <colBreaks count="1" manualBreakCount="1">
        <brk id="9" max="1048575" man="1"/>
      </colBreaks>
      <pageMargins left="0.75" right="0.4" top="0.3" bottom="0.3" header="0.5" footer="0.5"/>
      <pageSetup scale="69" fitToWidth="2" orientation="portrait" r:id="rId6"/>
      <headerFooter alignWithMargins="0"/>
    </customSheetView>
    <customSheetView guid="{EF376D10-23D6-4FE2-AB5B-4460D52CC93F}" scale="75" colorId="22" showRuler="0" topLeftCell="A16">
      <selection activeCell="C16" sqref="C16"/>
      <colBreaks count="1" manualBreakCount="1">
        <brk id="9" max="1048575" man="1"/>
      </colBreaks>
      <pageMargins left="0.75" right="0.4" top="0.3" bottom="0.3" header="0.5" footer="0.5"/>
      <pageSetup scale="69" fitToWidth="2" orientation="portrait" r:id="rId7"/>
      <headerFooter alignWithMargins="0"/>
    </customSheetView>
    <customSheetView guid="{1C046605-15CE-44F1-BFCD-2CA8588E7ACF}" scale="75" colorId="22" showRuler="0" topLeftCell="A7">
      <selection activeCell="J54" sqref="J54"/>
      <colBreaks count="1" manualBreakCount="1">
        <brk id="9" max="1048575" man="1"/>
      </colBreaks>
      <pageMargins left="0.75" right="0.4" top="0.3" bottom="0.3" header="0.5" footer="0.5"/>
      <pageSetup scale="69" fitToWidth="2" orientation="portrait" r:id="rId8"/>
      <headerFooter alignWithMargins="0"/>
    </customSheetView>
    <customSheetView guid="{3911D713-188C-46A1-A299-F21DD3B7A146}" scale="75" colorId="22" showRuler="0" topLeftCell="A7">
      <selection activeCell="J54" sqref="J54"/>
      <colBreaks count="1" manualBreakCount="1">
        <brk id="9" max="1048575" man="1"/>
      </colBreaks>
      <pageMargins left="0.75" right="0.4" top="0.3" bottom="0.3" header="0.5" footer="0.5"/>
      <pageSetup scale="69" fitToWidth="2" orientation="portrait" r:id="rId9"/>
      <headerFooter alignWithMargins="0"/>
    </customSheetView>
    <customSheetView guid="{78BB1E60-60BE-4F56-9763-075185EFEFAB}" colorId="22" topLeftCell="A4">
      <selection activeCell="G16" sqref="G16"/>
      <colBreaks count="1" manualBreakCount="1">
        <brk id="9" max="1048575" man="1"/>
      </colBreaks>
      <pageMargins left="0.75" right="0.4" top="0.3" bottom="0.3" header="0.5" footer="0.5"/>
      <pageSetup scale="69" fitToWidth="2" orientation="portrait" r:id="rId10"/>
      <headerFooter alignWithMargins="0"/>
    </customSheetView>
    <customSheetView guid="{9C30803E-1E2D-4850-B0A5-591CA6F246A1}" colorId="22">
      <selection activeCell="G16" sqref="G16"/>
      <colBreaks count="1" manualBreakCount="1">
        <brk id="9" max="1048575" man="1"/>
      </colBreaks>
      <pageMargins left="0.75" right="0.4" top="0.3" bottom="0.3" header="0.5" footer="0.5"/>
      <pageSetup scale="69" fitToWidth="2" orientation="portrait" r:id="rId11"/>
      <headerFooter alignWithMargins="0"/>
    </customSheetView>
    <customSheetView guid="{3B1006FF-A2CA-49E7-9B25-DAC8815279AF}" colorId="22">
      <selection activeCell="G16" sqref="G16"/>
      <colBreaks count="1" manualBreakCount="1">
        <brk id="9" max="1048575" man="1"/>
      </colBreaks>
      <pageMargins left="0.75" right="0.4" top="0.3" bottom="0.3" header="0.5" footer="0.5"/>
      <pageSetup scale="69" fitToWidth="2" orientation="portrait" r:id="rId12"/>
      <headerFooter alignWithMargins="0"/>
    </customSheetView>
    <customSheetView guid="{FB1A60C8-E1F9-4DF0-8E0E-1C965F86027F}" colorId="22">
      <selection activeCell="G16" sqref="G16"/>
      <colBreaks count="1" manualBreakCount="1">
        <brk id="9" max="1048575" man="1"/>
      </colBreaks>
      <pageMargins left="0.75" right="0.4" top="0.3" bottom="0.3" header="0.5" footer="0.5"/>
      <pageSetup scale="69" fitToWidth="2" orientation="portrait" r:id="rId13"/>
      <headerFooter alignWithMargins="0"/>
    </customSheetView>
    <customSheetView guid="{C5B6D812-CBE6-46AA-99F7-02494E9802B4}" scale="70" colorId="22">
      <selection activeCell="C16" sqref="C16"/>
      <colBreaks count="1" manualBreakCount="1">
        <brk id="9" max="1048575" man="1"/>
      </colBreaks>
      <pageMargins left="0.75" right="0.4" top="0.3" bottom="0.3" header="0.5" footer="0.5"/>
      <pageSetup scale="69" fitToWidth="2" orientation="portrait" r:id="rId14"/>
      <headerFooter alignWithMargins="0"/>
    </customSheetView>
  </customSheetViews>
  <mergeCells count="1">
    <mergeCell ref="A4:H4"/>
  </mergeCells>
  <phoneticPr fontId="0" type="noConversion"/>
  <pageMargins left="0.75" right="0.4" top="0.3" bottom="0.3" header="0.5" footer="0.5"/>
  <pageSetup scale="69" fitToWidth="2" orientation="portrait" r:id="rId15"/>
  <headerFooter alignWithMargins="0"/>
  <colBreaks count="1" manualBreakCount="1">
    <brk id="9" max="1048575" man="1"/>
  </colBreaks>
  <customProperties>
    <customPr name="_pios_id" r:id="rId16"/>
  </customProperties>
</worksheet>
</file>

<file path=xl/worksheets/sheet42.xml><?xml version="1.0" encoding="utf-8"?>
<worksheet xmlns="http://schemas.openxmlformats.org/spreadsheetml/2006/main" xmlns:r="http://schemas.openxmlformats.org/officeDocument/2006/relationships">
  <sheetPr transitionEvaluation="1" codeName="Sheet42" enableFormatConditionsCalculation="0"/>
  <dimension ref="A1:U122"/>
  <sheetViews>
    <sheetView defaultGridColor="0" colorId="22" zoomScale="70" zoomScaleNormal="70" zoomScaleSheetLayoutView="70" workbookViewId="0">
      <pane xSplit="2" ySplit="14" topLeftCell="C15" activePane="bottomRight" state="frozen"/>
      <selection activeCell="C10" sqref="C10"/>
      <selection pane="topRight" activeCell="C10" sqref="C10"/>
      <selection pane="bottomLeft" activeCell="C10" sqref="C10"/>
      <selection pane="bottomRight" activeCell="C15" sqref="C15"/>
    </sheetView>
  </sheetViews>
  <sheetFormatPr defaultColWidth="9.77734375" defaultRowHeight="15"/>
  <cols>
    <col min="1" max="1" width="4.77734375" customWidth="1"/>
    <col min="2" max="2" width="45.77734375" customWidth="1"/>
    <col min="3" max="3" width="20.77734375" customWidth="1"/>
    <col min="4" max="4" width="15.77734375" customWidth="1"/>
    <col min="5" max="5" width="26.44140625" customWidth="1"/>
    <col min="6" max="6" width="1.21875" customWidth="1"/>
    <col min="7" max="8" width="18.77734375" customWidth="1"/>
    <col min="9" max="12" width="12.77734375" customWidth="1"/>
    <col min="13" max="13" width="18.109375" customWidth="1"/>
    <col min="14" max="14" width="4.77734375" customWidth="1"/>
    <col min="15" max="15" width="14.77734375" style="1626" bestFit="1" customWidth="1"/>
    <col min="16" max="16" width="13.5546875" style="1655" bestFit="1" customWidth="1"/>
    <col min="17" max="17" width="6.88671875" style="1654" bestFit="1" customWidth="1"/>
    <col min="18" max="18" width="14.109375" customWidth="1"/>
    <col min="19" max="19" width="13.88671875" bestFit="1" customWidth="1"/>
    <col min="20" max="20" width="12.6640625" customWidth="1"/>
  </cols>
  <sheetData>
    <row r="1" spans="1:14" ht="15.75" thickBot="1">
      <c r="A1" s="186" t="str">
        <f>'Data sheet'!$A$63</f>
        <v>Annual Report of New York American Water Company, Inc. (f/k/a Long Island Water Corp)                                    Year Ended  December 31, 2013</v>
      </c>
      <c r="D1" s="1633"/>
      <c r="E1" s="1633"/>
      <c r="F1" s="1633"/>
      <c r="G1" s="186" t="str">
        <f>'Data sheet'!$A$63</f>
        <v>Annual Report of New York American Water Company, Inc. (f/k/a Long Island Water Corp)                                    Year Ended  December 31, 2013</v>
      </c>
      <c r="J1" s="1633"/>
      <c r="K1" s="1633"/>
      <c r="L1" s="1633"/>
    </row>
    <row r="2" spans="1:14">
      <c r="A2" s="142"/>
      <c r="B2" s="143"/>
      <c r="C2" s="143"/>
      <c r="D2" s="143"/>
      <c r="E2" s="144"/>
      <c r="F2" s="143"/>
      <c r="G2" s="142"/>
      <c r="H2" s="143"/>
      <c r="I2" s="143"/>
      <c r="J2" s="143"/>
      <c r="K2" s="143"/>
      <c r="L2" s="91"/>
      <c r="M2" s="143"/>
      <c r="N2" s="144"/>
    </row>
    <row r="3" spans="1:14" ht="15.75">
      <c r="A3" s="3040" t="s">
        <v>1069</v>
      </c>
      <c r="B3" s="3041"/>
      <c r="C3" s="3041"/>
      <c r="D3" s="3041"/>
      <c r="E3" s="3042"/>
      <c r="F3" s="2811"/>
      <c r="G3" s="130" t="s">
        <v>1069</v>
      </c>
      <c r="H3" s="128"/>
      <c r="I3" s="128"/>
      <c r="J3" s="128"/>
      <c r="K3" s="128"/>
      <c r="L3" s="131"/>
      <c r="M3" s="128"/>
      <c r="N3" s="145"/>
    </row>
    <row r="4" spans="1:14">
      <c r="A4" s="108"/>
      <c r="B4" s="109"/>
      <c r="C4" s="109"/>
      <c r="D4" s="141"/>
      <c r="E4" s="294"/>
      <c r="F4" s="293"/>
      <c r="G4" s="108"/>
      <c r="H4" s="109"/>
      <c r="I4" s="109"/>
      <c r="J4" s="141"/>
      <c r="K4" s="293"/>
      <c r="L4" s="109"/>
      <c r="M4" s="293"/>
      <c r="N4" s="112"/>
    </row>
    <row r="5" spans="1:14">
      <c r="A5" s="96" t="s">
        <v>1379</v>
      </c>
      <c r="B5" s="97"/>
      <c r="C5" s="97"/>
      <c r="D5" s="97"/>
      <c r="E5" s="98"/>
      <c r="F5" s="847"/>
      <c r="G5" s="96" t="s">
        <v>3280</v>
      </c>
      <c r="H5" s="97"/>
      <c r="I5" s="97"/>
      <c r="J5" s="97"/>
      <c r="K5" s="97"/>
      <c r="L5" s="97"/>
      <c r="M5" s="97"/>
      <c r="N5" s="98"/>
    </row>
    <row r="6" spans="1:14">
      <c r="A6" s="96"/>
      <c r="B6" s="97"/>
      <c r="C6" s="97"/>
      <c r="D6" s="97"/>
      <c r="E6" s="98"/>
      <c r="F6" s="847"/>
      <c r="G6" s="96"/>
      <c r="H6" s="97"/>
      <c r="I6" s="97"/>
      <c r="J6" s="97"/>
      <c r="K6" s="97"/>
      <c r="L6" s="97"/>
      <c r="M6" s="97"/>
      <c r="N6" s="98"/>
    </row>
    <row r="7" spans="1:14">
      <c r="A7" s="96" t="s">
        <v>3281</v>
      </c>
      <c r="B7" s="97"/>
      <c r="C7" s="97"/>
      <c r="D7" s="97"/>
      <c r="E7" s="98"/>
      <c r="F7" s="847"/>
      <c r="G7" s="96"/>
      <c r="H7" s="97"/>
      <c r="I7" s="97"/>
      <c r="J7" s="97"/>
      <c r="K7" s="97"/>
      <c r="L7" s="97"/>
      <c r="M7" s="97"/>
      <c r="N7" s="98"/>
    </row>
    <row r="8" spans="1:14">
      <c r="A8" s="520"/>
      <c r="B8" s="101"/>
      <c r="C8" s="150"/>
      <c r="D8" s="3053" t="s">
        <v>3282</v>
      </c>
      <c r="E8" s="3054"/>
      <c r="F8" s="2816"/>
      <c r="G8" s="665" t="s">
        <v>3282</v>
      </c>
      <c r="H8" s="516"/>
      <c r="I8" s="664" t="s">
        <v>3283</v>
      </c>
      <c r="J8" s="516"/>
      <c r="K8" s="516"/>
      <c r="L8" s="516"/>
      <c r="M8" s="150"/>
      <c r="N8" s="633"/>
    </row>
    <row r="9" spans="1:14">
      <c r="A9" s="444"/>
      <c r="B9" s="97"/>
      <c r="C9" s="666" t="s">
        <v>1062</v>
      </c>
      <c r="D9" s="666" t="s">
        <v>3140</v>
      </c>
      <c r="E9" s="410" t="s">
        <v>3140</v>
      </c>
      <c r="F9" s="1852"/>
      <c r="G9" s="121" t="s">
        <v>3140</v>
      </c>
      <c r="H9" s="666" t="s">
        <v>3140</v>
      </c>
      <c r="I9" s="667" t="s">
        <v>3284</v>
      </c>
      <c r="J9" s="109"/>
      <c r="K9" s="167" t="s">
        <v>2532</v>
      </c>
      <c r="L9" s="109"/>
      <c r="M9" s="666" t="s">
        <v>1062</v>
      </c>
      <c r="N9" s="410"/>
    </row>
    <row r="10" spans="1:14">
      <c r="A10" s="444" t="s">
        <v>1129</v>
      </c>
      <c r="B10" s="105" t="s">
        <v>1139</v>
      </c>
      <c r="C10" s="666" t="s">
        <v>1938</v>
      </c>
      <c r="D10" s="666" t="s">
        <v>1513</v>
      </c>
      <c r="E10" s="410" t="s">
        <v>1514</v>
      </c>
      <c r="F10" s="1852"/>
      <c r="G10" s="121" t="s">
        <v>1513</v>
      </c>
      <c r="H10" s="666" t="s">
        <v>1514</v>
      </c>
      <c r="I10" s="666" t="s">
        <v>1861</v>
      </c>
      <c r="J10" s="160"/>
      <c r="K10" s="666" t="s">
        <v>1861</v>
      </c>
      <c r="L10" s="160"/>
      <c r="M10" s="666" t="s">
        <v>2423</v>
      </c>
      <c r="N10" s="410" t="s">
        <v>1129</v>
      </c>
    </row>
    <row r="11" spans="1:14">
      <c r="A11" s="444" t="s">
        <v>3324</v>
      </c>
      <c r="B11" s="97"/>
      <c r="C11" s="666" t="s">
        <v>1940</v>
      </c>
      <c r="D11" s="666" t="s">
        <v>2904</v>
      </c>
      <c r="E11" s="410" t="s">
        <v>789</v>
      </c>
      <c r="F11" s="1852"/>
      <c r="G11" s="121" t="s">
        <v>790</v>
      </c>
      <c r="H11" s="666" t="s">
        <v>271</v>
      </c>
      <c r="I11" s="147" t="s">
        <v>272</v>
      </c>
      <c r="J11" s="666" t="s">
        <v>430</v>
      </c>
      <c r="K11" s="147" t="s">
        <v>273</v>
      </c>
      <c r="L11" s="666" t="s">
        <v>430</v>
      </c>
      <c r="M11" s="160"/>
      <c r="N11" s="410" t="s">
        <v>3324</v>
      </c>
    </row>
    <row r="12" spans="1:14">
      <c r="A12" s="521"/>
      <c r="B12" s="799" t="s">
        <v>4032</v>
      </c>
      <c r="C12" s="667" t="s">
        <v>4033</v>
      </c>
      <c r="D12" s="667" t="s">
        <v>4034</v>
      </c>
      <c r="E12" s="414" t="s">
        <v>4035</v>
      </c>
      <c r="F12" s="799"/>
      <c r="G12" s="411" t="s">
        <v>2277</v>
      </c>
      <c r="H12" s="667" t="s">
        <v>2278</v>
      </c>
      <c r="I12" s="667" t="s">
        <v>2279</v>
      </c>
      <c r="J12" s="667" t="s">
        <v>2280</v>
      </c>
      <c r="K12" s="667" t="s">
        <v>2281</v>
      </c>
      <c r="L12" s="667" t="s">
        <v>2282</v>
      </c>
      <c r="M12" s="667" t="s">
        <v>2283</v>
      </c>
      <c r="N12" s="414"/>
    </row>
    <row r="13" spans="1:14">
      <c r="A13" s="521">
        <v>1</v>
      </c>
      <c r="B13" s="109" t="s">
        <v>274</v>
      </c>
      <c r="C13" s="708"/>
      <c r="D13" s="709"/>
      <c r="E13" s="710"/>
      <c r="F13" s="709"/>
      <c r="G13" s="711"/>
      <c r="H13" s="709"/>
      <c r="I13" s="709"/>
      <c r="J13" s="709"/>
      <c r="K13" s="709"/>
      <c r="L13" s="709"/>
      <c r="M13" s="712"/>
      <c r="N13" s="414">
        <v>1</v>
      </c>
    </row>
    <row r="14" spans="1:14">
      <c r="A14" s="521">
        <f t="shared" ref="A14:A22" si="0">A13+1</f>
        <v>2</v>
      </c>
      <c r="B14" s="109" t="s">
        <v>4260</v>
      </c>
      <c r="C14" s="713" t="s">
        <v>2390</v>
      </c>
      <c r="D14" s="714" t="s">
        <v>2390</v>
      </c>
      <c r="E14" s="715" t="s">
        <v>4373</v>
      </c>
      <c r="F14" s="714"/>
      <c r="G14" s="696"/>
      <c r="H14" s="714"/>
      <c r="I14" s="716" t="s">
        <v>4373</v>
      </c>
      <c r="J14" s="714" t="s">
        <v>4373</v>
      </c>
      <c r="K14" s="716"/>
      <c r="L14" s="714"/>
      <c r="M14" s="717" t="s">
        <v>4373</v>
      </c>
      <c r="N14" s="414">
        <f t="shared" ref="N14:N22" si="1">N13+1</f>
        <v>2</v>
      </c>
    </row>
    <row r="15" spans="1:14">
      <c r="A15" s="521">
        <f t="shared" si="0"/>
        <v>3</v>
      </c>
      <c r="B15" s="109" t="s">
        <v>275</v>
      </c>
      <c r="C15" s="422"/>
      <c r="D15" s="422"/>
      <c r="E15" s="541"/>
      <c r="F15" s="1976"/>
      <c r="G15" s="424"/>
      <c r="H15" s="422"/>
      <c r="I15" s="718"/>
      <c r="J15" s="422"/>
      <c r="K15" s="718"/>
      <c r="L15" s="422"/>
      <c r="M15" s="422">
        <f>C15+D15-E15+G15-H15-J15+L15</f>
        <v>0</v>
      </c>
      <c r="N15" s="414">
        <f t="shared" si="1"/>
        <v>3</v>
      </c>
    </row>
    <row r="16" spans="1:14">
      <c r="A16" s="521">
        <f t="shared" si="0"/>
        <v>4</v>
      </c>
      <c r="B16" s="109" t="s">
        <v>276</v>
      </c>
      <c r="C16" s="426"/>
      <c r="D16" s="426"/>
      <c r="E16" s="432"/>
      <c r="F16" s="447"/>
      <c r="G16" s="428"/>
      <c r="H16" s="426"/>
      <c r="I16" s="718"/>
      <c r="J16" s="426"/>
      <c r="K16" s="718"/>
      <c r="L16" s="426"/>
      <c r="M16" s="426">
        <f>C16+D16-E16+G16-H16-J16+L16</f>
        <v>0</v>
      </c>
      <c r="N16" s="414">
        <f t="shared" si="1"/>
        <v>4</v>
      </c>
    </row>
    <row r="17" spans="1:14">
      <c r="A17" s="521">
        <f t="shared" si="0"/>
        <v>5</v>
      </c>
      <c r="B17" s="109" t="s">
        <v>3322</v>
      </c>
      <c r="C17" s="426"/>
      <c r="D17" s="426"/>
      <c r="E17" s="432"/>
      <c r="F17" s="447"/>
      <c r="G17" s="428"/>
      <c r="H17" s="426"/>
      <c r="I17" s="718"/>
      <c r="J17" s="426"/>
      <c r="K17" s="718"/>
      <c r="L17" s="426"/>
      <c r="M17" s="426">
        <f>C17+D17-E17+G17-H17-J17+L17</f>
        <v>0</v>
      </c>
      <c r="N17" s="414">
        <f t="shared" si="1"/>
        <v>5</v>
      </c>
    </row>
    <row r="18" spans="1:14">
      <c r="A18" s="521">
        <f t="shared" si="0"/>
        <v>6</v>
      </c>
      <c r="B18" s="109"/>
      <c r="C18" s="426"/>
      <c r="D18" s="426"/>
      <c r="E18" s="432"/>
      <c r="F18" s="447"/>
      <c r="G18" s="428"/>
      <c r="H18" s="426"/>
      <c r="I18" s="718"/>
      <c r="J18" s="426"/>
      <c r="K18" s="718"/>
      <c r="L18" s="426"/>
      <c r="M18" s="426">
        <f>C18+D18-E18+G18-H18-J18+L18</f>
        <v>0</v>
      </c>
      <c r="N18" s="414">
        <f t="shared" si="1"/>
        <v>6</v>
      </c>
    </row>
    <row r="19" spans="1:14">
      <c r="A19" s="521">
        <f t="shared" si="0"/>
        <v>7</v>
      </c>
      <c r="B19" s="109" t="s">
        <v>2390</v>
      </c>
      <c r="C19" s="426"/>
      <c r="D19" s="426"/>
      <c r="E19" s="432"/>
      <c r="F19" s="447"/>
      <c r="G19" s="428"/>
      <c r="H19" s="426"/>
      <c r="I19" s="718"/>
      <c r="J19" s="426"/>
      <c r="K19" s="718"/>
      <c r="L19" s="426"/>
      <c r="M19" s="426">
        <f>C19+D19-E19+G19-H19-J19+L19</f>
        <v>0</v>
      </c>
      <c r="N19" s="414">
        <f t="shared" si="1"/>
        <v>7</v>
      </c>
    </row>
    <row r="20" spans="1:14">
      <c r="A20" s="521">
        <f t="shared" si="0"/>
        <v>8</v>
      </c>
      <c r="B20" s="109" t="s">
        <v>277</v>
      </c>
      <c r="C20" s="426">
        <f>SUM(C15:C19)</f>
        <v>0</v>
      </c>
      <c r="D20" s="426">
        <f>SUM(D15:D19)</f>
        <v>0</v>
      </c>
      <c r="E20" s="432">
        <f>SUM(E15:E19)</f>
        <v>0</v>
      </c>
      <c r="F20" s="447"/>
      <c r="G20" s="428">
        <f>SUM(G15:G19)</f>
        <v>0</v>
      </c>
      <c r="H20" s="426">
        <f>SUM(H15:H19)</f>
        <v>0</v>
      </c>
      <c r="I20" s="718"/>
      <c r="J20" s="426">
        <f>SUM(J15:J19)</f>
        <v>0</v>
      </c>
      <c r="K20" s="718"/>
      <c r="L20" s="426">
        <f>SUM(L15:L19)</f>
        <v>0</v>
      </c>
      <c r="M20" s="426">
        <f>SUM(M15:M19)</f>
        <v>0</v>
      </c>
      <c r="N20" s="414">
        <f t="shared" si="1"/>
        <v>8</v>
      </c>
    </row>
    <row r="21" spans="1:14">
      <c r="A21" s="521">
        <f t="shared" si="0"/>
        <v>9</v>
      </c>
      <c r="B21" s="109" t="s">
        <v>4259</v>
      </c>
      <c r="C21" s="426"/>
      <c r="D21" s="426"/>
      <c r="E21" s="432"/>
      <c r="F21" s="447"/>
      <c r="G21" s="428"/>
      <c r="H21" s="426"/>
      <c r="I21" s="718"/>
      <c r="J21" s="426"/>
      <c r="K21" s="718"/>
      <c r="L21" s="426"/>
      <c r="M21" s="426">
        <f>C21+D21-E21+G21-H21-J21+L21</f>
        <v>0</v>
      </c>
      <c r="N21" s="414">
        <f t="shared" si="1"/>
        <v>9</v>
      </c>
    </row>
    <row r="22" spans="1:14">
      <c r="A22" s="521">
        <f t="shared" si="0"/>
        <v>10</v>
      </c>
      <c r="B22" s="109" t="s">
        <v>2147</v>
      </c>
      <c r="C22" s="422">
        <f>C20+C21</f>
        <v>0</v>
      </c>
      <c r="D22" s="422">
        <f>D20+D21</f>
        <v>0</v>
      </c>
      <c r="E22" s="541">
        <f>E20+E21</f>
        <v>0</v>
      </c>
      <c r="F22" s="1976"/>
      <c r="G22" s="424">
        <f>G20+G21</f>
        <v>0</v>
      </c>
      <c r="H22" s="422">
        <f>H20+H21</f>
        <v>0</v>
      </c>
      <c r="I22" s="718"/>
      <c r="J22" s="422">
        <f>J20+J21</f>
        <v>0</v>
      </c>
      <c r="K22" s="718"/>
      <c r="L22" s="422">
        <f>L20+L21</f>
        <v>0</v>
      </c>
      <c r="M22" s="422">
        <f>M20+M21</f>
        <v>0</v>
      </c>
      <c r="N22" s="414">
        <f t="shared" si="1"/>
        <v>10</v>
      </c>
    </row>
    <row r="23" spans="1:14">
      <c r="A23" s="521"/>
      <c r="B23" s="109"/>
      <c r="C23" s="708"/>
      <c r="D23" s="709"/>
      <c r="E23" s="710"/>
      <c r="F23" s="709"/>
      <c r="G23" s="711"/>
      <c r="H23" s="709"/>
      <c r="I23" s="709"/>
      <c r="J23" s="709"/>
      <c r="K23" s="709"/>
      <c r="L23" s="709"/>
      <c r="M23" s="712"/>
      <c r="N23" s="414"/>
    </row>
    <row r="24" spans="1:14">
      <c r="A24" s="521" t="s">
        <v>4373</v>
      </c>
      <c r="B24" s="109" t="s">
        <v>2148</v>
      </c>
      <c r="C24" s="704"/>
      <c r="D24" s="692"/>
      <c r="E24" s="719"/>
      <c r="F24" s="1978"/>
      <c r="G24" s="720"/>
      <c r="H24" s="692"/>
      <c r="I24" s="692"/>
      <c r="J24" s="692"/>
      <c r="K24" s="692"/>
      <c r="L24" s="692"/>
      <c r="M24" s="721"/>
      <c r="N24" s="410" t="s">
        <v>4373</v>
      </c>
    </row>
    <row r="25" spans="1:14">
      <c r="A25" s="521">
        <v>11</v>
      </c>
      <c r="B25" s="109" t="s">
        <v>4260</v>
      </c>
      <c r="C25" s="713" t="s">
        <v>2390</v>
      </c>
      <c r="D25" s="714" t="s">
        <v>2390</v>
      </c>
      <c r="E25" s="715" t="s">
        <v>4373</v>
      </c>
      <c r="F25" s="714"/>
      <c r="G25" s="696"/>
      <c r="H25" s="714"/>
      <c r="I25" s="716" t="s">
        <v>4373</v>
      </c>
      <c r="J25" s="714" t="s">
        <v>4373</v>
      </c>
      <c r="K25" s="716"/>
      <c r="L25" s="714"/>
      <c r="M25" s="717" t="s">
        <v>4373</v>
      </c>
      <c r="N25" s="414">
        <v>11</v>
      </c>
    </row>
    <row r="26" spans="1:14">
      <c r="A26" s="521">
        <f t="shared" ref="A26:A33" si="2">A25+1</f>
        <v>12</v>
      </c>
      <c r="B26" s="109" t="s">
        <v>909</v>
      </c>
      <c r="C26" s="422"/>
      <c r="D26" s="422">
        <v>0</v>
      </c>
      <c r="E26" s="541"/>
      <c r="F26" s="1976"/>
      <c r="G26" s="424"/>
      <c r="H26" s="422"/>
      <c r="I26" s="1014"/>
      <c r="J26" s="422"/>
      <c r="K26" s="718"/>
      <c r="L26" s="422"/>
      <c r="M26" s="422">
        <f>C26+D26-E26+G26-H26-J26+L26</f>
        <v>0</v>
      </c>
      <c r="N26" s="414">
        <f t="shared" ref="N26:N33" si="3">N25+1</f>
        <v>12</v>
      </c>
    </row>
    <row r="27" spans="1:14">
      <c r="A27" s="521">
        <f t="shared" si="2"/>
        <v>13</v>
      </c>
      <c r="B27" s="109" t="s">
        <v>910</v>
      </c>
      <c r="C27" s="426"/>
      <c r="D27" s="426">
        <v>0</v>
      </c>
      <c r="E27" s="432"/>
      <c r="F27" s="447"/>
      <c r="G27" s="428"/>
      <c r="H27" s="426"/>
      <c r="I27" s="718"/>
      <c r="J27" s="426"/>
      <c r="K27" s="718"/>
      <c r="L27" s="426"/>
      <c r="M27" s="426">
        <f>C27+D27-E27+G27-H27-J27+L27</f>
        <v>0</v>
      </c>
      <c r="N27" s="414">
        <f t="shared" si="3"/>
        <v>13</v>
      </c>
    </row>
    <row r="28" spans="1:14">
      <c r="A28" s="521">
        <f t="shared" si="2"/>
        <v>14</v>
      </c>
      <c r="B28" s="109"/>
      <c r="C28" s="426"/>
      <c r="D28" s="426"/>
      <c r="E28" s="432"/>
      <c r="F28" s="447"/>
      <c r="G28" s="428"/>
      <c r="H28" s="426"/>
      <c r="I28" s="718"/>
      <c r="J28" s="426"/>
      <c r="K28" s="718"/>
      <c r="L28" s="426"/>
      <c r="M28" s="426">
        <f>C28+D28-E28+G28-H28-J28+L28</f>
        <v>0</v>
      </c>
      <c r="N28" s="414">
        <f t="shared" si="3"/>
        <v>14</v>
      </c>
    </row>
    <row r="29" spans="1:14">
      <c r="A29" s="521">
        <f t="shared" si="2"/>
        <v>15</v>
      </c>
      <c r="B29" s="109"/>
      <c r="C29" s="426"/>
      <c r="D29" s="426"/>
      <c r="E29" s="432"/>
      <c r="F29" s="447"/>
      <c r="G29" s="428"/>
      <c r="H29" s="426"/>
      <c r="I29" s="718"/>
      <c r="J29" s="426"/>
      <c r="K29" s="718"/>
      <c r="L29" s="426"/>
      <c r="M29" s="426">
        <f>C29+D29-E29+G29-H29-J29+L29</f>
        <v>0</v>
      </c>
      <c r="N29" s="414">
        <f t="shared" si="3"/>
        <v>15</v>
      </c>
    </row>
    <row r="30" spans="1:14">
      <c r="A30" s="521">
        <f t="shared" si="2"/>
        <v>16</v>
      </c>
      <c r="B30" s="109" t="s">
        <v>2390</v>
      </c>
      <c r="C30" s="426"/>
      <c r="D30" s="426"/>
      <c r="E30" s="432"/>
      <c r="F30" s="447"/>
      <c r="G30" s="428"/>
      <c r="H30" s="426"/>
      <c r="I30" s="718"/>
      <c r="J30" s="426"/>
      <c r="K30" s="718"/>
      <c r="L30" s="426"/>
      <c r="M30" s="426">
        <f>C30+D30-E30+G30-H30-J30+L30</f>
        <v>0</v>
      </c>
      <c r="N30" s="414">
        <f t="shared" si="3"/>
        <v>16</v>
      </c>
    </row>
    <row r="31" spans="1:14">
      <c r="A31" s="521">
        <f t="shared" si="2"/>
        <v>17</v>
      </c>
      <c r="B31" s="109" t="s">
        <v>2873</v>
      </c>
      <c r="C31" s="426">
        <f>SUM(C26:C30)</f>
        <v>0</v>
      </c>
      <c r="D31" s="426">
        <f>SUM(D26:D30)</f>
        <v>0</v>
      </c>
      <c r="E31" s="432">
        <f>SUM(E26:E30)</f>
        <v>0</v>
      </c>
      <c r="F31" s="447"/>
      <c r="G31" s="428">
        <f>SUM(G26:G30)</f>
        <v>0</v>
      </c>
      <c r="H31" s="426">
        <f>SUM(H26:H30)</f>
        <v>0</v>
      </c>
      <c r="I31" s="718"/>
      <c r="J31" s="426">
        <f>SUM(J26:J30)</f>
        <v>0</v>
      </c>
      <c r="K31" s="718"/>
      <c r="L31" s="426">
        <f>SUM(L26:L30)</f>
        <v>0</v>
      </c>
      <c r="M31" s="426">
        <f>SUM(M26:M30)</f>
        <v>0</v>
      </c>
      <c r="N31" s="414">
        <f t="shared" si="3"/>
        <v>17</v>
      </c>
    </row>
    <row r="32" spans="1:14">
      <c r="A32" s="521">
        <f t="shared" si="2"/>
        <v>18</v>
      </c>
      <c r="B32" s="109" t="s">
        <v>4259</v>
      </c>
      <c r="C32" s="426"/>
      <c r="D32" s="426"/>
      <c r="E32" s="432"/>
      <c r="F32" s="447"/>
      <c r="G32" s="428"/>
      <c r="H32" s="426"/>
      <c r="I32" s="718"/>
      <c r="J32" s="426"/>
      <c r="K32" s="718"/>
      <c r="L32" s="426"/>
      <c r="M32" s="426">
        <f>C32+D32-E32+G32-H32-J32+L32</f>
        <v>0</v>
      </c>
      <c r="N32" s="414">
        <f t="shared" si="3"/>
        <v>18</v>
      </c>
    </row>
    <row r="33" spans="1:21">
      <c r="A33" s="521">
        <f t="shared" si="2"/>
        <v>19</v>
      </c>
      <c r="B33" s="109" t="s">
        <v>1254</v>
      </c>
      <c r="C33" s="422">
        <f>C31+C32</f>
        <v>0</v>
      </c>
      <c r="D33" s="422">
        <f>D31+D32</f>
        <v>0</v>
      </c>
      <c r="E33" s="541">
        <f>E31+E32</f>
        <v>0</v>
      </c>
      <c r="F33" s="1976"/>
      <c r="G33" s="424">
        <f>G31+G32</f>
        <v>0</v>
      </c>
      <c r="H33" s="422">
        <f>H31+H32</f>
        <v>0</v>
      </c>
      <c r="I33" s="718"/>
      <c r="J33" s="422">
        <f>J31+J32</f>
        <v>0</v>
      </c>
      <c r="K33" s="718"/>
      <c r="L33" s="422">
        <f>L31+L32</f>
        <v>0</v>
      </c>
      <c r="M33" s="422">
        <f>M31+M32</f>
        <v>0</v>
      </c>
      <c r="N33" s="414">
        <f t="shared" si="3"/>
        <v>19</v>
      </c>
    </row>
    <row r="34" spans="1:21">
      <c r="A34" s="444"/>
      <c r="B34" s="109"/>
      <c r="C34" s="708"/>
      <c r="D34" s="709"/>
      <c r="E34" s="710"/>
      <c r="F34" s="709"/>
      <c r="G34" s="711"/>
      <c r="H34" s="709"/>
      <c r="I34" s="709"/>
      <c r="J34" s="709"/>
      <c r="K34" s="709"/>
      <c r="L34" s="709"/>
      <c r="M34" s="712"/>
      <c r="N34" s="410"/>
    </row>
    <row r="35" spans="1:21">
      <c r="A35" s="520">
        <v>20</v>
      </c>
      <c r="B35" s="109" t="s">
        <v>1255</v>
      </c>
      <c r="C35" s="704"/>
      <c r="D35" s="692"/>
      <c r="E35" s="719"/>
      <c r="F35" s="1978"/>
      <c r="G35" s="720"/>
      <c r="H35" s="692"/>
      <c r="I35" s="692"/>
      <c r="J35" s="692"/>
      <c r="K35" s="692"/>
      <c r="L35" s="692"/>
      <c r="M35" s="721"/>
      <c r="N35" s="633">
        <v>20</v>
      </c>
      <c r="P35"/>
      <c r="Q35"/>
    </row>
    <row r="36" spans="1:21">
      <c r="A36" s="520">
        <f t="shared" ref="A36:A47" si="4">A35+1</f>
        <v>21</v>
      </c>
      <c r="B36" s="109" t="s">
        <v>4260</v>
      </c>
      <c r="C36" s="713" t="s">
        <v>2390</v>
      </c>
      <c r="D36" s="714" t="s">
        <v>2390</v>
      </c>
      <c r="E36" s="715" t="s">
        <v>4373</v>
      </c>
      <c r="F36" s="714"/>
      <c r="G36" s="696"/>
      <c r="H36" s="714"/>
      <c r="I36" s="716" t="s">
        <v>4373</v>
      </c>
      <c r="J36" s="714" t="s">
        <v>4373</v>
      </c>
      <c r="K36" s="716"/>
      <c r="L36" s="714"/>
      <c r="M36" s="717" t="s">
        <v>4373</v>
      </c>
      <c r="N36" s="633">
        <f t="shared" ref="N36:N47" si="5">N35+1</f>
        <v>21</v>
      </c>
      <c r="P36"/>
      <c r="Q36"/>
    </row>
    <row r="37" spans="1:21">
      <c r="A37" s="520">
        <f t="shared" si="4"/>
        <v>22</v>
      </c>
      <c r="B37" s="109" t="s">
        <v>911</v>
      </c>
      <c r="C37" s="422"/>
      <c r="D37" s="422"/>
      <c r="E37" s="541"/>
      <c r="F37" s="1976"/>
      <c r="G37" s="424"/>
      <c r="H37" s="422"/>
      <c r="I37" s="718"/>
      <c r="J37" s="422"/>
      <c r="K37" s="718"/>
      <c r="L37" s="422"/>
      <c r="M37" s="422">
        <f>C37-D37+E37+G37-H37-J37+L37</f>
        <v>0</v>
      </c>
      <c r="N37" s="633">
        <f t="shared" si="5"/>
        <v>22</v>
      </c>
      <c r="P37"/>
      <c r="Q37"/>
      <c r="U37" s="643"/>
    </row>
    <row r="38" spans="1:21">
      <c r="A38" s="520">
        <f t="shared" si="4"/>
        <v>23</v>
      </c>
      <c r="B38" s="109" t="s">
        <v>3893</v>
      </c>
      <c r="C38" s="1656">
        <v>28956615</v>
      </c>
      <c r="D38" s="1855">
        <f>248571+284831+7476418-1964791</f>
        <v>6045029</v>
      </c>
      <c r="E38" s="1728">
        <v>0</v>
      </c>
      <c r="F38" s="1963"/>
      <c r="G38" s="428"/>
      <c r="H38" s="426"/>
      <c r="I38" s="2340"/>
      <c r="J38" s="426"/>
      <c r="K38" s="2340" t="s">
        <v>4901</v>
      </c>
      <c r="L38" s="1656">
        <f>-36966435+34122953+1964791+319915</f>
        <v>-558776</v>
      </c>
      <c r="M38" s="426">
        <f>C38+D38+E38+G38-H38-J38+L38</f>
        <v>34442868</v>
      </c>
      <c r="N38" s="633">
        <f t="shared" si="5"/>
        <v>23</v>
      </c>
      <c r="P38"/>
      <c r="Q38"/>
    </row>
    <row r="39" spans="1:21">
      <c r="A39" s="520">
        <f t="shared" si="4"/>
        <v>24</v>
      </c>
      <c r="B39" s="109" t="s">
        <v>943</v>
      </c>
      <c r="C39" s="1656">
        <v>2840789</v>
      </c>
      <c r="D39" s="1656">
        <f>-27417+26903+1543574-388962</f>
        <v>1154098</v>
      </c>
      <c r="E39" s="1825">
        <v>0</v>
      </c>
      <c r="F39" s="1827"/>
      <c r="G39" s="428"/>
      <c r="H39" s="426"/>
      <c r="I39" s="718"/>
      <c r="J39" s="426"/>
      <c r="K39" s="2340" t="s">
        <v>4901</v>
      </c>
      <c r="L39" s="1656">
        <f>-4383849+4619554+388962-376732</f>
        <v>247935</v>
      </c>
      <c r="M39" s="426">
        <f>C39+D39+E39+G39-H39-J39+L39</f>
        <v>4242822</v>
      </c>
      <c r="N39" s="633">
        <f t="shared" si="5"/>
        <v>24</v>
      </c>
      <c r="P39"/>
      <c r="Q39"/>
    </row>
    <row r="40" spans="1:21">
      <c r="A40" s="520">
        <f t="shared" si="4"/>
        <v>25</v>
      </c>
      <c r="B40" s="109"/>
      <c r="C40" s="1656"/>
      <c r="D40" s="426"/>
      <c r="E40" s="432"/>
      <c r="F40" s="447"/>
      <c r="G40" s="428"/>
      <c r="H40" s="426"/>
      <c r="I40" s="718"/>
      <c r="J40" s="1656"/>
      <c r="K40" s="718"/>
      <c r="L40" s="1656"/>
      <c r="M40" s="426">
        <f>C40+D40+E40+G40-H40-J40+L40</f>
        <v>0</v>
      </c>
      <c r="N40" s="633">
        <f t="shared" si="5"/>
        <v>25</v>
      </c>
      <c r="P40"/>
      <c r="Q40"/>
    </row>
    <row r="41" spans="1:21">
      <c r="A41" s="520">
        <f t="shared" si="4"/>
        <v>26</v>
      </c>
      <c r="B41" s="109"/>
      <c r="C41" s="1656">
        <v>0</v>
      </c>
      <c r="D41" s="426"/>
      <c r="E41" s="432"/>
      <c r="F41" s="447"/>
      <c r="G41" s="428"/>
      <c r="H41" s="426"/>
      <c r="I41" s="718"/>
      <c r="J41" s="426"/>
      <c r="K41" s="718"/>
      <c r="L41" s="426"/>
      <c r="M41" s="426">
        <f>C41+D41-E41+G41-H41-J41+L41+R41</f>
        <v>0</v>
      </c>
      <c r="N41" s="633">
        <f t="shared" si="5"/>
        <v>26</v>
      </c>
      <c r="R41" s="1727"/>
    </row>
    <row r="42" spans="1:21">
      <c r="A42" s="520">
        <f t="shared" si="4"/>
        <v>27</v>
      </c>
      <c r="B42" s="109" t="s">
        <v>318</v>
      </c>
      <c r="C42" s="426">
        <v>0</v>
      </c>
      <c r="D42" s="426"/>
      <c r="E42" s="432"/>
      <c r="F42" s="447"/>
      <c r="G42" s="428"/>
      <c r="H42" s="426"/>
      <c r="I42" s="718"/>
      <c r="J42" s="426"/>
      <c r="K42" s="718"/>
      <c r="L42" s="426"/>
      <c r="M42" s="426">
        <f>C42+D42-E42+G42-H42-J42+L42</f>
        <v>0</v>
      </c>
      <c r="N42" s="633">
        <f t="shared" si="5"/>
        <v>27</v>
      </c>
    </row>
    <row r="43" spans="1:21">
      <c r="A43" s="520">
        <f t="shared" si="4"/>
        <v>28</v>
      </c>
      <c r="B43" s="109"/>
      <c r="C43" s="426">
        <v>0</v>
      </c>
      <c r="D43" s="426"/>
      <c r="E43" s="432"/>
      <c r="F43" s="447"/>
      <c r="G43" s="428"/>
      <c r="H43" s="426"/>
      <c r="I43" s="718"/>
      <c r="J43" s="426"/>
      <c r="K43" s="718"/>
      <c r="L43" s="426"/>
      <c r="M43" s="426">
        <f>C43+D43-E43+G43-H43-J43+L43</f>
        <v>0</v>
      </c>
      <c r="N43" s="633">
        <f t="shared" si="5"/>
        <v>28</v>
      </c>
    </row>
    <row r="44" spans="1:21">
      <c r="A44" s="520">
        <f t="shared" si="4"/>
        <v>29</v>
      </c>
      <c r="B44" s="109" t="s">
        <v>2390</v>
      </c>
      <c r="C44" s="426">
        <v>0</v>
      </c>
      <c r="D44" s="426"/>
      <c r="E44" s="432"/>
      <c r="F44" s="447"/>
      <c r="G44" s="428"/>
      <c r="H44" s="426"/>
      <c r="I44" s="718"/>
      <c r="J44" s="426"/>
      <c r="K44" s="718"/>
      <c r="L44" s="426"/>
      <c r="M44" s="426">
        <f>C44+D44-E44+G44-H44-J44+L44</f>
        <v>0</v>
      </c>
      <c r="N44" s="633">
        <f t="shared" si="5"/>
        <v>29</v>
      </c>
    </row>
    <row r="45" spans="1:21">
      <c r="A45" s="520">
        <f t="shared" si="4"/>
        <v>30</v>
      </c>
      <c r="B45" s="109" t="s">
        <v>1256</v>
      </c>
      <c r="C45" s="426">
        <f>SUM(C38:C44)</f>
        <v>31797404</v>
      </c>
      <c r="D45" s="426">
        <f>SUM(D37:D44)</f>
        <v>7199127</v>
      </c>
      <c r="E45" s="432">
        <f>SUM(E37:E44)</f>
        <v>0</v>
      </c>
      <c r="F45" s="447"/>
      <c r="G45" s="428">
        <f>SUM(G37:G44)</f>
        <v>0</v>
      </c>
      <c r="H45" s="426">
        <f>SUM(H37:H44)</f>
        <v>0</v>
      </c>
      <c r="I45" s="718"/>
      <c r="J45" s="426">
        <f>SUM(J37:J44)</f>
        <v>0</v>
      </c>
      <c r="K45" s="718"/>
      <c r="L45" s="426">
        <f>SUM(L37:L44)</f>
        <v>-310841</v>
      </c>
      <c r="M45" s="426">
        <f>SUM(M37:M44)</f>
        <v>38685690</v>
      </c>
      <c r="N45" s="633">
        <f t="shared" si="5"/>
        <v>30</v>
      </c>
    </row>
    <row r="46" spans="1:21">
      <c r="A46" s="520">
        <f t="shared" si="4"/>
        <v>31</v>
      </c>
      <c r="B46" s="1703"/>
      <c r="C46" s="426">
        <v>0</v>
      </c>
      <c r="D46" s="426"/>
      <c r="E46" s="432"/>
      <c r="F46" s="447"/>
      <c r="G46" s="428"/>
      <c r="H46" s="426"/>
      <c r="I46" s="718"/>
      <c r="J46" s="426"/>
      <c r="K46" s="718"/>
      <c r="L46" s="426"/>
      <c r="M46" s="426">
        <f>C46-D46+E46+G46-H46-J46+L46</f>
        <v>0</v>
      </c>
      <c r="N46" s="633">
        <f t="shared" si="5"/>
        <v>31</v>
      </c>
    </row>
    <row r="47" spans="1:21">
      <c r="A47" s="415">
        <f t="shared" si="4"/>
        <v>32</v>
      </c>
      <c r="B47" s="109" t="s">
        <v>1257</v>
      </c>
      <c r="C47" s="422">
        <f>C45</f>
        <v>31797404</v>
      </c>
      <c r="D47" s="422">
        <f>D45+D46</f>
        <v>7199127</v>
      </c>
      <c r="E47" s="541">
        <f>E45+E46</f>
        <v>0</v>
      </c>
      <c r="F47" s="1976"/>
      <c r="G47" s="424">
        <f>G45+G46</f>
        <v>0</v>
      </c>
      <c r="H47" s="422">
        <f>H45+H46</f>
        <v>0</v>
      </c>
      <c r="I47" s="718"/>
      <c r="J47" s="422">
        <f>J45+J46</f>
        <v>0</v>
      </c>
      <c r="K47" s="718"/>
      <c r="L47" s="422">
        <f>L45+L46</f>
        <v>-310841</v>
      </c>
      <c r="M47" s="422">
        <f>M45+M46</f>
        <v>38685690</v>
      </c>
      <c r="N47" s="420">
        <f t="shared" si="5"/>
        <v>32</v>
      </c>
    </row>
    <row r="48" spans="1:21">
      <c r="A48" s="205" t="s">
        <v>163</v>
      </c>
      <c r="B48" s="109"/>
      <c r="C48" s="708"/>
      <c r="D48" s="709"/>
      <c r="E48" s="710"/>
      <c r="F48" s="709"/>
      <c r="G48" s="711"/>
      <c r="H48" s="709"/>
      <c r="I48" s="709"/>
      <c r="J48" s="709"/>
      <c r="K48" s="709"/>
      <c r="L48" s="709"/>
      <c r="M48" s="712"/>
      <c r="N48" s="112"/>
    </row>
    <row r="49" spans="1:17">
      <c r="A49" s="521">
        <v>33</v>
      </c>
      <c r="B49" s="109" t="s">
        <v>4063</v>
      </c>
      <c r="C49" s="697"/>
      <c r="D49" s="716"/>
      <c r="E49" s="722"/>
      <c r="F49" s="716"/>
      <c r="G49" s="723"/>
      <c r="H49" s="716"/>
      <c r="I49" s="716"/>
      <c r="J49" s="716"/>
      <c r="K49" s="716"/>
      <c r="L49" s="716"/>
      <c r="M49" s="724"/>
      <c r="N49" s="414">
        <v>33</v>
      </c>
    </row>
    <row r="50" spans="1:17">
      <c r="A50" s="521">
        <v>34</v>
      </c>
      <c r="B50" s="110" t="s">
        <v>2016</v>
      </c>
      <c r="C50" s="726">
        <f>C20+C31+C45</f>
        <v>31797404</v>
      </c>
      <c r="D50" s="726">
        <f>D20+D31+D45</f>
        <v>7199127</v>
      </c>
      <c r="E50" s="727">
        <f>E20+E31+E45</f>
        <v>0</v>
      </c>
      <c r="F50" s="725"/>
      <c r="G50" s="728">
        <f t="shared" ref="C50:H51" si="6">G20+G31+G45</f>
        <v>0</v>
      </c>
      <c r="H50" s="726">
        <f t="shared" si="6"/>
        <v>0</v>
      </c>
      <c r="I50" s="111"/>
      <c r="J50" s="726">
        <f>J20+J31+J45</f>
        <v>0</v>
      </c>
      <c r="K50" s="111"/>
      <c r="L50" s="726">
        <f>L20+L31+L45</f>
        <v>-310841</v>
      </c>
      <c r="M50" s="726">
        <f>M20+M31+M45</f>
        <v>38685690</v>
      </c>
      <c r="N50" s="414">
        <v>34</v>
      </c>
    </row>
    <row r="51" spans="1:17">
      <c r="A51" s="521">
        <v>35</v>
      </c>
      <c r="B51" s="110" t="s">
        <v>96</v>
      </c>
      <c r="C51" s="456">
        <f t="shared" si="6"/>
        <v>0</v>
      </c>
      <c r="D51" s="599">
        <f t="shared" si="6"/>
        <v>0</v>
      </c>
      <c r="E51" s="482">
        <f t="shared" si="6"/>
        <v>0</v>
      </c>
      <c r="F51" s="456"/>
      <c r="G51" s="729">
        <f t="shared" si="6"/>
        <v>0</v>
      </c>
      <c r="H51" s="599">
        <f t="shared" si="6"/>
        <v>0</v>
      </c>
      <c r="I51" s="111"/>
      <c r="J51" s="599">
        <f>J21+J32+J46</f>
        <v>0</v>
      </c>
      <c r="K51" s="111"/>
      <c r="L51" s="599">
        <f>L21+L32+L46</f>
        <v>0</v>
      </c>
      <c r="M51" s="599">
        <f>M21+M32+M46</f>
        <v>0</v>
      </c>
      <c r="N51" s="414">
        <v>35</v>
      </c>
      <c r="P51"/>
      <c r="Q51"/>
    </row>
    <row r="52" spans="1:17">
      <c r="A52" s="521">
        <v>36</v>
      </c>
      <c r="B52" s="110" t="s">
        <v>2017</v>
      </c>
      <c r="C52" s="725">
        <f>SUM(C50:C51)</f>
        <v>31797404</v>
      </c>
      <c r="D52" s="726">
        <f>SUM(D50:D51)</f>
        <v>7199127</v>
      </c>
      <c r="E52" s="727">
        <f>SUM(E50:E51)</f>
        <v>0</v>
      </c>
      <c r="F52" s="725"/>
      <c r="G52" s="728">
        <f>SUM(G50:G51)</f>
        <v>0</v>
      </c>
      <c r="H52" s="726">
        <f>SUM(H50:H51)</f>
        <v>0</v>
      </c>
      <c r="I52" s="111"/>
      <c r="J52" s="726">
        <f>SUM(J50:J51)</f>
        <v>0</v>
      </c>
      <c r="K52" s="111"/>
      <c r="L52" s="726">
        <f>SUM(L50:L51)</f>
        <v>-310841</v>
      </c>
      <c r="M52" s="726">
        <f>SUM(M50:M51)</f>
        <v>38685690</v>
      </c>
      <c r="N52" s="414">
        <v>36</v>
      </c>
      <c r="P52"/>
      <c r="Q52"/>
    </row>
    <row r="53" spans="1:17">
      <c r="A53" s="96"/>
      <c r="B53" s="97"/>
      <c r="C53" s="97"/>
      <c r="D53" s="97"/>
      <c r="E53" s="98"/>
      <c r="F53" s="847"/>
      <c r="G53" s="96"/>
      <c r="H53" s="97"/>
      <c r="I53" s="97"/>
      <c r="J53" s="97"/>
      <c r="K53" s="97"/>
      <c r="L53" s="97"/>
      <c r="M53" s="97"/>
      <c r="N53" s="98"/>
      <c r="P53"/>
      <c r="Q53"/>
    </row>
    <row r="54" spans="1:17">
      <c r="A54" s="96"/>
      <c r="B54" s="97"/>
      <c r="C54" s="2078"/>
      <c r="E54" s="2817"/>
      <c r="F54" s="847"/>
      <c r="G54" s="96"/>
      <c r="H54" s="97"/>
      <c r="I54" s="97"/>
      <c r="J54" s="2078"/>
      <c r="K54" s="97"/>
      <c r="L54" s="97"/>
      <c r="M54" s="97"/>
      <c r="N54" s="98"/>
      <c r="P54"/>
      <c r="Q54"/>
    </row>
    <row r="55" spans="1:17">
      <c r="A55" s="96"/>
      <c r="B55" s="97"/>
      <c r="C55" s="97"/>
      <c r="E55" s="2817"/>
      <c r="F55" s="1968"/>
      <c r="G55" s="96"/>
      <c r="H55" s="97"/>
      <c r="I55" s="97"/>
      <c r="J55" s="97"/>
      <c r="K55" s="97"/>
      <c r="N55" s="98"/>
      <c r="P55"/>
      <c r="Q55"/>
    </row>
    <row r="56" spans="1:17">
      <c r="A56" s="96"/>
      <c r="B56" s="97"/>
      <c r="C56" s="97"/>
      <c r="D56" s="97"/>
      <c r="E56" s="98"/>
      <c r="F56" s="847"/>
      <c r="G56" s="96"/>
      <c r="H56" s="97"/>
      <c r="I56" s="97"/>
      <c r="J56" s="97"/>
      <c r="K56" s="97"/>
      <c r="N56" s="98"/>
      <c r="P56"/>
      <c r="Q56"/>
    </row>
    <row r="57" spans="1:17">
      <c r="A57" s="96"/>
      <c r="B57" s="97"/>
      <c r="C57" s="97"/>
      <c r="D57" s="97"/>
      <c r="E57" s="98"/>
      <c r="F57" s="847"/>
      <c r="G57" s="96"/>
      <c r="H57" s="97"/>
      <c r="I57" s="97"/>
      <c r="J57" s="97"/>
      <c r="K57" s="97"/>
      <c r="L57" s="97"/>
      <c r="M57" s="97"/>
      <c r="N57" s="98"/>
      <c r="P57"/>
      <c r="Q57"/>
    </row>
    <row r="58" spans="1:17" ht="15.75" thickBot="1">
      <c r="A58" s="172"/>
      <c r="B58" s="124"/>
      <c r="C58" s="124"/>
      <c r="D58" s="124"/>
      <c r="E58" s="127"/>
      <c r="F58" s="124"/>
      <c r="G58" s="172"/>
      <c r="H58" s="124"/>
      <c r="I58" s="124"/>
      <c r="J58" s="124"/>
      <c r="K58" s="124"/>
      <c r="L58" s="124"/>
      <c r="M58" s="124"/>
      <c r="N58" s="127"/>
      <c r="P58"/>
      <c r="Q58"/>
    </row>
    <row r="59" spans="1:17">
      <c r="A59" s="730" t="s">
        <v>4066</v>
      </c>
      <c r="B59" s="128"/>
      <c r="C59" s="11"/>
      <c r="D59" s="128"/>
      <c r="E59" s="128"/>
      <c r="F59" s="128"/>
      <c r="G59" s="730"/>
      <c r="H59" s="128"/>
      <c r="I59" s="128"/>
      <c r="J59" s="11"/>
      <c r="K59" s="128"/>
      <c r="L59" s="128"/>
      <c r="M59" s="730" t="s">
        <v>4066</v>
      </c>
      <c r="N59" s="128"/>
      <c r="P59"/>
      <c r="Q59"/>
    </row>
    <row r="60" spans="1:17">
      <c r="A60" s="128" t="s">
        <v>2018</v>
      </c>
      <c r="B60" s="128"/>
      <c r="C60" s="128"/>
      <c r="D60" s="128"/>
      <c r="E60" s="128"/>
      <c r="F60" s="128"/>
      <c r="G60" s="128" t="s">
        <v>1094</v>
      </c>
      <c r="H60" s="128"/>
      <c r="I60" s="128"/>
      <c r="J60" s="128"/>
      <c r="K60" s="128"/>
      <c r="L60" s="128"/>
      <c r="M60" s="128"/>
      <c r="N60" s="128"/>
      <c r="P60"/>
      <c r="Q60"/>
    </row>
    <row r="61" spans="1:17">
      <c r="A61" s="128"/>
      <c r="B61" s="128"/>
      <c r="C61" s="128"/>
      <c r="D61" s="128"/>
      <c r="E61" s="128"/>
      <c r="F61" s="128"/>
      <c r="G61" s="97"/>
      <c r="H61" s="97"/>
      <c r="I61" s="97"/>
      <c r="J61" s="97"/>
      <c r="K61" s="97"/>
      <c r="L61" s="97"/>
      <c r="M61" s="97"/>
      <c r="N61" s="97"/>
      <c r="P61"/>
      <c r="Q61"/>
    </row>
    <row r="62" spans="1:17" ht="15.75">
      <c r="A62" s="97"/>
      <c r="B62" s="2079"/>
      <c r="C62" s="1784"/>
      <c r="D62" s="3004"/>
      <c r="E62" s="3005"/>
      <c r="F62" s="97"/>
      <c r="G62" s="97"/>
      <c r="H62" s="97"/>
      <c r="I62" s="97"/>
      <c r="J62" s="97"/>
      <c r="K62" s="97"/>
      <c r="L62" s="3008"/>
      <c r="M62" s="3009"/>
      <c r="N62" s="97"/>
      <c r="P62"/>
      <c r="Q62"/>
    </row>
    <row r="63" spans="1:17" ht="15.75">
      <c r="A63" s="97"/>
      <c r="B63" s="484" t="s">
        <v>179</v>
      </c>
      <c r="C63" s="97"/>
      <c r="D63" s="3006"/>
      <c r="E63" s="3007"/>
      <c r="F63" s="97"/>
      <c r="G63" s="97"/>
      <c r="H63" s="97"/>
      <c r="I63" s="97"/>
      <c r="J63" s="97"/>
      <c r="K63" s="97"/>
      <c r="L63" s="3008"/>
      <c r="M63" s="3010"/>
      <c r="N63" s="97"/>
      <c r="P63"/>
      <c r="Q63"/>
    </row>
    <row r="64" spans="1:17" ht="16.5" thickBot="1">
      <c r="A64" s="511"/>
      <c r="B64" s="11"/>
      <c r="C64" s="11"/>
      <c r="D64" s="141"/>
      <c r="E64" s="11"/>
      <c r="F64" s="11"/>
      <c r="G64" s="511"/>
      <c r="H64" s="11"/>
      <c r="I64" s="11"/>
      <c r="J64" s="11"/>
      <c r="K64" s="141"/>
      <c r="P64"/>
      <c r="Q64"/>
    </row>
    <row r="65" spans="1:17">
      <c r="A65" s="90"/>
      <c r="B65" s="91"/>
      <c r="C65" s="91"/>
      <c r="D65" s="91"/>
      <c r="E65" s="92"/>
      <c r="F65" s="91"/>
      <c r="G65" s="90"/>
      <c r="H65" s="91"/>
      <c r="I65" s="91"/>
      <c r="J65" s="91"/>
      <c r="K65" s="91"/>
      <c r="L65" s="91"/>
      <c r="M65" s="91"/>
      <c r="N65" s="92"/>
      <c r="P65"/>
      <c r="Q65"/>
    </row>
    <row r="66" spans="1:17" ht="15.75">
      <c r="A66" s="130" t="s">
        <v>1069</v>
      </c>
      <c r="B66" s="128"/>
      <c r="C66" s="128"/>
      <c r="D66" s="128"/>
      <c r="E66" s="145"/>
      <c r="F66" s="1358"/>
      <c r="G66" s="130" t="s">
        <v>1069</v>
      </c>
      <c r="H66" s="128"/>
      <c r="I66" s="128"/>
      <c r="J66" s="128"/>
      <c r="K66" s="128"/>
      <c r="L66" s="131"/>
      <c r="M66" s="128"/>
      <c r="N66" s="145"/>
      <c r="P66"/>
      <c r="Q66"/>
    </row>
    <row r="67" spans="1:17">
      <c r="A67" s="663"/>
      <c r="B67" s="146"/>
      <c r="C67" s="146"/>
      <c r="D67" s="146"/>
      <c r="E67" s="603"/>
      <c r="F67" s="146"/>
      <c r="G67" s="663"/>
      <c r="H67" s="146"/>
      <c r="I67" s="146"/>
      <c r="J67" s="146"/>
      <c r="K67" s="146"/>
      <c r="L67" s="146"/>
      <c r="M67" s="146"/>
      <c r="N67" s="603"/>
      <c r="P67"/>
      <c r="Q67"/>
    </row>
    <row r="68" spans="1:17">
      <c r="A68" s="731"/>
      <c r="B68" s="165"/>
      <c r="C68" s="165"/>
      <c r="D68" s="732"/>
      <c r="E68" s="733"/>
      <c r="F68" s="1979"/>
      <c r="G68" s="734"/>
      <c r="H68" s="732"/>
      <c r="I68" s="732"/>
      <c r="J68" s="732"/>
      <c r="K68" s="732"/>
      <c r="L68" s="732"/>
      <c r="M68" s="165"/>
      <c r="N68" s="735"/>
      <c r="P68"/>
      <c r="Q68"/>
    </row>
    <row r="69" spans="1:17">
      <c r="A69" s="731"/>
      <c r="B69" s="165"/>
      <c r="C69" s="165"/>
      <c r="D69" s="165"/>
      <c r="E69" s="736"/>
      <c r="F69" s="1619"/>
      <c r="G69" s="737"/>
      <c r="H69" s="165"/>
      <c r="I69" s="738"/>
      <c r="J69" s="165"/>
      <c r="K69" s="165"/>
      <c r="L69" s="165"/>
      <c r="M69" s="165"/>
      <c r="N69" s="735"/>
    </row>
    <row r="70" spans="1:17">
      <c r="A70" s="731"/>
      <c r="B70" s="165"/>
      <c r="C70" s="165"/>
      <c r="D70" s="165"/>
      <c r="E70" s="736"/>
      <c r="F70" s="1619"/>
      <c r="G70" s="737"/>
      <c r="H70" s="165"/>
      <c r="I70" s="165"/>
      <c r="J70" s="165"/>
      <c r="K70" s="165"/>
      <c r="L70" s="165"/>
      <c r="M70" s="165"/>
      <c r="N70" s="735"/>
    </row>
    <row r="71" spans="1:17">
      <c r="A71" s="731"/>
      <c r="B71" s="165"/>
      <c r="C71" s="165"/>
      <c r="D71" s="165"/>
      <c r="E71" s="736"/>
      <c r="F71" s="1619"/>
      <c r="G71" s="737"/>
      <c r="H71" s="165"/>
      <c r="I71" s="732"/>
      <c r="J71" s="165"/>
      <c r="K71" s="732"/>
      <c r="L71" s="165"/>
      <c r="M71" s="165"/>
      <c r="N71" s="735"/>
    </row>
    <row r="72" spans="1:17">
      <c r="A72" s="731"/>
      <c r="B72" s="165"/>
      <c r="C72" s="165"/>
      <c r="D72" s="165"/>
      <c r="E72" s="736"/>
      <c r="F72" s="1619"/>
      <c r="G72" s="737"/>
      <c r="H72" s="165"/>
      <c r="I72" s="165"/>
      <c r="J72" s="165"/>
      <c r="K72" s="165"/>
      <c r="L72" s="165"/>
      <c r="M72" s="165"/>
      <c r="N72" s="735"/>
    </row>
    <row r="73" spans="1:17">
      <c r="A73" s="731"/>
      <c r="B73" s="165"/>
      <c r="C73" s="165"/>
      <c r="D73" s="165"/>
      <c r="E73" s="736"/>
      <c r="F73" s="1619"/>
      <c r="G73" s="737"/>
      <c r="H73" s="165"/>
      <c r="I73" s="165"/>
      <c r="J73" s="165"/>
      <c r="K73" s="165"/>
      <c r="L73" s="165"/>
      <c r="M73" s="165"/>
      <c r="N73" s="735"/>
    </row>
    <row r="74" spans="1:17">
      <c r="A74" s="731"/>
      <c r="B74" s="165"/>
      <c r="C74" s="165"/>
      <c r="D74" s="165"/>
      <c r="E74" s="736"/>
      <c r="F74" s="1619"/>
      <c r="G74" s="737"/>
      <c r="H74" s="165"/>
      <c r="I74" s="165"/>
      <c r="J74" s="165"/>
      <c r="K74" s="165"/>
      <c r="L74" s="165"/>
      <c r="M74" s="165"/>
      <c r="N74" s="735"/>
    </row>
    <row r="75" spans="1:17">
      <c r="A75" s="731"/>
      <c r="B75" s="165"/>
      <c r="C75" s="165"/>
      <c r="D75" s="165"/>
      <c r="E75" s="736"/>
      <c r="F75" s="1619"/>
      <c r="G75" s="737"/>
      <c r="H75" s="165"/>
      <c r="I75" s="165"/>
      <c r="J75" s="165"/>
      <c r="K75" s="165"/>
      <c r="L75" s="165"/>
      <c r="M75" s="165"/>
      <c r="N75" s="735"/>
    </row>
    <row r="76" spans="1:17">
      <c r="A76" s="731"/>
      <c r="B76" s="165"/>
      <c r="C76" s="165"/>
      <c r="D76" s="165"/>
      <c r="E76" s="736"/>
      <c r="F76" s="1619"/>
      <c r="G76" s="737"/>
      <c r="H76" s="165"/>
      <c r="I76" s="165"/>
      <c r="J76" s="165"/>
      <c r="K76" s="165"/>
      <c r="L76" s="165"/>
      <c r="M76" s="165"/>
      <c r="N76" s="735"/>
    </row>
    <row r="77" spans="1:17">
      <c r="A77" s="731"/>
      <c r="B77" s="165"/>
      <c r="C77" s="165"/>
      <c r="D77" s="165"/>
      <c r="E77" s="736"/>
      <c r="F77" s="1619"/>
      <c r="G77" s="737"/>
      <c r="H77" s="165"/>
      <c r="I77" s="165"/>
      <c r="J77" s="165"/>
      <c r="K77" s="165"/>
      <c r="L77" s="165"/>
      <c r="M77" s="165"/>
      <c r="N77" s="735"/>
    </row>
    <row r="78" spans="1:17">
      <c r="A78" s="731"/>
      <c r="B78" s="165"/>
      <c r="C78" s="165"/>
      <c r="D78" s="165"/>
      <c r="E78" s="736"/>
      <c r="F78" s="1619"/>
      <c r="G78" s="737"/>
      <c r="H78" s="165"/>
      <c r="I78" s="165"/>
      <c r="J78" s="165"/>
      <c r="K78" s="165"/>
      <c r="L78" s="165"/>
      <c r="M78" s="165"/>
      <c r="N78" s="735"/>
    </row>
    <row r="79" spans="1:17">
      <c r="A79" s="731"/>
      <c r="B79" s="165"/>
      <c r="C79" s="165"/>
      <c r="D79" s="165"/>
      <c r="E79" s="736"/>
      <c r="F79" s="1619"/>
      <c r="G79" s="737"/>
      <c r="H79" s="165"/>
      <c r="I79" s="165"/>
      <c r="J79" s="165"/>
      <c r="K79" s="165"/>
      <c r="L79" s="165"/>
      <c r="M79" s="165"/>
      <c r="N79" s="735"/>
    </row>
    <row r="80" spans="1:17">
      <c r="A80" s="731"/>
      <c r="B80" s="165"/>
      <c r="C80" s="165"/>
      <c r="D80" s="165"/>
      <c r="E80" s="736"/>
      <c r="F80" s="1619"/>
      <c r="G80" s="737"/>
      <c r="H80" s="165"/>
      <c r="I80" s="165"/>
      <c r="J80" s="165"/>
      <c r="K80" s="165"/>
      <c r="L80" s="165"/>
      <c r="M80" s="165"/>
      <c r="N80" s="735"/>
    </row>
    <row r="81" spans="1:14">
      <c r="A81" s="731"/>
      <c r="B81" s="165"/>
      <c r="C81" s="165"/>
      <c r="D81" s="165"/>
      <c r="E81" s="736"/>
      <c r="F81" s="1619"/>
      <c r="G81" s="737"/>
      <c r="H81" s="165"/>
      <c r="I81" s="165"/>
      <c r="J81" s="165"/>
      <c r="K81" s="165"/>
      <c r="L81" s="165"/>
      <c r="M81" s="165"/>
      <c r="N81" s="735"/>
    </row>
    <row r="82" spans="1:14">
      <c r="A82" s="731"/>
      <c r="B82" s="165"/>
      <c r="C82" s="165"/>
      <c r="D82" s="165"/>
      <c r="E82" s="736"/>
      <c r="F82" s="1619"/>
      <c r="G82" s="737"/>
      <c r="H82" s="165"/>
      <c r="I82" s="165"/>
      <c r="J82" s="165"/>
      <c r="K82" s="165"/>
      <c r="L82" s="165"/>
      <c r="M82" s="165"/>
      <c r="N82" s="735"/>
    </row>
    <row r="83" spans="1:14">
      <c r="A83" s="731"/>
      <c r="B83" s="165"/>
      <c r="C83" s="165"/>
      <c r="D83" s="165"/>
      <c r="E83" s="736"/>
      <c r="F83" s="1619"/>
      <c r="G83" s="737"/>
      <c r="H83" s="165"/>
      <c r="I83" s="165"/>
      <c r="J83" s="165"/>
      <c r="K83" s="165"/>
      <c r="L83" s="165"/>
      <c r="M83" s="165"/>
      <c r="N83" s="735"/>
    </row>
    <row r="84" spans="1:14">
      <c r="A84" s="731"/>
      <c r="B84" s="165"/>
      <c r="C84" s="165"/>
      <c r="D84" s="165"/>
      <c r="E84" s="736"/>
      <c r="F84" s="1619"/>
      <c r="G84" s="737"/>
      <c r="H84" s="165"/>
      <c r="I84" s="165"/>
      <c r="J84" s="165"/>
      <c r="K84" s="165"/>
      <c r="L84" s="165"/>
      <c r="M84" s="165"/>
      <c r="N84" s="735"/>
    </row>
    <row r="85" spans="1:14">
      <c r="A85" s="731"/>
      <c r="B85" s="165"/>
      <c r="C85" s="165"/>
      <c r="D85" s="165"/>
      <c r="E85" s="736"/>
      <c r="F85" s="1619"/>
      <c r="G85" s="737"/>
      <c r="H85" s="165"/>
      <c r="I85" s="165"/>
      <c r="J85" s="165"/>
      <c r="K85" s="165"/>
      <c r="L85" s="165"/>
      <c r="M85" s="165"/>
      <c r="N85" s="735"/>
    </row>
    <row r="86" spans="1:14">
      <c r="A86" s="731"/>
      <c r="B86" s="165"/>
      <c r="C86" s="165"/>
      <c r="D86" s="165"/>
      <c r="E86" s="736"/>
      <c r="F86" s="1619"/>
      <c r="G86" s="737"/>
      <c r="H86" s="165"/>
      <c r="I86" s="165"/>
      <c r="J86" s="165"/>
      <c r="K86" s="165"/>
      <c r="L86" s="165"/>
      <c r="M86" s="165"/>
      <c r="N86" s="735"/>
    </row>
    <row r="87" spans="1:14">
      <c r="A87" s="731"/>
      <c r="B87" s="165"/>
      <c r="C87" s="165"/>
      <c r="D87" s="165"/>
      <c r="E87" s="736"/>
      <c r="F87" s="1619"/>
      <c r="G87" s="737"/>
      <c r="H87" s="165"/>
      <c r="I87" s="165"/>
      <c r="J87" s="165"/>
      <c r="K87" s="165"/>
      <c r="L87" s="165"/>
      <c r="M87" s="165"/>
      <c r="N87" s="735"/>
    </row>
    <row r="88" spans="1:14">
      <c r="A88" s="731"/>
      <c r="B88" s="165"/>
      <c r="C88" s="165"/>
      <c r="D88" s="165"/>
      <c r="E88" s="736"/>
      <c r="F88" s="1619"/>
      <c r="G88" s="737"/>
      <c r="H88" s="165"/>
      <c r="I88" s="165"/>
      <c r="J88" s="165"/>
      <c r="K88" s="165"/>
      <c r="L88" s="165"/>
      <c r="M88" s="165"/>
      <c r="N88" s="735"/>
    </row>
    <row r="89" spans="1:14">
      <c r="A89" s="731"/>
      <c r="B89" s="165"/>
      <c r="C89" s="165"/>
      <c r="D89" s="165"/>
      <c r="E89" s="736"/>
      <c r="F89" s="1619"/>
      <c r="G89" s="737"/>
      <c r="H89" s="165"/>
      <c r="I89" s="165"/>
      <c r="J89" s="165"/>
      <c r="K89" s="165"/>
      <c r="L89" s="165"/>
      <c r="M89" s="165"/>
      <c r="N89" s="735"/>
    </row>
    <row r="90" spans="1:14">
      <c r="A90" s="731"/>
      <c r="B90" s="165"/>
      <c r="C90" s="165"/>
      <c r="D90" s="165"/>
      <c r="E90" s="736"/>
      <c r="F90" s="1619"/>
      <c r="G90" s="737"/>
      <c r="H90" s="165"/>
      <c r="I90" s="165"/>
      <c r="J90" s="165"/>
      <c r="K90" s="165"/>
      <c r="L90" s="165"/>
      <c r="M90" s="165"/>
      <c r="N90" s="735"/>
    </row>
    <row r="91" spans="1:14">
      <c r="A91" s="731"/>
      <c r="B91" s="165"/>
      <c r="C91" s="165"/>
      <c r="D91" s="165"/>
      <c r="E91" s="736"/>
      <c r="F91" s="1619"/>
      <c r="G91" s="737"/>
      <c r="H91" s="165"/>
      <c r="I91" s="165"/>
      <c r="J91" s="165"/>
      <c r="K91" s="165"/>
      <c r="L91" s="165"/>
      <c r="M91" s="165"/>
      <c r="N91" s="735"/>
    </row>
    <row r="92" spans="1:14">
      <c r="A92" s="731"/>
      <c r="B92" s="165"/>
      <c r="C92" s="165"/>
      <c r="D92" s="165"/>
      <c r="E92" s="736"/>
      <c r="F92" s="1619"/>
      <c r="G92" s="737"/>
      <c r="H92" s="165"/>
      <c r="I92" s="165"/>
      <c r="J92" s="165"/>
      <c r="K92" s="165"/>
      <c r="L92" s="165"/>
      <c r="M92" s="165"/>
      <c r="N92" s="735"/>
    </row>
    <row r="93" spans="1:14">
      <c r="A93" s="731"/>
      <c r="B93" s="165"/>
      <c r="C93" s="165"/>
      <c r="D93" s="165"/>
      <c r="E93" s="736"/>
      <c r="F93" s="1619"/>
      <c r="G93" s="737"/>
      <c r="H93" s="165"/>
      <c r="I93" s="165"/>
      <c r="J93" s="165"/>
      <c r="K93" s="165"/>
      <c r="L93" s="165"/>
      <c r="M93" s="165"/>
      <c r="N93" s="735"/>
    </row>
    <row r="94" spans="1:14">
      <c r="A94" s="731"/>
      <c r="B94" s="165"/>
      <c r="C94" s="165"/>
      <c r="D94" s="165"/>
      <c r="E94" s="736"/>
      <c r="F94" s="1619"/>
      <c r="G94" s="737"/>
      <c r="H94" s="165"/>
      <c r="I94" s="165"/>
      <c r="J94" s="165"/>
      <c r="K94" s="165"/>
      <c r="L94" s="165"/>
      <c r="M94" s="165"/>
      <c r="N94" s="735"/>
    </row>
    <row r="95" spans="1:14">
      <c r="A95" s="731"/>
      <c r="B95" s="165"/>
      <c r="C95" s="165"/>
      <c r="D95" s="165"/>
      <c r="E95" s="736"/>
      <c r="F95" s="1619"/>
      <c r="G95" s="737"/>
      <c r="H95" s="165"/>
      <c r="I95" s="165"/>
      <c r="J95" s="165"/>
      <c r="K95" s="165"/>
      <c r="L95" s="165"/>
      <c r="M95" s="165"/>
      <c r="N95" s="735"/>
    </row>
    <row r="96" spans="1:14">
      <c r="A96" s="731"/>
      <c r="B96" s="165"/>
      <c r="C96" s="165"/>
      <c r="D96" s="165"/>
      <c r="E96" s="736"/>
      <c r="F96" s="1619"/>
      <c r="G96" s="737"/>
      <c r="H96" s="165"/>
      <c r="I96" s="165"/>
      <c r="J96" s="165"/>
      <c r="K96" s="165"/>
      <c r="L96" s="165"/>
      <c r="M96" s="165"/>
      <c r="N96" s="735"/>
    </row>
    <row r="97" spans="1:14">
      <c r="A97" s="731"/>
      <c r="B97" s="165"/>
      <c r="C97" s="165"/>
      <c r="D97" s="165"/>
      <c r="E97" s="736"/>
      <c r="F97" s="1619"/>
      <c r="G97" s="737"/>
      <c r="H97" s="165"/>
      <c r="I97" s="165"/>
      <c r="J97" s="165"/>
      <c r="K97" s="165"/>
      <c r="L97" s="165"/>
      <c r="M97" s="165"/>
      <c r="N97" s="735"/>
    </row>
    <row r="98" spans="1:14">
      <c r="A98" s="731"/>
      <c r="B98" s="165"/>
      <c r="C98" s="165"/>
      <c r="D98" s="165"/>
      <c r="E98" s="736"/>
      <c r="F98" s="1619"/>
      <c r="G98" s="737"/>
      <c r="H98" s="165"/>
      <c r="I98" s="165"/>
      <c r="J98" s="165"/>
      <c r="K98" s="165"/>
      <c r="L98" s="165"/>
      <c r="M98" s="165"/>
      <c r="N98" s="735"/>
    </row>
    <row r="99" spans="1:14">
      <c r="A99" s="731"/>
      <c r="B99" s="165"/>
      <c r="C99" s="165"/>
      <c r="D99" s="165"/>
      <c r="E99" s="736"/>
      <c r="F99" s="1619"/>
      <c r="G99" s="737"/>
      <c r="H99" s="165"/>
      <c r="I99" s="165"/>
      <c r="J99" s="165"/>
      <c r="K99" s="165"/>
      <c r="L99" s="165"/>
      <c r="M99" s="165"/>
      <c r="N99" s="735"/>
    </row>
    <row r="100" spans="1:14">
      <c r="A100" s="731"/>
      <c r="B100" s="165"/>
      <c r="C100" s="165"/>
      <c r="D100" s="165"/>
      <c r="E100" s="736"/>
      <c r="F100" s="1619"/>
      <c r="G100" s="737"/>
      <c r="H100" s="165"/>
      <c r="I100" s="165"/>
      <c r="J100" s="165"/>
      <c r="K100" s="165"/>
      <c r="L100" s="165"/>
      <c r="M100" s="165"/>
      <c r="N100" s="735"/>
    </row>
    <row r="101" spans="1:14">
      <c r="A101" s="731"/>
      <c r="B101" s="165"/>
      <c r="C101" s="165"/>
      <c r="D101" s="165"/>
      <c r="E101" s="736"/>
      <c r="F101" s="1619"/>
      <c r="G101" s="737"/>
      <c r="H101" s="165"/>
      <c r="I101" s="165"/>
      <c r="J101" s="165"/>
      <c r="K101" s="165"/>
      <c r="L101" s="165"/>
      <c r="M101" s="165"/>
      <c r="N101" s="735"/>
    </row>
    <row r="102" spans="1:14">
      <c r="A102" s="731"/>
      <c r="B102" s="165"/>
      <c r="C102" s="165"/>
      <c r="D102" s="165"/>
      <c r="E102" s="736"/>
      <c r="F102" s="1619"/>
      <c r="G102" s="737"/>
      <c r="H102" s="165"/>
      <c r="I102" s="165"/>
      <c r="J102" s="165"/>
      <c r="K102" s="165"/>
      <c r="L102" s="165"/>
      <c r="M102" s="165"/>
      <c r="N102" s="735"/>
    </row>
    <row r="103" spans="1:14">
      <c r="A103" s="731"/>
      <c r="B103" s="165"/>
      <c r="C103" s="165"/>
      <c r="D103" s="165"/>
      <c r="E103" s="736"/>
      <c r="F103" s="1619"/>
      <c r="G103" s="737"/>
      <c r="H103" s="165"/>
      <c r="I103" s="165"/>
      <c r="J103" s="165"/>
      <c r="K103" s="165"/>
      <c r="L103" s="165"/>
      <c r="M103" s="165"/>
      <c r="N103" s="735"/>
    </row>
    <row r="104" spans="1:14">
      <c r="A104" s="731"/>
      <c r="B104" s="165"/>
      <c r="C104" s="165"/>
      <c r="D104" s="165"/>
      <c r="E104" s="736"/>
      <c r="F104" s="1619"/>
      <c r="G104" s="737"/>
      <c r="H104" s="165"/>
      <c r="I104" s="165"/>
      <c r="J104" s="165"/>
      <c r="K104" s="165"/>
      <c r="L104" s="165"/>
      <c r="M104" s="165"/>
      <c r="N104" s="735"/>
    </row>
    <row r="105" spans="1:14">
      <c r="A105" s="731"/>
      <c r="B105" s="165"/>
      <c r="C105" s="165"/>
      <c r="D105" s="165"/>
      <c r="E105" s="736"/>
      <c r="F105" s="1619"/>
      <c r="G105" s="737"/>
      <c r="H105" s="165"/>
      <c r="I105" s="165"/>
      <c r="J105" s="165"/>
      <c r="K105" s="165"/>
      <c r="L105" s="165"/>
      <c r="M105" s="165"/>
      <c r="N105" s="735"/>
    </row>
    <row r="106" spans="1:14">
      <c r="A106" s="731"/>
      <c r="B106" s="165"/>
      <c r="C106" s="165"/>
      <c r="D106" s="165"/>
      <c r="E106" s="736"/>
      <c r="F106" s="1619"/>
      <c r="G106" s="737"/>
      <c r="H106" s="165"/>
      <c r="I106" s="165"/>
      <c r="J106" s="165"/>
      <c r="K106" s="165"/>
      <c r="L106" s="165"/>
      <c r="M106" s="165"/>
      <c r="N106" s="735"/>
    </row>
    <row r="107" spans="1:14">
      <c r="A107" s="731"/>
      <c r="B107" s="165"/>
      <c r="C107" s="165"/>
      <c r="D107" s="165"/>
      <c r="E107" s="736"/>
      <c r="F107" s="1619"/>
      <c r="G107" s="737"/>
      <c r="H107" s="165"/>
      <c r="I107" s="165"/>
      <c r="J107" s="165"/>
      <c r="K107" s="165"/>
      <c r="L107" s="165"/>
      <c r="M107" s="165"/>
      <c r="N107" s="735"/>
    </row>
    <row r="108" spans="1:14">
      <c r="A108" s="731"/>
      <c r="B108" s="165"/>
      <c r="C108" s="165"/>
      <c r="D108" s="165"/>
      <c r="E108" s="736"/>
      <c r="F108" s="1619"/>
      <c r="G108" s="737"/>
      <c r="H108" s="165"/>
      <c r="I108" s="165"/>
      <c r="J108" s="165"/>
      <c r="K108" s="165"/>
      <c r="L108" s="165"/>
      <c r="M108" s="165"/>
      <c r="N108" s="735"/>
    </row>
    <row r="109" spans="1:14">
      <c r="A109" s="731"/>
      <c r="B109" s="165"/>
      <c r="C109" s="165"/>
      <c r="D109" s="165"/>
      <c r="E109" s="736"/>
      <c r="F109" s="1619"/>
      <c r="G109" s="737"/>
      <c r="H109" s="165"/>
      <c r="I109" s="165"/>
      <c r="J109" s="165"/>
      <c r="K109" s="165"/>
      <c r="L109" s="165"/>
      <c r="M109" s="165"/>
      <c r="N109" s="735"/>
    </row>
    <row r="110" spans="1:14">
      <c r="A110" s="731"/>
      <c r="B110" s="165"/>
      <c r="C110" s="165"/>
      <c r="D110" s="165"/>
      <c r="E110" s="736"/>
      <c r="F110" s="1619"/>
      <c r="G110" s="737"/>
      <c r="H110" s="165"/>
      <c r="I110" s="165"/>
      <c r="J110" s="165"/>
      <c r="K110" s="165"/>
      <c r="L110" s="165"/>
      <c r="M110" s="165"/>
      <c r="N110" s="735"/>
    </row>
    <row r="111" spans="1:14">
      <c r="A111" s="731"/>
      <c r="B111" s="165"/>
      <c r="C111" s="165"/>
      <c r="D111" s="165"/>
      <c r="E111" s="736"/>
      <c r="F111" s="1619"/>
      <c r="G111" s="737"/>
      <c r="H111" s="165"/>
      <c r="I111" s="165"/>
      <c r="J111" s="165"/>
      <c r="K111" s="165"/>
      <c r="L111" s="165"/>
      <c r="M111" s="165"/>
      <c r="N111" s="735"/>
    </row>
    <row r="112" spans="1:14">
      <c r="A112" s="731"/>
      <c r="B112" s="165"/>
      <c r="C112" s="165"/>
      <c r="D112" s="165"/>
      <c r="E112" s="736"/>
      <c r="F112" s="1619"/>
      <c r="G112" s="737"/>
      <c r="H112" s="165"/>
      <c r="I112" s="165"/>
      <c r="J112" s="165"/>
      <c r="K112" s="165"/>
      <c r="L112" s="165"/>
      <c r="M112" s="165"/>
      <c r="N112" s="735"/>
    </row>
    <row r="113" spans="1:14">
      <c r="A113" s="731"/>
      <c r="B113" s="165"/>
      <c r="C113" s="165"/>
      <c r="D113" s="165"/>
      <c r="E113" s="736"/>
      <c r="F113" s="1619"/>
      <c r="G113" s="737"/>
      <c r="H113" s="165"/>
      <c r="I113" s="165"/>
      <c r="J113" s="165"/>
      <c r="K113" s="165"/>
      <c r="L113" s="165"/>
      <c r="M113" s="165"/>
      <c r="N113" s="735"/>
    </row>
    <row r="114" spans="1:14">
      <c r="A114" s="737"/>
      <c r="B114" s="165"/>
      <c r="C114" s="165"/>
      <c r="D114" s="165"/>
      <c r="E114" s="736"/>
      <c r="F114" s="1619"/>
      <c r="G114" s="737"/>
      <c r="H114" s="165"/>
      <c r="I114" s="165"/>
      <c r="J114" s="165"/>
      <c r="K114" s="165"/>
      <c r="L114" s="165"/>
      <c r="M114" s="165"/>
      <c r="N114" s="736"/>
    </row>
    <row r="115" spans="1:14">
      <c r="A115" s="737"/>
      <c r="B115" s="165"/>
      <c r="C115" s="165"/>
      <c r="D115" s="165"/>
      <c r="E115" s="736"/>
      <c r="F115" s="1619"/>
      <c r="G115" s="737"/>
      <c r="H115" s="165"/>
      <c r="I115" s="165"/>
      <c r="J115" s="165"/>
      <c r="K115" s="165"/>
      <c r="L115" s="165"/>
      <c r="M115" s="165"/>
      <c r="N115" s="736"/>
    </row>
    <row r="116" spans="1:14">
      <c r="A116" s="737"/>
      <c r="B116" s="165"/>
      <c r="C116" s="165"/>
      <c r="D116" s="165"/>
      <c r="E116" s="736"/>
      <c r="F116" s="1619"/>
      <c r="G116" s="737"/>
      <c r="H116" s="165"/>
      <c r="I116" s="165"/>
      <c r="J116" s="165"/>
      <c r="K116" s="165"/>
      <c r="L116" s="165"/>
      <c r="M116" s="165"/>
      <c r="N116" s="736"/>
    </row>
    <row r="117" spans="1:14">
      <c r="A117" s="737"/>
      <c r="B117" s="165"/>
      <c r="C117" s="165"/>
      <c r="D117" s="165"/>
      <c r="E117" s="736"/>
      <c r="F117" s="1619"/>
      <c r="G117" s="737"/>
      <c r="H117" s="165"/>
      <c r="I117" s="165"/>
      <c r="J117" s="165"/>
      <c r="K117" s="165"/>
      <c r="L117" s="165"/>
      <c r="M117" s="165"/>
      <c r="N117" s="736"/>
    </row>
    <row r="118" spans="1:14">
      <c r="A118" s="737"/>
      <c r="B118" s="165"/>
      <c r="C118" s="165"/>
      <c r="D118" s="165"/>
      <c r="E118" s="736"/>
      <c r="F118" s="1619"/>
      <c r="G118" s="737"/>
      <c r="H118" s="165"/>
      <c r="I118" s="165"/>
      <c r="J118" s="165"/>
      <c r="K118" s="165"/>
      <c r="L118" s="165"/>
      <c r="M118" s="165"/>
      <c r="N118" s="736"/>
    </row>
    <row r="119" spans="1:14">
      <c r="A119" s="737"/>
      <c r="B119" s="165"/>
      <c r="C119" s="165"/>
      <c r="D119" s="165"/>
      <c r="E119" s="736"/>
      <c r="F119" s="1619"/>
      <c r="G119" s="737"/>
      <c r="H119" s="165"/>
      <c r="I119" s="165"/>
      <c r="J119" s="165"/>
      <c r="K119" s="165"/>
      <c r="L119" s="165"/>
      <c r="M119" s="165"/>
      <c r="N119" s="736"/>
    </row>
    <row r="120" spans="1:14" ht="15.75" thickBot="1">
      <c r="A120" s="739"/>
      <c r="B120" s="740"/>
      <c r="C120" s="740"/>
      <c r="D120" s="740"/>
      <c r="E120" s="741"/>
      <c r="F120" s="740"/>
      <c r="G120" s="739"/>
      <c r="H120" s="740"/>
      <c r="I120" s="740"/>
      <c r="J120" s="740"/>
      <c r="K120" s="740"/>
      <c r="L120" s="740"/>
      <c r="M120" s="740"/>
      <c r="N120" s="741"/>
    </row>
    <row r="121" spans="1:14">
      <c r="A121" s="730" t="s">
        <v>4066</v>
      </c>
      <c r="B121" s="128"/>
      <c r="C121" s="11"/>
      <c r="D121" s="128"/>
      <c r="E121" s="128"/>
      <c r="F121" s="128"/>
      <c r="G121" s="730"/>
      <c r="H121" s="128"/>
      <c r="I121" s="128"/>
      <c r="J121" s="11"/>
      <c r="K121" s="128"/>
      <c r="L121" s="128"/>
      <c r="M121" s="730" t="s">
        <v>4066</v>
      </c>
      <c r="N121" s="128"/>
    </row>
    <row r="122" spans="1:14">
      <c r="A122" s="128" t="s">
        <v>180</v>
      </c>
      <c r="B122" s="128"/>
      <c r="C122" s="128"/>
      <c r="D122" s="128"/>
      <c r="E122" s="128"/>
      <c r="F122" s="128"/>
      <c r="G122" s="128" t="s">
        <v>181</v>
      </c>
      <c r="H122" s="128"/>
      <c r="I122" s="128"/>
      <c r="J122" s="128"/>
      <c r="K122" s="128"/>
      <c r="L122" s="128"/>
      <c r="M122" s="128"/>
      <c r="N122" s="128"/>
    </row>
  </sheetData>
  <customSheetViews>
    <customSheetView guid="{1BA452AD-1A45-4D9C-9666-ADFFA6F2F567}" scale="75" colorId="22" showPageBreaks="1" printArea="1" view="pageBreakPreview">
      <pane xSplit="2" ySplit="14" topLeftCell="C27" activePane="bottomRight" state="frozen"/>
      <selection pane="bottomRight" activeCell="B41" sqref="B41"/>
      <pageMargins left="0.75" right="0.4" top="0.3" bottom="0.3" header="0" footer="0"/>
      <printOptions horizontalCentered="1" verticalCentered="1"/>
      <pageSetup scale="69" fitToWidth="2" fitToHeight="2" pageOrder="overThenDown" orientation="portrait" r:id="rId1"/>
      <headerFooter alignWithMargins="0"/>
    </customSheetView>
    <customSheetView guid="{EEF7ABD6-0F96-4791-B749-C06F707E7673}" scale="75" colorId="22" showPageBreaks="1" printArea="1" view="pageBreakPreview" showRuler="0">
      <pane xSplit="2" ySplit="14" topLeftCell="C33" activePane="bottomRight" state="frozen"/>
      <selection pane="bottomRight" activeCell="C50" sqref="C50"/>
      <pageMargins left="0.75" right="0.4" top="0.3" bottom="0.3" header="0" footer="0"/>
      <printOptions horizontalCentered="1" verticalCentered="1"/>
      <pageSetup scale="69" fitToWidth="2" fitToHeight="2" pageOrder="overThenDown" orientation="portrait" r:id="rId2"/>
      <headerFooter alignWithMargins="0"/>
    </customSheetView>
    <customSheetView guid="{A7D7DB3C-AFE6-468E-8C6B-9531F6711497}" scale="60" colorId="22" showPageBreaks="1" printArea="1" view="pageBreakPreview" showRuler="0">
      <pane xSplit="2" ySplit="14" topLeftCell="F30" activePane="bottomRight" state="frozen"/>
      <selection pane="bottomRight" activeCell="I39" sqref="I39"/>
      <rowBreaks count="1" manualBreakCount="1">
        <brk id="60" max="16383" man="1"/>
      </rowBreaks>
      <colBreaks count="1" manualBreakCount="1">
        <brk id="5" max="1048575" man="1"/>
      </colBreaks>
      <pageMargins left="0.75" right="0.4" top="0.3" bottom="0.3" header="0" footer="0"/>
      <printOptions horizontalCentered="1" verticalCentered="1"/>
      <pageSetup scale="69" fitToWidth="2" pageOrder="overThenDown" orientation="portrait" r:id="rId3"/>
      <headerFooter alignWithMargins="0"/>
    </customSheetView>
    <customSheetView guid="{4436FEB5-BFEC-4348-9286-CB706802873E}" scale="60" colorId="22" showPageBreaks="1" printArea="1" view="pageBreakPreview" showRuler="0">
      <pane xSplit="2" ySplit="14" topLeftCell="C15" activePane="bottomRight" state="frozen"/>
      <selection pane="bottomRight" activeCell="D38" sqref="D38"/>
      <rowBreaks count="1" manualBreakCount="1">
        <brk id="60" max="16383" man="1"/>
      </rowBreaks>
      <colBreaks count="1" manualBreakCount="1">
        <brk id="5" max="1048575" man="1"/>
      </colBreaks>
      <pageMargins left="0.75" right="0.4" top="0.3" bottom="0.3" header="0" footer="0"/>
      <printOptions horizontalCentered="1" verticalCentered="1"/>
      <pageSetup scale="69" fitToWidth="2" pageOrder="overThenDown" orientation="portrait" r:id="rId4"/>
      <headerFooter alignWithMargins="0"/>
    </customSheetView>
    <customSheetView guid="{044CF00C-469F-44B3-B2C4-9B4049CE70CB}" scale="70" colorId="22" showRuler="0">
      <pane xSplit="2" ySplit="14" topLeftCell="C30" activePane="bottomRight" state="frozen"/>
      <selection pane="bottomRight" activeCell="F54" sqref="F54"/>
      <rowBreaks count="1" manualBreakCount="1">
        <brk id="60" max="16383" man="1"/>
      </rowBreaks>
      <colBreaks count="1" manualBreakCount="1">
        <brk id="5" max="1048575" man="1"/>
      </colBreaks>
      <pageMargins left="0.75" right="0.4" top="0.3" bottom="0.3" header="0" footer="0"/>
      <printOptions horizontalCentered="1" verticalCentered="1"/>
      <pageSetup scale="69" fitToWidth="2" pageOrder="overThenDown" orientation="portrait" r:id="rId5"/>
      <headerFooter alignWithMargins="0"/>
    </customSheetView>
    <customSheetView guid="{4826FCC0-BDD6-4B2C-ACC6-ACE271DDF0E3}" colorId="22" showPageBreaks="1" printArea="1" view="pageBreakPreview" showRuler="0">
      <pane xSplit="1.7572815533980584" ySplit="14" topLeftCell="C24" activePane="bottomRight" state="frozen"/>
      <selection pane="bottomRight" activeCell="A42" sqref="A42"/>
      <pageMargins left="0.75" right="0.4" top="0.3" bottom="0.3" header="0" footer="0"/>
      <printOptions horizontalCentered="1" verticalCentered="1"/>
      <pageSetup scale="69" fitToWidth="2" fitToHeight="2" pageOrder="overThenDown" orientation="portrait" r:id="rId6"/>
      <headerFooter alignWithMargins="0"/>
    </customSheetView>
    <customSheetView guid="{EF376D10-23D6-4FE2-AB5B-4460D52CC93F}" scale="75" colorId="22" showPageBreaks="1" printArea="1" view="pageBreakPreview" showRuler="0">
      <pane xSplit="2" ySplit="14" topLeftCell="K21" activePane="bottomRight" state="frozen"/>
      <selection pane="bottomRight" activeCell="U38" sqref="U38"/>
      <pageMargins left="0.75" right="0.4" top="0.3" bottom="0.3" header="0" footer="0"/>
      <printOptions horizontalCentered="1" verticalCentered="1"/>
      <pageSetup scale="69" fitToWidth="2" fitToHeight="2" pageOrder="overThenDown" orientation="portrait" r:id="rId7"/>
      <headerFooter alignWithMargins="0"/>
    </customSheetView>
    <customSheetView guid="{1C046605-15CE-44F1-BFCD-2CA8588E7ACF}" scale="75" colorId="22" showPageBreaks="1" printArea="1" view="pageBreakPreview" showRuler="0">
      <pane xSplit="2" ySplit="14" topLeftCell="C18" activePane="bottomRight" state="frozen"/>
      <selection pane="bottomRight" activeCell="C62" sqref="C62"/>
      <pageMargins left="0.75" right="0.4" top="0.3" bottom="0.3" header="0" footer="0"/>
      <printOptions horizontalCentered="1" verticalCentered="1"/>
      <pageSetup scale="69" fitToWidth="2" fitToHeight="2" pageOrder="overThenDown" orientation="portrait" r:id="rId8"/>
      <headerFooter alignWithMargins="0"/>
    </customSheetView>
    <customSheetView guid="{3911D713-188C-46A1-A299-F21DD3B7A146}" scale="75" colorId="22" showPageBreaks="1" printArea="1" view="pageBreakPreview" showRuler="0">
      <pane xSplit="2" ySplit="14" topLeftCell="C18" activePane="bottomRight" state="frozen"/>
      <selection pane="bottomRight" activeCell="C62" sqref="C62"/>
      <pageMargins left="0.75" right="0.4" top="0.3" bottom="0.3" header="0" footer="0"/>
      <printOptions horizontalCentered="1" verticalCentered="1"/>
      <pageSetup scale="69" fitToWidth="2" fitToHeight="2" pageOrder="overThenDown" orientation="portrait" r:id="rId9"/>
      <headerFooter alignWithMargins="0"/>
    </customSheetView>
    <customSheetView guid="{78BB1E60-60BE-4F56-9763-075185EFEFAB}" scale="75" colorId="22" showPageBreaks="1" printArea="1" view="pageBreakPreview">
      <pane xSplit="2" ySplit="14" topLeftCell="C15" activePane="bottomRight" state="frozen"/>
      <selection pane="bottomRight" activeCell="Q39" sqref="Q39"/>
      <pageMargins left="0.75" right="0.4" top="0.3" bottom="0.3" header="0" footer="0"/>
      <printOptions horizontalCentered="1" verticalCentered="1"/>
      <pageSetup scale="69" fitToWidth="2" fitToHeight="2" pageOrder="overThenDown" orientation="portrait" r:id="rId10"/>
      <headerFooter alignWithMargins="0"/>
    </customSheetView>
    <customSheetView guid="{9C30803E-1E2D-4850-B0A5-591CA6F246A1}" scale="75" colorId="22" showPageBreaks="1" printArea="1" view="pageBreakPreview">
      <pane xSplit="2" ySplit="14" topLeftCell="C15" activePane="bottomRight" state="frozen"/>
      <selection pane="bottomRight" activeCell="Q39" sqref="Q39"/>
      <pageMargins left="0.75" right="0.4" top="0.3" bottom="0.3" header="0" footer="0"/>
      <printOptions horizontalCentered="1" verticalCentered="1"/>
      <pageSetup scale="69" fitToWidth="2" fitToHeight="2" pageOrder="overThenDown" orientation="portrait" r:id="rId11"/>
      <headerFooter alignWithMargins="0"/>
    </customSheetView>
    <customSheetView guid="{3B1006FF-A2CA-49E7-9B25-DAC8815279AF}" scale="75" colorId="22" showPageBreaks="1" printArea="1" view="pageBreakPreview">
      <pane xSplit="2" ySplit="14" topLeftCell="C27" activePane="bottomRight" state="frozen"/>
      <selection pane="bottomRight" activeCell="D45" sqref="D45"/>
      <pageMargins left="0.75" right="0.4" top="0.3" bottom="0.3" header="0" footer="0"/>
      <printOptions horizontalCentered="1" verticalCentered="1"/>
      <pageSetup scale="69" fitToWidth="2" fitToHeight="2" pageOrder="overThenDown" orientation="portrait" r:id="rId12"/>
      <headerFooter alignWithMargins="0"/>
    </customSheetView>
    <customSheetView guid="{FB1A60C8-E1F9-4DF0-8E0E-1C965F86027F}" scale="75" colorId="22" showPageBreaks="1" printArea="1" view="pageBreakPreview">
      <pane xSplit="2" ySplit="14" topLeftCell="C27" activePane="bottomRight" state="frozen"/>
      <selection pane="bottomRight" activeCell="D45" sqref="D45"/>
      <pageMargins left="0.75" right="0.4" top="0.3" bottom="0.3" header="0" footer="0"/>
      <printOptions horizontalCentered="1" verticalCentered="1"/>
      <pageSetup scale="69" fitToWidth="2" fitToHeight="2" pageOrder="overThenDown" orientation="portrait" r:id="rId13"/>
      <headerFooter alignWithMargins="0"/>
    </customSheetView>
    <customSheetView guid="{C5B6D812-CBE6-46AA-99F7-02494E9802B4}" scale="70" colorId="22" showPageBreaks="1" printArea="1" view="pageBreakPreview">
      <pane xSplit="2" ySplit="14" topLeftCell="C24" activePane="bottomRight" state="frozen"/>
      <selection pane="bottomRight" activeCell="H54" sqref="H54"/>
      <pageMargins left="0.75" right="0.4" top="0.3" bottom="0.3" header="0" footer="0"/>
      <printOptions horizontalCentered="1" verticalCentered="1"/>
      <pageSetup scale="69" fitToWidth="2" fitToHeight="2" pageOrder="overThenDown" orientation="portrait" r:id="rId14"/>
      <headerFooter alignWithMargins="0"/>
    </customSheetView>
  </customSheetViews>
  <mergeCells count="2">
    <mergeCell ref="A3:E3"/>
    <mergeCell ref="D8:E8"/>
  </mergeCells>
  <phoneticPr fontId="0" type="noConversion"/>
  <printOptions horizontalCentered="1" verticalCentered="1"/>
  <pageMargins left="0.75" right="0.4" top="0.3" bottom="0.3" header="0" footer="0"/>
  <pageSetup scale="69" fitToWidth="2" fitToHeight="2" pageOrder="overThenDown" orientation="portrait" r:id="rId15"/>
  <headerFooter alignWithMargins="0"/>
  <customProperties>
    <customPr name="_pios_id" r:id="rId16"/>
  </customProperties>
</worksheet>
</file>

<file path=xl/worksheets/sheet43.xml><?xml version="1.0" encoding="utf-8"?>
<worksheet xmlns="http://schemas.openxmlformats.org/spreadsheetml/2006/main" xmlns:r="http://schemas.openxmlformats.org/officeDocument/2006/relationships">
  <sheetPr transitionEvaluation="1" codeName="Sheet43" enableFormatConditionsCalculation="0">
    <pageSetUpPr fitToPage="1"/>
  </sheetPr>
  <dimension ref="A1:I53"/>
  <sheetViews>
    <sheetView defaultGridColor="0" colorId="22" zoomScale="87" zoomScaleNormal="87" zoomScaleSheetLayoutView="70" workbookViewId="0"/>
  </sheetViews>
  <sheetFormatPr defaultColWidth="9.77734375" defaultRowHeight="15"/>
  <cols>
    <col min="1" max="1" width="5.77734375" customWidth="1"/>
    <col min="2" max="2" width="40.77734375" customWidth="1"/>
    <col min="3" max="7" width="15.77734375" customWidth="1"/>
    <col min="8" max="9" width="12.77734375" style="1654" customWidth="1"/>
    <col min="10" max="12" width="12.77734375" customWidth="1"/>
    <col min="13" max="13" width="4.77734375" customWidth="1"/>
  </cols>
  <sheetData>
    <row r="1" spans="1:9" ht="15.75" thickBot="1">
      <c r="A1" s="186" t="str">
        <f>'Data sheet'!$A$65</f>
        <v>Annual Report of New York American Water Company, Inc. (f/k/a Long Island Water Corp)                                    Year Ended  December 31, 2013</v>
      </c>
      <c r="E1" s="1633"/>
      <c r="F1" s="1672"/>
      <c r="G1" s="8"/>
    </row>
    <row r="2" spans="1:9">
      <c r="A2" s="742"/>
      <c r="B2" s="743"/>
      <c r="C2" s="743"/>
      <c r="D2" s="743"/>
      <c r="E2" s="743"/>
      <c r="F2" s="743"/>
      <c r="G2" s="744"/>
    </row>
    <row r="3" spans="1:9" ht="15.75">
      <c r="A3" s="235" t="s">
        <v>3882</v>
      </c>
      <c r="B3" s="13"/>
      <c r="C3" s="13"/>
      <c r="D3" s="13"/>
      <c r="E3" s="13"/>
      <c r="F3" s="13"/>
      <c r="G3" s="745"/>
    </row>
    <row r="4" spans="1:9">
      <c r="A4" s="240"/>
      <c r="G4" s="746"/>
    </row>
    <row r="5" spans="1:9">
      <c r="A5" s="747" t="s">
        <v>3883</v>
      </c>
      <c r="B5" t="s">
        <v>2757</v>
      </c>
      <c r="G5" s="746"/>
    </row>
    <row r="6" spans="1:9">
      <c r="A6" s="747" t="s">
        <v>2758</v>
      </c>
      <c r="B6" t="s">
        <v>4132</v>
      </c>
      <c r="G6" s="746"/>
      <c r="I6"/>
    </row>
    <row r="7" spans="1:9">
      <c r="A7" s="747"/>
      <c r="B7" t="s">
        <v>4133</v>
      </c>
      <c r="G7" s="746"/>
      <c r="I7"/>
    </row>
    <row r="8" spans="1:9">
      <c r="A8" s="747" t="s">
        <v>4134</v>
      </c>
      <c r="B8" t="s">
        <v>4135</v>
      </c>
      <c r="G8" s="746"/>
      <c r="I8"/>
    </row>
    <row r="9" spans="1:9">
      <c r="A9" s="747" t="s">
        <v>4136</v>
      </c>
      <c r="B9" t="s">
        <v>1693</v>
      </c>
      <c r="G9" s="746"/>
      <c r="I9"/>
    </row>
    <row r="10" spans="1:9">
      <c r="A10" s="240"/>
      <c r="B10" t="s">
        <v>462</v>
      </c>
      <c r="G10" s="746"/>
      <c r="I10"/>
    </row>
    <row r="11" spans="1:9">
      <c r="A11" s="240"/>
      <c r="B11" t="s">
        <v>1033</v>
      </c>
      <c r="G11" s="746"/>
      <c r="I11"/>
    </row>
    <row r="12" spans="1:9">
      <c r="A12" s="748"/>
      <c r="B12" s="249"/>
      <c r="C12" s="249"/>
      <c r="D12" s="249"/>
      <c r="E12" s="249"/>
      <c r="F12" s="249"/>
      <c r="G12" s="749"/>
    </row>
    <row r="13" spans="1:9">
      <c r="A13" s="265"/>
      <c r="C13" s="834" t="s">
        <v>525</v>
      </c>
      <c r="D13" s="8" t="s">
        <v>3990</v>
      </c>
      <c r="E13" s="8"/>
      <c r="F13" s="8"/>
      <c r="G13" s="750"/>
    </row>
    <row r="14" spans="1:9">
      <c r="A14" s="752" t="s">
        <v>1129</v>
      </c>
      <c r="B14" s="643" t="s">
        <v>429</v>
      </c>
      <c r="C14" s="842" t="s">
        <v>1034</v>
      </c>
      <c r="D14" s="843" t="s">
        <v>1300</v>
      </c>
      <c r="E14" s="844" t="s">
        <v>4334</v>
      </c>
      <c r="F14" s="843" t="s">
        <v>4335</v>
      </c>
      <c r="G14" s="845" t="s">
        <v>3323</v>
      </c>
    </row>
    <row r="15" spans="1:9">
      <c r="A15" s="764" t="s">
        <v>3324</v>
      </c>
      <c r="B15" s="791" t="s">
        <v>4032</v>
      </c>
      <c r="C15" s="788" t="s">
        <v>4033</v>
      </c>
      <c r="D15" s="836" t="s">
        <v>4034</v>
      </c>
      <c r="E15" s="791" t="s">
        <v>4035</v>
      </c>
      <c r="F15" s="836" t="s">
        <v>2277</v>
      </c>
      <c r="G15" s="846" t="s">
        <v>2278</v>
      </c>
    </row>
    <row r="16" spans="1:9">
      <c r="A16" s="752"/>
      <c r="B16" s="753" t="s">
        <v>2344</v>
      </c>
      <c r="C16" s="637"/>
      <c r="D16" s="275"/>
      <c r="F16" s="275"/>
      <c r="G16" s="754"/>
    </row>
    <row r="17" spans="1:7">
      <c r="A17" s="752">
        <v>1</v>
      </c>
      <c r="B17" t="s">
        <v>2889</v>
      </c>
      <c r="C17" s="755"/>
      <c r="D17" s="278"/>
      <c r="E17" s="2033">
        <v>238208</v>
      </c>
      <c r="F17" s="278"/>
      <c r="G17" s="754">
        <f>SUM(C17:F17)</f>
        <v>238208</v>
      </c>
    </row>
    <row r="18" spans="1:7">
      <c r="A18" s="752">
        <v>2</v>
      </c>
      <c r="B18" t="s">
        <v>4366</v>
      </c>
      <c r="C18" s="349"/>
      <c r="D18" s="509"/>
      <c r="E18" s="756"/>
      <c r="F18" s="509"/>
      <c r="G18" s="757">
        <f>SUM(C18:F18)</f>
        <v>0</v>
      </c>
    </row>
    <row r="19" spans="1:7" ht="15.75" thickBot="1">
      <c r="A19" s="752">
        <v>3</v>
      </c>
      <c r="B19" t="s">
        <v>3044</v>
      </c>
      <c r="C19" s="758">
        <f>SUM(C17:C18)</f>
        <v>0</v>
      </c>
      <c r="D19" s="758">
        <f>SUM(D17:D18)</f>
        <v>0</v>
      </c>
      <c r="E19" s="759">
        <f>SUM(E17:E18)</f>
        <v>238208</v>
      </c>
      <c r="F19" s="758">
        <f>SUM(F17:F18)</f>
        <v>0</v>
      </c>
      <c r="G19" s="760">
        <f>SUM(C19:F19)</f>
        <v>238208</v>
      </c>
    </row>
    <row r="20" spans="1:7" ht="15.75" thickTop="1">
      <c r="A20" s="752"/>
      <c r="B20" s="753" t="s">
        <v>3045</v>
      </c>
      <c r="C20" s="637"/>
      <c r="D20" s="275"/>
      <c r="F20" s="275"/>
      <c r="G20" s="754"/>
    </row>
    <row r="21" spans="1:7">
      <c r="A21" s="752"/>
      <c r="B21" t="s">
        <v>4546</v>
      </c>
      <c r="C21" s="637"/>
      <c r="D21" s="275"/>
      <c r="F21" s="275"/>
      <c r="G21" s="761"/>
    </row>
    <row r="22" spans="1:7">
      <c r="A22" s="752">
        <v>4</v>
      </c>
      <c r="B22" t="s">
        <v>4547</v>
      </c>
      <c r="C22" s="755"/>
      <c r="D22" s="278"/>
      <c r="E22" s="149"/>
      <c r="F22" s="278"/>
      <c r="G22" s="754">
        <f>SUM(C22:F22)</f>
        <v>0</v>
      </c>
    </row>
    <row r="23" spans="1:7">
      <c r="A23" s="752">
        <v>5</v>
      </c>
      <c r="B23" t="s">
        <v>1692</v>
      </c>
      <c r="C23" s="669"/>
      <c r="D23" s="624"/>
      <c r="E23" s="158"/>
      <c r="F23" s="624"/>
      <c r="G23" s="761">
        <f>SUM(C23:F23)</f>
        <v>0</v>
      </c>
    </row>
    <row r="24" spans="1:7">
      <c r="A24" s="752"/>
      <c r="B24" t="s">
        <v>872</v>
      </c>
      <c r="C24" s="669"/>
      <c r="D24" s="624"/>
      <c r="E24" s="158"/>
      <c r="F24" s="624"/>
      <c r="G24" s="761"/>
    </row>
    <row r="25" spans="1:7">
      <c r="A25" s="752">
        <v>6</v>
      </c>
      <c r="B25" t="s">
        <v>873</v>
      </c>
      <c r="C25" s="669"/>
      <c r="D25" s="624"/>
      <c r="E25" s="158"/>
      <c r="F25" s="624"/>
      <c r="G25" s="761">
        <f>SUM(C25:F25)</f>
        <v>0</v>
      </c>
    </row>
    <row r="26" spans="1:7">
      <c r="A26" s="752">
        <v>7</v>
      </c>
      <c r="B26" t="s">
        <v>4207</v>
      </c>
      <c r="C26" s="669"/>
      <c r="D26" s="624"/>
      <c r="E26" s="158"/>
      <c r="F26" s="624"/>
      <c r="G26" s="761">
        <f>SUM(C26:F26)</f>
        <v>0</v>
      </c>
    </row>
    <row r="27" spans="1:7">
      <c r="A27" s="752">
        <v>8</v>
      </c>
      <c r="B27" t="s">
        <v>4208</v>
      </c>
      <c r="C27" s="755"/>
      <c r="D27" s="278"/>
      <c r="E27" s="149"/>
      <c r="F27" s="278"/>
      <c r="G27" s="754">
        <f>SUM(C27:F27)</f>
        <v>0</v>
      </c>
    </row>
    <row r="28" spans="1:7">
      <c r="A28" s="762"/>
      <c r="B28" s="282" t="s">
        <v>311</v>
      </c>
      <c r="C28" s="282"/>
      <c r="D28" s="282"/>
      <c r="E28" s="282"/>
      <c r="F28" s="282"/>
      <c r="G28" s="751"/>
    </row>
    <row r="29" spans="1:7">
      <c r="A29" s="265"/>
      <c r="G29" s="746"/>
    </row>
    <row r="30" spans="1:7">
      <c r="A30" s="265"/>
      <c r="G30" s="746"/>
    </row>
    <row r="31" spans="1:7">
      <c r="A31" s="265"/>
      <c r="G31" s="746"/>
    </row>
    <row r="32" spans="1:7">
      <c r="A32" s="265"/>
      <c r="G32" s="746"/>
    </row>
    <row r="33" spans="1:7">
      <c r="A33" s="265"/>
      <c r="G33" s="746"/>
    </row>
    <row r="34" spans="1:7">
      <c r="A34" s="265"/>
      <c r="G34" s="746"/>
    </row>
    <row r="35" spans="1:7">
      <c r="A35" s="265"/>
      <c r="G35" s="746"/>
    </row>
    <row r="36" spans="1:7" ht="15.75" thickBot="1">
      <c r="A36" s="266"/>
      <c r="G36" s="746"/>
    </row>
    <row r="37" spans="1:7">
      <c r="A37" t="s">
        <v>4066</v>
      </c>
      <c r="B37" s="743"/>
      <c r="C37" s="743"/>
      <c r="D37" s="743"/>
      <c r="E37" s="743"/>
      <c r="F37" s="743"/>
      <c r="G37" s="743"/>
    </row>
    <row r="38" spans="1:7">
      <c r="A38" s="8" t="s">
        <v>312</v>
      </c>
      <c r="B38" s="8"/>
      <c r="C38" s="8"/>
      <c r="D38" s="8"/>
      <c r="E38" s="8"/>
      <c r="F38" s="8"/>
      <c r="G38" s="8"/>
    </row>
    <row r="44" spans="1:7" ht="18">
      <c r="B44" s="763"/>
    </row>
    <row r="45" spans="1:7">
      <c r="B45" s="260"/>
    </row>
    <row r="47" spans="1:7">
      <c r="B47" s="230"/>
    </row>
    <row r="48" spans="1:7">
      <c r="B48" s="260"/>
    </row>
    <row r="49" spans="2:2">
      <c r="B49" s="260"/>
    </row>
    <row r="50" spans="2:2">
      <c r="B50" s="260"/>
    </row>
    <row r="51" spans="2:2">
      <c r="B51" s="260"/>
    </row>
    <row r="52" spans="2:2">
      <c r="B52" s="230"/>
    </row>
    <row r="53" spans="2:2">
      <c r="B53" s="260"/>
    </row>
  </sheetData>
  <customSheetViews>
    <customSheetView guid="{1BA452AD-1A45-4D9C-9666-ADFFA6F2F567}" colorId="22" showPageBreaks="1" fitToPage="1" printArea="1" view="pageBreakPreview">
      <selection activeCell="E34" sqref="E34"/>
      <pageMargins left="0.4" right="0.4" top="0.3" bottom="0.3" header="0" footer="0"/>
      <printOptions horizontalCentered="1" verticalCentered="1"/>
      <pageSetup scale="86" orientation="landscape" r:id="rId1"/>
      <headerFooter alignWithMargins="0"/>
    </customSheetView>
    <customSheetView guid="{EEF7ABD6-0F96-4791-B749-C06F707E7673}" colorId="22" showPageBreaks="1" fitToPage="1" printArea="1" view="pageBreakPreview" showRuler="0" topLeftCell="A4">
      <selection activeCell="E17" sqref="E17"/>
      <pageMargins left="0.4" right="0.4" top="0.3" bottom="0.3" header="0" footer="0"/>
      <printOptions horizontalCentered="1" verticalCentered="1"/>
      <pageSetup scale="86" orientation="landscape" r:id="rId2"/>
      <headerFooter alignWithMargins="0"/>
    </customSheetView>
    <customSheetView guid="{A7D7DB3C-AFE6-468E-8C6B-9531F6711497}" scale="60" colorId="22" showPageBreaks="1" fitToPage="1" printArea="1" view="pageBreakPreview" showRuler="0">
      <selection activeCell="E18" sqref="E18"/>
      <pageMargins left="0.4" right="0.4" top="0.3" bottom="0.3" header="0" footer="0"/>
      <printOptions horizontalCentered="1" verticalCentered="1"/>
      <pageSetup scale="86" orientation="landscape" r:id="rId3"/>
      <headerFooter alignWithMargins="0"/>
    </customSheetView>
    <customSheetView guid="{4436FEB5-BFEC-4348-9286-CB706802873E}" scale="60" colorId="22" showPageBreaks="1" fitToPage="1" printArea="1" view="pageBreakPreview" showRuler="0">
      <selection activeCell="E18" sqref="E18"/>
      <pageMargins left="0.4" right="0.4" top="0.3" bottom="0.3" header="0" footer="0"/>
      <printOptions horizontalCentered="1" verticalCentered="1"/>
      <pageSetup scale="86" orientation="landscape" r:id="rId4"/>
      <headerFooter alignWithMargins="0"/>
    </customSheetView>
    <customSheetView guid="{044CF00C-469F-44B3-B2C4-9B4049CE70CB}" scale="87" colorId="22" fitToPage="1" showRuler="0">
      <selection activeCell="A17" sqref="A17"/>
      <pageMargins left="0.4" right="0.4" top="0.3" bottom="0.3" header="0" footer="0"/>
      <printOptions horizontalCentered="1" verticalCentered="1"/>
      <pageSetup scale="86" orientation="landscape" r:id="rId5"/>
      <headerFooter alignWithMargins="0"/>
    </customSheetView>
    <customSheetView guid="{4826FCC0-BDD6-4B2C-ACC6-ACE271DDF0E3}" colorId="22" showPageBreaks="1" fitToPage="1" printArea="1" view="pageBreakPreview" showRuler="0" topLeftCell="A4">
      <selection activeCell="E17" sqref="E17"/>
      <pageMargins left="0.4" right="0.4" top="0.3" bottom="0.3" header="0" footer="0"/>
      <printOptions horizontalCentered="1" verticalCentered="1"/>
      <pageSetup scale="86" orientation="landscape" r:id="rId6"/>
      <headerFooter alignWithMargins="0"/>
    </customSheetView>
    <customSheetView guid="{EF376D10-23D6-4FE2-AB5B-4460D52CC93F}" colorId="22" showPageBreaks="1" fitToPage="1" printArea="1" view="pageBreakPreview" showRuler="0" topLeftCell="A4">
      <selection activeCell="E17" sqref="E17"/>
      <pageMargins left="0.4" right="0.4" top="0.3" bottom="0.3" header="0" footer="0"/>
      <printOptions horizontalCentered="1" verticalCentered="1"/>
      <pageSetup scale="86" orientation="landscape" r:id="rId7"/>
      <headerFooter alignWithMargins="0"/>
    </customSheetView>
    <customSheetView guid="{1C046605-15CE-44F1-BFCD-2CA8588E7ACF}" colorId="22" showPageBreaks="1" fitToPage="1" printArea="1" view="pageBreakPreview" showRuler="0">
      <selection activeCell="E17" sqref="E17"/>
      <pageMargins left="0.4" right="0.4" top="0.3" bottom="0.3" header="0" footer="0"/>
      <printOptions horizontalCentered="1" verticalCentered="1"/>
      <pageSetup scale="86" orientation="landscape" r:id="rId8"/>
      <headerFooter alignWithMargins="0"/>
    </customSheetView>
    <customSheetView guid="{3911D713-188C-46A1-A299-F21DD3B7A146}" colorId="22" showPageBreaks="1" fitToPage="1" printArea="1" view="pageBreakPreview" showRuler="0">
      <selection activeCell="E17" sqref="E17"/>
      <pageMargins left="0.4" right="0.4" top="0.3" bottom="0.3" header="0" footer="0"/>
      <printOptions horizontalCentered="1" verticalCentered="1"/>
      <pageSetup scale="86" orientation="landscape" r:id="rId9"/>
      <headerFooter alignWithMargins="0"/>
    </customSheetView>
    <customSheetView guid="{78BB1E60-60BE-4F56-9763-075185EFEFAB}" colorId="22" showPageBreaks="1" fitToPage="1" printArea="1" view="pageBreakPreview">
      <selection activeCell="E34" sqref="E34"/>
      <pageMargins left="0.4" right="0.4" top="0.3" bottom="0.3" header="0" footer="0"/>
      <printOptions horizontalCentered="1" verticalCentered="1"/>
      <pageSetup scale="86" orientation="landscape" r:id="rId10"/>
      <headerFooter alignWithMargins="0"/>
    </customSheetView>
    <customSheetView guid="{9C30803E-1E2D-4850-B0A5-591CA6F246A1}" colorId="22" showPageBreaks="1" fitToPage="1" printArea="1" view="pageBreakPreview">
      <selection activeCell="E34" sqref="E34"/>
      <pageMargins left="0.4" right="0.4" top="0.3" bottom="0.3" header="0" footer="0"/>
      <printOptions horizontalCentered="1" verticalCentered="1"/>
      <pageSetup scale="86" orientation="landscape" r:id="rId11"/>
      <headerFooter alignWithMargins="0"/>
    </customSheetView>
    <customSheetView guid="{3B1006FF-A2CA-49E7-9B25-DAC8815279AF}" colorId="22" showPageBreaks="1" fitToPage="1" printArea="1" view="pageBreakPreview">
      <selection activeCell="E34" sqref="E34"/>
      <pageMargins left="0.4" right="0.4" top="0.3" bottom="0.3" header="0" footer="0"/>
      <printOptions horizontalCentered="1" verticalCentered="1"/>
      <pageSetup scale="86" orientation="landscape" r:id="rId12"/>
      <headerFooter alignWithMargins="0"/>
    </customSheetView>
    <customSheetView guid="{FB1A60C8-E1F9-4DF0-8E0E-1C965F86027F}" colorId="22" showPageBreaks="1" fitToPage="1" printArea="1" view="pageBreakPreview">
      <selection activeCell="E34" sqref="E34"/>
      <pageMargins left="0.4" right="0.4" top="0.3" bottom="0.3" header="0" footer="0"/>
      <printOptions horizontalCentered="1" verticalCentered="1"/>
      <pageSetup scale="86" orientation="landscape" r:id="rId13"/>
      <headerFooter alignWithMargins="0"/>
    </customSheetView>
    <customSheetView guid="{C5B6D812-CBE6-46AA-99F7-02494E9802B4}" scale="70" colorId="22" showPageBreaks="1" fitToPage="1" printArea="1" view="pageBreakPreview">
      <selection activeCell="E17" sqref="E17"/>
      <pageMargins left="0.4" right="0.4" top="0.3" bottom="0.3" header="0" footer="0"/>
      <printOptions horizontalCentered="1" verticalCentered="1"/>
      <pageSetup scale="86" orientation="landscape" r:id="rId14"/>
      <headerFooter alignWithMargins="0"/>
    </customSheetView>
  </customSheetViews>
  <phoneticPr fontId="0" type="noConversion"/>
  <printOptions horizontalCentered="1" verticalCentered="1"/>
  <pageMargins left="0.4" right="0.4" top="0.3" bottom="0.3" header="0" footer="0"/>
  <pageSetup scale="86" orientation="landscape" r:id="rId15"/>
  <headerFooter alignWithMargins="0"/>
  <customProperties>
    <customPr name="_pios_id" r:id="rId16"/>
  </customProperties>
</worksheet>
</file>

<file path=xl/worksheets/sheet44.xml><?xml version="1.0" encoding="utf-8"?>
<worksheet xmlns="http://schemas.openxmlformats.org/spreadsheetml/2006/main" xmlns:r="http://schemas.openxmlformats.org/officeDocument/2006/relationships">
  <sheetPr transitionEvaluation="1" codeName="Sheet44" enableFormatConditionsCalculation="0">
    <pageSetUpPr fitToPage="1"/>
  </sheetPr>
  <dimension ref="A1:G110"/>
  <sheetViews>
    <sheetView defaultGridColor="0" colorId="22" zoomScale="75" zoomScaleNormal="75" zoomScaleSheetLayoutView="70" workbookViewId="0"/>
  </sheetViews>
  <sheetFormatPr defaultColWidth="9.77734375" defaultRowHeight="15"/>
  <cols>
    <col min="1" max="1" width="4.77734375" customWidth="1"/>
    <col min="2" max="2" width="33.44140625" customWidth="1"/>
    <col min="3" max="6" width="16.6640625" customWidth="1"/>
    <col min="7" max="7" width="16.77734375" customWidth="1"/>
  </cols>
  <sheetData>
    <row r="1" spans="1:7" ht="15.75" thickBot="1">
      <c r="A1" s="186" t="str">
        <f>'Data sheet'!$A$65</f>
        <v>Annual Report of New York American Water Company, Inc. (f/k/a Long Island Water Corp)                                    Year Ended  December 31, 2013</v>
      </c>
      <c r="B1" s="230"/>
      <c r="C1" s="230"/>
      <c r="D1" s="230"/>
      <c r="E1" s="1635"/>
      <c r="F1" s="1673"/>
      <c r="G1" s="13"/>
    </row>
    <row r="2" spans="1:7">
      <c r="A2" s="530"/>
      <c r="B2" s="233"/>
      <c r="C2" s="233"/>
      <c r="D2" s="233"/>
      <c r="E2" s="233"/>
      <c r="F2" s="233"/>
      <c r="G2" s="531"/>
    </row>
    <row r="3" spans="1:7" ht="15.75">
      <c r="A3" s="235" t="s">
        <v>313</v>
      </c>
      <c r="B3" s="6"/>
      <c r="C3" s="13"/>
      <c r="D3" s="13"/>
      <c r="E3" s="13"/>
      <c r="F3" s="13"/>
      <c r="G3" s="545"/>
    </row>
    <row r="4" spans="1:7">
      <c r="A4" s="238"/>
      <c r="B4" s="230"/>
      <c r="C4" s="230"/>
      <c r="D4" s="230"/>
      <c r="E4" s="230"/>
      <c r="F4" s="230"/>
      <c r="G4" s="532"/>
    </row>
    <row r="5" spans="1:7">
      <c r="A5" s="547" t="s">
        <v>479</v>
      </c>
      <c r="B5" s="3055" t="s">
        <v>4561</v>
      </c>
      <c r="C5" s="3055"/>
      <c r="D5" s="3055"/>
      <c r="E5" s="3055"/>
      <c r="F5" s="3055"/>
      <c r="G5" s="3056"/>
    </row>
    <row r="6" spans="1:7">
      <c r="A6" s="238"/>
      <c r="B6" s="3055" t="s">
        <v>78</v>
      </c>
      <c r="C6" s="3055"/>
      <c r="D6" s="3055"/>
      <c r="E6" s="3055"/>
      <c r="F6" s="3055"/>
      <c r="G6" s="3056"/>
    </row>
    <row r="7" spans="1:7">
      <c r="A7" s="238"/>
      <c r="B7" s="3055" t="s">
        <v>28</v>
      </c>
      <c r="C7" s="3055"/>
      <c r="D7" s="3055"/>
      <c r="E7" s="3055"/>
      <c r="F7" s="3055"/>
      <c r="G7" s="3056"/>
    </row>
    <row r="8" spans="1:7">
      <c r="A8" s="238"/>
      <c r="B8" s="230"/>
      <c r="C8" s="230"/>
      <c r="D8" s="534"/>
      <c r="E8" s="534"/>
      <c r="F8" s="534"/>
      <c r="G8" s="535"/>
    </row>
    <row r="9" spans="1:7">
      <c r="A9" s="560" t="s">
        <v>1129</v>
      </c>
      <c r="B9" s="280"/>
      <c r="C9" s="945" t="s">
        <v>525</v>
      </c>
      <c r="D9" s="678" t="s">
        <v>3990</v>
      </c>
      <c r="E9" s="552"/>
      <c r="F9" s="552"/>
      <c r="G9" s="553"/>
    </row>
    <row r="10" spans="1:7">
      <c r="A10" s="270" t="s">
        <v>3324</v>
      </c>
      <c r="B10" s="687" t="s">
        <v>429</v>
      </c>
      <c r="C10" s="682" t="s">
        <v>1034</v>
      </c>
      <c r="D10" s="682" t="s">
        <v>1300</v>
      </c>
      <c r="E10" s="682" t="s">
        <v>4334</v>
      </c>
      <c r="F10" s="682" t="s">
        <v>4335</v>
      </c>
      <c r="G10" s="822" t="s">
        <v>3323</v>
      </c>
    </row>
    <row r="11" spans="1:7">
      <c r="A11" s="255"/>
      <c r="B11" s="824" t="s">
        <v>4032</v>
      </c>
      <c r="C11" s="828" t="s">
        <v>4033</v>
      </c>
      <c r="D11" s="828" t="s">
        <v>4034</v>
      </c>
      <c r="E11" s="828" t="s">
        <v>4035</v>
      </c>
      <c r="F11" s="828" t="s">
        <v>2277</v>
      </c>
      <c r="G11" s="681" t="s">
        <v>2278</v>
      </c>
    </row>
    <row r="12" spans="1:7">
      <c r="A12" s="270"/>
      <c r="B12" s="276" t="s">
        <v>373</v>
      </c>
      <c r="C12" s="948"/>
      <c r="D12" s="948"/>
      <c r="E12" s="948"/>
      <c r="F12" s="948"/>
      <c r="G12" s="949"/>
    </row>
    <row r="13" spans="1:7">
      <c r="A13" s="270">
        <v>1</v>
      </c>
      <c r="B13" s="230" t="s">
        <v>4418</v>
      </c>
      <c r="C13" s="544"/>
      <c r="D13" s="544"/>
      <c r="E13" s="544"/>
      <c r="F13" s="544"/>
      <c r="G13" s="478">
        <f>SUM(C13:F13)</f>
        <v>0</v>
      </c>
    </row>
    <row r="14" spans="1:7">
      <c r="A14" s="270">
        <v>2</v>
      </c>
      <c r="B14" s="230" t="s">
        <v>2293</v>
      </c>
      <c r="C14" s="526"/>
      <c r="D14" s="526"/>
      <c r="E14" s="526"/>
      <c r="F14" s="526"/>
      <c r="G14" s="479">
        <f>SUM(C14:F14)</f>
        <v>0</v>
      </c>
    </row>
    <row r="15" spans="1:7">
      <c r="A15" s="270">
        <v>3</v>
      </c>
      <c r="B15" s="230" t="s">
        <v>1086</v>
      </c>
      <c r="C15" s="526"/>
      <c r="D15" s="526"/>
      <c r="E15" s="526"/>
      <c r="F15" s="526"/>
      <c r="G15" s="479">
        <f>SUM(C15:F15)</f>
        <v>0</v>
      </c>
    </row>
    <row r="16" spans="1:7">
      <c r="A16" s="270">
        <v>4</v>
      </c>
      <c r="B16" s="230"/>
      <c r="C16" s="526"/>
      <c r="D16" s="526"/>
      <c r="E16" s="526"/>
      <c r="F16" s="526"/>
      <c r="G16" s="479">
        <f>SUM(C16:F16)</f>
        <v>0</v>
      </c>
    </row>
    <row r="17" spans="1:7">
      <c r="A17" s="270"/>
      <c r="B17" s="276" t="s">
        <v>1087</v>
      </c>
      <c r="C17" s="950"/>
      <c r="D17" s="950"/>
      <c r="E17" s="950"/>
      <c r="F17" s="950"/>
      <c r="G17" s="951"/>
    </row>
    <row r="18" spans="1:7">
      <c r="A18" s="270">
        <v>5</v>
      </c>
      <c r="B18" s="260" t="s">
        <v>323</v>
      </c>
      <c r="C18" s="3011">
        <v>2943268</v>
      </c>
      <c r="D18" s="526"/>
      <c r="E18" s="526"/>
      <c r="F18" s="526"/>
      <c r="G18" s="479">
        <f>SUM(C18:F18)</f>
        <v>2943268</v>
      </c>
    </row>
    <row r="19" spans="1:7">
      <c r="A19" s="270">
        <v>6</v>
      </c>
      <c r="B19" s="260" t="s">
        <v>324</v>
      </c>
      <c r="C19" s="526"/>
      <c r="D19" s="526"/>
      <c r="E19" s="526"/>
      <c r="F19" s="526"/>
      <c r="G19" s="479">
        <f>SUM(C19:F19)</f>
        <v>0</v>
      </c>
    </row>
    <row r="20" spans="1:7">
      <c r="A20" s="270">
        <v>7</v>
      </c>
      <c r="B20" s="230" t="s">
        <v>683</v>
      </c>
      <c r="C20" s="526"/>
      <c r="D20" s="526"/>
      <c r="E20" s="526"/>
      <c r="F20" s="526"/>
      <c r="G20" s="479">
        <f>SUM(C20:F20)</f>
        <v>0</v>
      </c>
    </row>
    <row r="21" spans="1:7">
      <c r="A21" s="270">
        <v>8</v>
      </c>
      <c r="B21" s="230"/>
      <c r="C21" s="526"/>
      <c r="D21" s="526"/>
      <c r="E21" s="526"/>
      <c r="F21" s="526"/>
      <c r="G21" s="479">
        <f>SUM(C21:F21)</f>
        <v>0</v>
      </c>
    </row>
    <row r="22" spans="1:7">
      <c r="A22" s="270"/>
      <c r="B22" s="276" t="s">
        <v>684</v>
      </c>
      <c r="C22" s="950"/>
      <c r="D22" s="950"/>
      <c r="E22" s="950"/>
      <c r="F22" s="950"/>
      <c r="G22" s="951"/>
    </row>
    <row r="23" spans="1:7">
      <c r="A23" s="270">
        <v>9</v>
      </c>
      <c r="B23" s="230" t="s">
        <v>685</v>
      </c>
      <c r="C23" s="526"/>
      <c r="D23" s="526"/>
      <c r="E23" s="526"/>
      <c r="F23" s="526"/>
      <c r="G23" s="479">
        <f>SUM(C23:F23)</f>
        <v>0</v>
      </c>
    </row>
    <row r="24" spans="1:7">
      <c r="A24" s="444">
        <v>10</v>
      </c>
      <c r="B24" s="230" t="s">
        <v>1546</v>
      </c>
      <c r="C24" s="526"/>
      <c r="D24" s="526"/>
      <c r="E24" s="526"/>
      <c r="F24" s="526"/>
      <c r="G24" s="479">
        <f>SUM(C24:F24)</f>
        <v>0</v>
      </c>
    </row>
    <row r="25" spans="1:7">
      <c r="A25" s="270">
        <v>11</v>
      </c>
      <c r="B25" s="230"/>
      <c r="C25" s="526"/>
      <c r="D25" s="526"/>
      <c r="E25" s="526"/>
      <c r="F25" s="526"/>
      <c r="G25" s="479">
        <f>SUM(C25:F25)</f>
        <v>0</v>
      </c>
    </row>
    <row r="26" spans="1:7">
      <c r="A26" s="270"/>
      <c r="B26" s="276" t="s">
        <v>1547</v>
      </c>
      <c r="C26" s="950"/>
      <c r="D26" s="950"/>
      <c r="E26" s="950"/>
      <c r="F26" s="950"/>
      <c r="G26" s="951"/>
    </row>
    <row r="27" spans="1:7">
      <c r="A27" s="270">
        <v>12</v>
      </c>
      <c r="B27" s="230"/>
      <c r="C27" s="526"/>
      <c r="D27" s="526"/>
      <c r="E27" s="526"/>
      <c r="F27" s="526"/>
      <c r="G27" s="479">
        <f>SUM(C27:F27)</f>
        <v>0</v>
      </c>
    </row>
    <row r="28" spans="1:7">
      <c r="A28" s="270">
        <v>13</v>
      </c>
      <c r="B28" s="230"/>
      <c r="C28" s="526"/>
      <c r="D28" s="526"/>
      <c r="E28" s="526"/>
      <c r="F28" s="526"/>
      <c r="G28" s="479">
        <f>SUM(C28:F28)</f>
        <v>0</v>
      </c>
    </row>
    <row r="29" spans="1:7">
      <c r="A29" s="270">
        <v>14</v>
      </c>
      <c r="B29" s="230"/>
      <c r="C29" s="526"/>
      <c r="D29" s="526"/>
      <c r="E29" s="526"/>
      <c r="F29" s="526"/>
      <c r="G29" s="479">
        <f>SUM(C29:F29)</f>
        <v>0</v>
      </c>
    </row>
    <row r="30" spans="1:7">
      <c r="A30" s="270">
        <v>15</v>
      </c>
      <c r="B30" s="230"/>
      <c r="C30" s="526"/>
      <c r="D30" s="526"/>
      <c r="E30" s="526"/>
      <c r="F30" s="526"/>
      <c r="G30" s="479">
        <f>SUM(C30:F30)</f>
        <v>0</v>
      </c>
    </row>
    <row r="31" spans="1:7" ht="15.75" thickBot="1">
      <c r="A31" s="277">
        <v>16</v>
      </c>
      <c r="B31" s="946" t="s">
        <v>3323</v>
      </c>
      <c r="C31" s="779">
        <f>C13+C14+C15+C16+C18+C19+C20+C21+C23+C24+C25+SUM(C27:C30)</f>
        <v>2943268</v>
      </c>
      <c r="D31" s="779">
        <f>D13+D14+D15+D16+D18+D19+D20+D21+D23+D24+D25+SUM(D27:D30)</f>
        <v>0</v>
      </c>
      <c r="E31" s="779">
        <f>E13+E14+E15+E16+E18+E19+E20+E21+E23+E24+E25+SUM(E27:E30)</f>
        <v>0</v>
      </c>
      <c r="F31" s="779">
        <f>F13+F14+F15+F16+F18+F19+F20+F21+F23+F24+F25+SUM(F27:F30)</f>
        <v>0</v>
      </c>
      <c r="G31" s="562">
        <f>SUM(C31:F31)</f>
        <v>2943268</v>
      </c>
    </row>
    <row r="32" spans="1:7" ht="15.75" thickTop="1">
      <c r="A32" s="444"/>
      <c r="B32" s="97" t="s">
        <v>144</v>
      </c>
      <c r="C32" s="160"/>
      <c r="D32" s="160"/>
      <c r="E32" s="160"/>
      <c r="F32" s="160"/>
      <c r="G32" s="148"/>
    </row>
    <row r="33" spans="1:7" ht="15.75" thickBot="1">
      <c r="A33" s="563">
        <v>17</v>
      </c>
      <c r="B33" s="124" t="s">
        <v>145</v>
      </c>
      <c r="C33" s="1001">
        <v>1584837</v>
      </c>
      <c r="D33" s="1001"/>
      <c r="E33" s="1001"/>
      <c r="F33" s="1001"/>
      <c r="G33" s="1034">
        <f>+C33</f>
        <v>1584837</v>
      </c>
    </row>
    <row r="34" spans="1:7">
      <c r="A34" s="230"/>
      <c r="B34" s="230"/>
      <c r="C34" s="230"/>
      <c r="D34" s="230"/>
      <c r="E34" s="230"/>
      <c r="F34" s="230"/>
      <c r="G34" s="230" t="s">
        <v>4066</v>
      </c>
    </row>
    <row r="35" spans="1:7">
      <c r="A35" s="13" t="s">
        <v>146</v>
      </c>
      <c r="B35" s="13"/>
      <c r="C35" s="13"/>
      <c r="D35" s="13"/>
      <c r="E35" s="13"/>
      <c r="F35" s="13"/>
      <c r="G35" s="13"/>
    </row>
    <row r="36" spans="1:7">
      <c r="A36" s="230"/>
      <c r="B36" s="230"/>
      <c r="C36" s="230"/>
      <c r="D36" s="230"/>
      <c r="E36" s="230"/>
      <c r="F36" s="230"/>
      <c r="G36" s="230"/>
    </row>
    <row r="37" spans="1:7">
      <c r="A37" s="230"/>
      <c r="B37" s="230"/>
      <c r="C37" s="230"/>
      <c r="D37" s="230"/>
      <c r="E37" s="230"/>
      <c r="F37" s="230"/>
      <c r="G37" s="230"/>
    </row>
    <row r="38" spans="1:7">
      <c r="A38" s="230"/>
      <c r="B38" s="230"/>
      <c r="C38" s="230"/>
      <c r="D38" s="230"/>
      <c r="E38" s="230"/>
      <c r="F38" s="230"/>
      <c r="G38" s="230"/>
    </row>
    <row r="39" spans="1:7">
      <c r="A39" s="230"/>
      <c r="B39" s="230"/>
      <c r="C39" s="230"/>
      <c r="D39" s="230"/>
      <c r="E39" s="230"/>
      <c r="F39" s="230"/>
      <c r="G39" s="230"/>
    </row>
    <row r="40" spans="1:7">
      <c r="A40" s="230"/>
      <c r="B40" s="947"/>
      <c r="C40" s="230"/>
      <c r="D40" s="230"/>
      <c r="E40" s="230"/>
      <c r="F40" s="230"/>
      <c r="G40" s="230"/>
    </row>
    <row r="41" spans="1:7">
      <c r="A41" s="230"/>
      <c r="B41" s="260"/>
      <c r="C41" s="230"/>
      <c r="D41" s="230"/>
      <c r="E41" s="230"/>
      <c r="F41" s="230"/>
      <c r="G41" s="230"/>
    </row>
    <row r="42" spans="1:7">
      <c r="A42" s="230"/>
      <c r="B42" s="230"/>
      <c r="C42" s="230"/>
      <c r="D42" s="230"/>
      <c r="E42" s="230"/>
      <c r="F42" s="230"/>
      <c r="G42" s="230"/>
    </row>
    <row r="43" spans="1:7">
      <c r="A43" s="230"/>
      <c r="B43" s="230"/>
      <c r="C43" s="230"/>
      <c r="D43" s="230"/>
      <c r="E43" s="230"/>
      <c r="F43" s="230"/>
      <c r="G43" s="230"/>
    </row>
    <row r="44" spans="1:7">
      <c r="A44" s="230"/>
      <c r="B44" s="260"/>
      <c r="C44" s="230"/>
      <c r="D44" s="230"/>
      <c r="E44" s="230"/>
      <c r="F44" s="230"/>
      <c r="G44" s="230"/>
    </row>
    <row r="45" spans="1:7">
      <c r="A45" s="230"/>
      <c r="B45" s="260"/>
      <c r="C45" s="230"/>
      <c r="D45" s="230"/>
      <c r="E45" s="230"/>
      <c r="F45" s="230"/>
      <c r="G45" s="230"/>
    </row>
    <row r="46" spans="1:7">
      <c r="A46" s="230"/>
      <c r="B46" s="260"/>
      <c r="C46" s="230"/>
      <c r="D46" s="230"/>
      <c r="E46" s="230"/>
      <c r="F46" s="230"/>
      <c r="G46" s="230"/>
    </row>
    <row r="47" spans="1:7">
      <c r="A47" s="230"/>
      <c r="B47" s="260"/>
      <c r="C47" s="230"/>
      <c r="D47" s="230"/>
      <c r="E47" s="230"/>
      <c r="F47" s="230"/>
      <c r="G47" s="230"/>
    </row>
    <row r="48" spans="1:7">
      <c r="A48" s="230"/>
      <c r="B48" s="230"/>
      <c r="C48" s="230"/>
      <c r="D48" s="230"/>
      <c r="E48" s="230"/>
      <c r="F48" s="230"/>
      <c r="G48" s="230"/>
    </row>
    <row r="49" spans="1:7">
      <c r="A49" s="230"/>
      <c r="B49" s="260"/>
      <c r="C49" s="230"/>
      <c r="D49" s="230"/>
      <c r="E49" s="230"/>
      <c r="F49" s="230"/>
      <c r="G49" s="230"/>
    </row>
    <row r="50" spans="1:7">
      <c r="A50" s="230"/>
      <c r="B50" s="230"/>
      <c r="C50" s="230"/>
      <c r="D50" s="230"/>
      <c r="E50" s="230"/>
      <c r="F50" s="230"/>
      <c r="G50" s="230"/>
    </row>
    <row r="51" spans="1:7">
      <c r="A51" s="230"/>
      <c r="B51" s="230"/>
      <c r="C51" s="230"/>
      <c r="D51" s="230"/>
      <c r="E51" s="230"/>
      <c r="F51" s="230"/>
      <c r="G51" s="230"/>
    </row>
    <row r="52" spans="1:7">
      <c r="A52" s="230"/>
      <c r="B52" s="230"/>
      <c r="C52" s="230"/>
      <c r="D52" s="230"/>
      <c r="E52" s="230"/>
      <c r="F52" s="230"/>
      <c r="G52" s="230"/>
    </row>
    <row r="53" spans="1:7">
      <c r="A53" s="230"/>
      <c r="B53" s="230"/>
      <c r="C53" s="230"/>
      <c r="D53" s="230"/>
      <c r="E53" s="230"/>
      <c r="F53" s="230"/>
      <c r="G53" s="230"/>
    </row>
    <row r="54" spans="1:7">
      <c r="A54" s="230"/>
      <c r="B54" s="230"/>
      <c r="C54" s="230"/>
      <c r="D54" s="230"/>
      <c r="E54" s="230"/>
      <c r="F54" s="230"/>
      <c r="G54" s="230"/>
    </row>
    <row r="55" spans="1:7">
      <c r="A55" s="230"/>
      <c r="B55" s="230"/>
      <c r="C55" s="230"/>
      <c r="D55" s="230"/>
      <c r="E55" s="230"/>
      <c r="F55" s="230"/>
      <c r="G55" s="230"/>
    </row>
    <row r="56" spans="1:7">
      <c r="A56" s="230"/>
      <c r="B56" s="230"/>
      <c r="C56" s="230"/>
      <c r="D56" s="230"/>
      <c r="E56" s="230"/>
      <c r="F56" s="230"/>
      <c r="G56" s="230"/>
    </row>
    <row r="57" spans="1:7">
      <c r="A57" s="230"/>
      <c r="B57" s="230"/>
      <c r="C57" s="230"/>
      <c r="D57" s="230"/>
      <c r="E57" s="230"/>
      <c r="F57" s="230"/>
      <c r="G57" s="230"/>
    </row>
    <row r="58" spans="1:7">
      <c r="A58" s="230"/>
      <c r="B58" s="230"/>
      <c r="C58" s="230"/>
      <c r="D58" s="230"/>
      <c r="E58" s="230"/>
      <c r="F58" s="230"/>
      <c r="G58" s="230"/>
    </row>
    <row r="59" spans="1:7">
      <c r="A59" s="230"/>
      <c r="B59" s="230"/>
      <c r="C59" s="230"/>
      <c r="D59" s="230"/>
      <c r="E59" s="230"/>
      <c r="F59" s="230"/>
      <c r="G59" s="230"/>
    </row>
    <row r="60" spans="1:7">
      <c r="A60" s="230"/>
      <c r="B60" s="230"/>
      <c r="C60" s="230"/>
      <c r="D60" s="230"/>
      <c r="E60" s="230"/>
      <c r="F60" s="230"/>
      <c r="G60" s="230"/>
    </row>
    <row r="61" spans="1:7">
      <c r="A61" s="230"/>
      <c r="B61" s="230"/>
      <c r="C61" s="230"/>
      <c r="D61" s="230"/>
      <c r="E61" s="230"/>
      <c r="F61" s="230"/>
      <c r="G61" s="230"/>
    </row>
    <row r="62" spans="1:7">
      <c r="A62" s="230"/>
      <c r="B62" s="230"/>
      <c r="C62" s="230"/>
      <c r="D62" s="230"/>
      <c r="E62" s="230"/>
      <c r="F62" s="230"/>
      <c r="G62" s="230"/>
    </row>
    <row r="63" spans="1:7">
      <c r="A63" s="230"/>
      <c r="B63" s="230"/>
      <c r="C63" s="230"/>
      <c r="D63" s="230"/>
      <c r="E63" s="230"/>
      <c r="F63" s="230"/>
      <c r="G63" s="230"/>
    </row>
    <row r="64" spans="1:7">
      <c r="A64" s="230"/>
      <c r="B64" s="230"/>
      <c r="C64" s="230"/>
      <c r="D64" s="230"/>
      <c r="E64" s="230"/>
      <c r="F64" s="230"/>
      <c r="G64" s="230"/>
    </row>
    <row r="65" spans="1:7">
      <c r="A65" s="230"/>
      <c r="B65" s="230"/>
      <c r="C65" s="230"/>
      <c r="D65" s="230"/>
      <c r="E65" s="230"/>
      <c r="F65" s="230"/>
      <c r="G65" s="230"/>
    </row>
    <row r="66" spans="1:7">
      <c r="A66" s="230"/>
      <c r="B66" s="230"/>
      <c r="C66" s="230"/>
      <c r="D66" s="230"/>
      <c r="E66" s="230"/>
      <c r="F66" s="230"/>
      <c r="G66" s="230"/>
    </row>
    <row r="67" spans="1:7">
      <c r="A67" s="230"/>
      <c r="B67" s="230"/>
      <c r="C67" s="230"/>
      <c r="D67" s="230"/>
      <c r="E67" s="230"/>
      <c r="F67" s="230"/>
      <c r="G67" s="230"/>
    </row>
    <row r="68" spans="1:7">
      <c r="A68" s="230"/>
      <c r="B68" s="230"/>
      <c r="C68" s="230"/>
      <c r="D68" s="230"/>
      <c r="E68" s="230"/>
      <c r="F68" s="230"/>
      <c r="G68" s="230"/>
    </row>
    <row r="69" spans="1:7">
      <c r="A69" s="230"/>
      <c r="B69" s="230"/>
      <c r="C69" s="230"/>
      <c r="D69" s="230"/>
      <c r="E69" s="230"/>
      <c r="F69" s="230"/>
      <c r="G69" s="230"/>
    </row>
    <row r="70" spans="1:7">
      <c r="A70" s="230"/>
      <c r="B70" s="230"/>
      <c r="C70" s="230"/>
      <c r="D70" s="230"/>
      <c r="E70" s="230"/>
      <c r="F70" s="230"/>
      <c r="G70" s="230"/>
    </row>
    <row r="71" spans="1:7">
      <c r="A71" s="230"/>
      <c r="B71" s="230"/>
      <c r="C71" s="230"/>
      <c r="D71" s="230"/>
      <c r="E71" s="230"/>
      <c r="F71" s="230"/>
      <c r="G71" s="230"/>
    </row>
    <row r="72" spans="1:7">
      <c r="A72" s="230"/>
      <c r="B72" s="230"/>
      <c r="C72" s="230"/>
      <c r="D72" s="230"/>
      <c r="E72" s="230"/>
      <c r="F72" s="230"/>
      <c r="G72" s="230"/>
    </row>
    <row r="73" spans="1:7">
      <c r="A73" s="230"/>
      <c r="B73" s="230"/>
      <c r="C73" s="230"/>
      <c r="D73" s="230"/>
      <c r="E73" s="230"/>
      <c r="F73" s="230"/>
      <c r="G73" s="230"/>
    </row>
    <row r="74" spans="1:7">
      <c r="A74" s="230"/>
      <c r="B74" s="230"/>
      <c r="C74" s="230"/>
      <c r="D74" s="230"/>
      <c r="E74" s="230"/>
      <c r="F74" s="230"/>
      <c r="G74" s="230"/>
    </row>
    <row r="75" spans="1:7">
      <c r="A75" s="230"/>
      <c r="B75" s="230"/>
      <c r="C75" s="230"/>
      <c r="D75" s="230"/>
      <c r="E75" s="230"/>
      <c r="F75" s="230"/>
      <c r="G75" s="230"/>
    </row>
    <row r="76" spans="1:7">
      <c r="A76" s="230"/>
      <c r="B76" s="230"/>
      <c r="C76" s="230"/>
      <c r="D76" s="230"/>
      <c r="E76" s="230"/>
      <c r="F76" s="230"/>
      <c r="G76" s="230"/>
    </row>
    <row r="77" spans="1:7">
      <c r="A77" s="230"/>
      <c r="B77" s="230"/>
      <c r="C77" s="230"/>
      <c r="D77" s="230"/>
      <c r="E77" s="230"/>
      <c r="F77" s="230"/>
      <c r="G77" s="230"/>
    </row>
    <row r="78" spans="1:7">
      <c r="A78" s="230"/>
      <c r="B78" s="230"/>
      <c r="C78" s="230"/>
      <c r="D78" s="230"/>
      <c r="E78" s="230"/>
      <c r="F78" s="230"/>
      <c r="G78" s="230"/>
    </row>
    <row r="79" spans="1:7">
      <c r="A79" s="230"/>
      <c r="B79" s="230"/>
      <c r="C79" s="230"/>
      <c r="D79" s="230"/>
      <c r="E79" s="230"/>
      <c r="F79" s="230"/>
      <c r="G79" s="230"/>
    </row>
    <row r="80" spans="1:7">
      <c r="A80" s="230"/>
      <c r="B80" s="230"/>
      <c r="C80" s="230"/>
      <c r="D80" s="230"/>
      <c r="E80" s="230"/>
      <c r="F80" s="230"/>
      <c r="G80" s="230"/>
    </row>
    <row r="81" spans="1:7">
      <c r="A81" s="230"/>
      <c r="B81" s="230"/>
      <c r="C81" s="230"/>
      <c r="D81" s="230"/>
      <c r="E81" s="230"/>
      <c r="F81" s="230"/>
      <c r="G81" s="230"/>
    </row>
    <row r="82" spans="1:7">
      <c r="A82" s="230"/>
      <c r="B82" s="230"/>
      <c r="C82" s="230"/>
      <c r="D82" s="230"/>
      <c r="E82" s="230"/>
      <c r="F82" s="230"/>
      <c r="G82" s="230"/>
    </row>
    <row r="83" spans="1:7">
      <c r="A83" s="230"/>
      <c r="B83" s="230"/>
      <c r="C83" s="230"/>
      <c r="D83" s="230"/>
      <c r="E83" s="230"/>
      <c r="F83" s="230"/>
      <c r="G83" s="230"/>
    </row>
    <row r="84" spans="1:7">
      <c r="A84" s="230"/>
      <c r="B84" s="230"/>
      <c r="C84" s="230"/>
      <c r="D84" s="230"/>
      <c r="E84" s="230"/>
      <c r="F84" s="230"/>
      <c r="G84" s="230"/>
    </row>
    <row r="85" spans="1:7">
      <c r="A85" s="230"/>
      <c r="B85" s="230"/>
      <c r="C85" s="230"/>
      <c r="D85" s="230"/>
      <c r="E85" s="230"/>
      <c r="F85" s="230"/>
      <c r="G85" s="230"/>
    </row>
    <row r="86" spans="1:7">
      <c r="A86" s="230"/>
      <c r="B86" s="230"/>
      <c r="C86" s="230"/>
      <c r="D86" s="230"/>
      <c r="E86" s="230"/>
      <c r="F86" s="230"/>
      <c r="G86" s="230"/>
    </row>
    <row r="87" spans="1:7">
      <c r="A87" s="230"/>
      <c r="B87" s="230"/>
      <c r="C87" s="230"/>
      <c r="D87" s="230"/>
      <c r="E87" s="230"/>
      <c r="F87" s="230"/>
      <c r="G87" s="230"/>
    </row>
    <row r="88" spans="1:7">
      <c r="A88" s="230"/>
      <c r="B88" s="230"/>
      <c r="C88" s="230"/>
      <c r="D88" s="230"/>
      <c r="E88" s="230"/>
      <c r="F88" s="230"/>
      <c r="G88" s="230"/>
    </row>
    <row r="89" spans="1:7">
      <c r="A89" s="230"/>
      <c r="B89" s="230"/>
      <c r="C89" s="230"/>
      <c r="D89" s="230"/>
      <c r="E89" s="230"/>
      <c r="F89" s="230"/>
      <c r="G89" s="230"/>
    </row>
    <row r="90" spans="1:7">
      <c r="A90" s="230"/>
      <c r="B90" s="230"/>
      <c r="C90" s="230"/>
      <c r="D90" s="230"/>
      <c r="E90" s="230"/>
      <c r="F90" s="230"/>
      <c r="G90" s="230"/>
    </row>
    <row r="91" spans="1:7">
      <c r="A91" s="230"/>
      <c r="B91" s="230"/>
      <c r="C91" s="230"/>
      <c r="D91" s="230"/>
      <c r="E91" s="230"/>
      <c r="F91" s="230"/>
      <c r="G91" s="230"/>
    </row>
    <row r="92" spans="1:7">
      <c r="A92" s="230"/>
      <c r="B92" s="230"/>
      <c r="C92" s="230"/>
      <c r="D92" s="230"/>
      <c r="E92" s="230"/>
      <c r="F92" s="230"/>
      <c r="G92" s="230"/>
    </row>
    <row r="93" spans="1:7">
      <c r="A93" s="230"/>
      <c r="B93" s="230"/>
      <c r="C93" s="230"/>
      <c r="D93" s="230"/>
      <c r="E93" s="230"/>
      <c r="F93" s="230"/>
      <c r="G93" s="230"/>
    </row>
    <row r="94" spans="1:7">
      <c r="A94" s="230"/>
      <c r="B94" s="230"/>
      <c r="C94" s="230"/>
      <c r="D94" s="230"/>
      <c r="E94" s="230"/>
      <c r="F94" s="230"/>
      <c r="G94" s="230"/>
    </row>
    <row r="95" spans="1:7">
      <c r="A95" s="230"/>
      <c r="B95" s="230"/>
      <c r="C95" s="230"/>
      <c r="D95" s="230"/>
      <c r="E95" s="230"/>
      <c r="F95" s="230"/>
      <c r="G95" s="230"/>
    </row>
    <row r="96" spans="1:7">
      <c r="A96" s="230"/>
      <c r="B96" s="230"/>
      <c r="C96" s="230"/>
      <c r="D96" s="230"/>
      <c r="E96" s="230"/>
      <c r="F96" s="230"/>
      <c r="G96" s="230"/>
    </row>
    <row r="97" spans="1:7">
      <c r="A97" s="230"/>
      <c r="B97" s="230"/>
      <c r="C97" s="230"/>
      <c r="D97" s="230"/>
      <c r="E97" s="230"/>
      <c r="F97" s="230"/>
      <c r="G97" s="230"/>
    </row>
    <row r="98" spans="1:7">
      <c r="A98" s="230"/>
      <c r="B98" s="230"/>
      <c r="C98" s="230"/>
      <c r="D98" s="230"/>
      <c r="E98" s="230"/>
      <c r="F98" s="230"/>
      <c r="G98" s="230"/>
    </row>
    <row r="99" spans="1:7">
      <c r="A99" s="230"/>
      <c r="B99" s="230"/>
      <c r="C99" s="230"/>
      <c r="D99" s="230"/>
      <c r="E99" s="230"/>
      <c r="F99" s="230"/>
      <c r="G99" s="230"/>
    </row>
    <row r="100" spans="1:7">
      <c r="A100" s="230"/>
      <c r="B100" s="230"/>
      <c r="C100" s="230"/>
      <c r="D100" s="230"/>
      <c r="E100" s="230"/>
      <c r="F100" s="230"/>
      <c r="G100" s="230"/>
    </row>
    <row r="101" spans="1:7">
      <c r="A101" s="230"/>
      <c r="B101" s="230"/>
      <c r="C101" s="230"/>
      <c r="D101" s="230"/>
      <c r="E101" s="230"/>
      <c r="F101" s="230"/>
      <c r="G101" s="230"/>
    </row>
    <row r="102" spans="1:7">
      <c r="A102" s="230"/>
      <c r="B102" s="230"/>
      <c r="C102" s="230"/>
      <c r="D102" s="230"/>
      <c r="E102" s="230"/>
      <c r="F102" s="230"/>
      <c r="G102" s="230"/>
    </row>
    <row r="103" spans="1:7">
      <c r="A103" s="230"/>
      <c r="B103" s="230"/>
      <c r="C103" s="230"/>
      <c r="D103" s="230"/>
      <c r="E103" s="230"/>
      <c r="F103" s="230"/>
      <c r="G103" s="230"/>
    </row>
    <row r="104" spans="1:7">
      <c r="A104" s="230"/>
      <c r="B104" s="230"/>
      <c r="C104" s="230"/>
      <c r="D104" s="230"/>
      <c r="E104" s="230"/>
      <c r="F104" s="230"/>
      <c r="G104" s="230"/>
    </row>
    <row r="105" spans="1:7">
      <c r="A105" s="230"/>
      <c r="B105" s="230"/>
      <c r="C105" s="230"/>
      <c r="D105" s="230"/>
      <c r="E105" s="230"/>
      <c r="F105" s="230"/>
      <c r="G105" s="230"/>
    </row>
    <row r="106" spans="1:7">
      <c r="A106" s="230"/>
      <c r="B106" s="230"/>
      <c r="C106" s="230"/>
      <c r="D106" s="230"/>
      <c r="E106" s="230"/>
      <c r="F106" s="230"/>
      <c r="G106" s="230"/>
    </row>
    <row r="107" spans="1:7">
      <c r="A107" s="230"/>
      <c r="B107" s="230"/>
      <c r="C107" s="230"/>
      <c r="D107" s="230"/>
      <c r="E107" s="230"/>
      <c r="F107" s="230"/>
      <c r="G107" s="230"/>
    </row>
    <row r="108" spans="1:7">
      <c r="A108" s="230"/>
      <c r="B108" s="230"/>
      <c r="C108" s="230"/>
      <c r="D108" s="230"/>
      <c r="E108" s="230"/>
      <c r="F108" s="230"/>
      <c r="G108" s="230"/>
    </row>
    <row r="109" spans="1:7">
      <c r="A109" s="230"/>
      <c r="B109" s="230"/>
      <c r="C109" s="230"/>
      <c r="D109" s="230"/>
      <c r="E109" s="230"/>
      <c r="F109" s="230"/>
      <c r="G109" s="230"/>
    </row>
    <row r="110" spans="1:7">
      <c r="A110" s="230"/>
      <c r="B110" s="230"/>
      <c r="C110" s="230"/>
      <c r="D110" s="230"/>
      <c r="E110" s="230"/>
      <c r="F110" s="230"/>
      <c r="G110" s="230"/>
    </row>
  </sheetData>
  <customSheetViews>
    <customSheetView guid="{1BA452AD-1A45-4D9C-9666-ADFFA6F2F567}" scale="85" colorId="22" showPageBreaks="1" fitToPage="1" printArea="1" view="pageBreakPreview">
      <selection activeCell="E34" sqref="E34"/>
      <pageMargins left="1.05" right="0.4" top="1.55" bottom="0.3" header="0.5" footer="0.5"/>
      <pageSetup scale="83" orientation="landscape" r:id="rId1"/>
      <headerFooter alignWithMargins="0"/>
    </customSheetView>
    <customSheetView guid="{EEF7ABD6-0F96-4791-B749-C06F707E7673}" scale="85" colorId="22" showPageBreaks="1" fitToPage="1" printArea="1" view="pageBreakPreview" showRuler="0">
      <selection activeCell="J47" sqref="J47"/>
      <pageMargins left="1.05" right="0.4" top="1.55" bottom="0.3" header="0.5" footer="0.5"/>
      <pageSetup scale="83" orientation="landscape" r:id="rId2"/>
      <headerFooter alignWithMargins="0"/>
    </customSheetView>
    <customSheetView guid="{A7D7DB3C-AFE6-468E-8C6B-9531F6711497}" scale="60" colorId="22" showPageBreaks="1" fitToPage="1" view="pageBreakPreview" showRuler="0">
      <selection activeCell="C19" sqref="C19"/>
      <pageMargins left="1.05" right="0.4" top="1.55" bottom="0.3" header="0.5" footer="0.5"/>
      <pageSetup scale="83" orientation="landscape" r:id="rId3"/>
      <headerFooter alignWithMargins="0"/>
    </customSheetView>
    <customSheetView guid="{4436FEB5-BFEC-4348-9286-CB706802873E}" scale="60" colorId="22" showPageBreaks="1" fitToPage="1" view="pageBreakPreview" showRuler="0">
      <selection activeCell="C19" sqref="C19"/>
      <pageMargins left="1.05" right="0.4" top="1.55" bottom="0.3" header="0.5" footer="0.5"/>
      <pageSetup scale="83" orientation="landscape" r:id="rId4"/>
      <headerFooter alignWithMargins="0"/>
    </customSheetView>
    <customSheetView guid="{044CF00C-469F-44B3-B2C4-9B4049CE70CB}" scale="75" colorId="22" fitToPage="1" showRuler="0">
      <selection activeCell="C34" sqref="C34"/>
      <pageMargins left="1.05" right="0.4" top="1.55" bottom="0.3" header="0.5" footer="0.5"/>
      <pageSetup scale="83" orientation="landscape" r:id="rId5"/>
      <headerFooter alignWithMargins="0"/>
    </customSheetView>
    <customSheetView guid="{4826FCC0-BDD6-4B2C-ACC6-ACE271DDF0E3}" scale="85" colorId="22" showPageBreaks="1" fitToPage="1" printArea="1" view="pageBreakPreview" showRuler="0">
      <selection activeCell="J47" sqref="J47"/>
      <pageMargins left="1.05" right="0.4" top="1.55" bottom="0.3" header="0.5" footer="0.5"/>
      <pageSetup scale="83" orientation="landscape" r:id="rId6"/>
      <headerFooter alignWithMargins="0"/>
    </customSheetView>
    <customSheetView guid="{EF376D10-23D6-4FE2-AB5B-4460D52CC93F}" scale="85" colorId="22" showPageBreaks="1" fitToPage="1" printArea="1" view="pageBreakPreview" showRuler="0">
      <selection activeCell="J47" sqref="J47"/>
      <pageMargins left="1.05" right="0.4" top="1.55" bottom="0.3" header="0.5" footer="0.5"/>
      <pageSetup scale="83" orientation="landscape" r:id="rId7"/>
      <headerFooter alignWithMargins="0"/>
    </customSheetView>
    <customSheetView guid="{1C046605-15CE-44F1-BFCD-2CA8588E7ACF}" scale="75" colorId="22" fitToPage="1" showRuler="0">
      <selection activeCell="C33" sqref="C33"/>
      <pageMargins left="1.05" right="0.4" top="1.55" bottom="0.3" header="0.5" footer="0.5"/>
      <pageSetup scale="83" orientation="landscape" r:id="rId8"/>
      <headerFooter alignWithMargins="0"/>
    </customSheetView>
    <customSheetView guid="{3911D713-188C-46A1-A299-F21DD3B7A146}" scale="75" colorId="22" fitToPage="1" showRuler="0">
      <selection activeCell="C33" sqref="C33"/>
      <pageMargins left="1.05" right="0.4" top="1.55" bottom="0.3" header="0.5" footer="0.5"/>
      <pageSetup scale="83" orientation="landscape" r:id="rId9"/>
      <headerFooter alignWithMargins="0"/>
    </customSheetView>
    <customSheetView guid="{78BB1E60-60BE-4F56-9763-075185EFEFAB}" scale="85" colorId="22" showPageBreaks="1" fitToPage="1" printArea="1" view="pageBreakPreview">
      <selection activeCell="E34" sqref="E34"/>
      <pageMargins left="1.05" right="0.4" top="1.55" bottom="0.3" header="0.5" footer="0.5"/>
      <pageSetup scale="83" orientation="landscape" r:id="rId10"/>
      <headerFooter alignWithMargins="0"/>
    </customSheetView>
    <customSheetView guid="{9C30803E-1E2D-4850-B0A5-591CA6F246A1}" scale="85" colorId="22" showPageBreaks="1" fitToPage="1" printArea="1" view="pageBreakPreview">
      <selection activeCell="E34" sqref="E34"/>
      <pageMargins left="1.05" right="0.4" top="1.55" bottom="0.3" header="0.5" footer="0.5"/>
      <pageSetup scale="83" orientation="landscape" r:id="rId11"/>
      <headerFooter alignWithMargins="0"/>
    </customSheetView>
    <customSheetView guid="{3B1006FF-A2CA-49E7-9B25-DAC8815279AF}" scale="85" colorId="22" showPageBreaks="1" fitToPage="1" printArea="1" view="pageBreakPreview">
      <selection activeCell="E34" sqref="E34"/>
      <pageMargins left="1.05" right="0.4" top="1.55" bottom="0.3" header="0.5" footer="0.5"/>
      <pageSetup scale="83" orientation="landscape" r:id="rId12"/>
      <headerFooter alignWithMargins="0"/>
    </customSheetView>
    <customSheetView guid="{FB1A60C8-E1F9-4DF0-8E0E-1C965F86027F}" scale="85" colorId="22" showPageBreaks="1" fitToPage="1" printArea="1" view="pageBreakPreview">
      <selection activeCell="E34" sqref="E34"/>
      <pageMargins left="1.05" right="0.4" top="1.55" bottom="0.3" header="0.5" footer="0.5"/>
      <pageSetup scale="83" orientation="landscape" r:id="rId13"/>
      <headerFooter alignWithMargins="0"/>
    </customSheetView>
    <customSheetView guid="{C5B6D812-CBE6-46AA-99F7-02494E9802B4}" scale="70" colorId="22" showPageBreaks="1" fitToPage="1" printArea="1" view="pageBreakPreview">
      <selection activeCell="C18" sqref="C18"/>
      <pageMargins left="1.05" right="0.4" top="1.55" bottom="0.3" header="0.5" footer="0.5"/>
      <pageSetup scale="83" orientation="landscape" r:id="rId14"/>
      <headerFooter alignWithMargins="0"/>
    </customSheetView>
  </customSheetViews>
  <mergeCells count="3">
    <mergeCell ref="B5:G5"/>
    <mergeCell ref="B6:G6"/>
    <mergeCell ref="B7:G7"/>
  </mergeCells>
  <phoneticPr fontId="0" type="noConversion"/>
  <pageMargins left="1.05" right="0.4" top="1.55" bottom="0.3" header="0.5" footer="0.5"/>
  <pageSetup scale="83" orientation="landscape" r:id="rId15"/>
  <headerFooter alignWithMargins="0"/>
  <customProperties>
    <customPr name="_pios_id" r:id="rId16"/>
  </customProperties>
</worksheet>
</file>

<file path=xl/worksheets/sheet45.xml><?xml version="1.0" encoding="utf-8"?>
<worksheet xmlns="http://schemas.openxmlformats.org/spreadsheetml/2006/main" xmlns:r="http://schemas.openxmlformats.org/officeDocument/2006/relationships">
  <sheetPr transitionEvaluation="1" codeName="Sheet45" enableFormatConditionsCalculation="0">
    <pageSetUpPr fitToPage="1"/>
  </sheetPr>
  <dimension ref="A1:U257"/>
  <sheetViews>
    <sheetView defaultGridColor="0" colorId="22" zoomScale="70" zoomScaleNormal="70" zoomScaleSheetLayoutView="70" workbookViewId="0"/>
  </sheetViews>
  <sheetFormatPr defaultColWidth="12.6640625" defaultRowHeight="15"/>
  <cols>
    <col min="1" max="1" width="5.77734375" style="2073" customWidth="1"/>
    <col min="2" max="2" width="14.77734375" style="2073" customWidth="1"/>
    <col min="3" max="3" width="40.77734375" style="2073" customWidth="1"/>
    <col min="4" max="4" width="21.109375" style="2073" bestFit="1" customWidth="1"/>
    <col min="5" max="5" width="23.5546875" style="2073" bestFit="1" customWidth="1"/>
    <col min="6" max="7" width="16.6640625" style="2073" customWidth="1"/>
    <col min="8" max="8" width="17.6640625" style="2073" customWidth="1"/>
    <col min="9" max="9" width="15.77734375" style="2073" customWidth="1"/>
    <col min="10" max="11" width="12.6640625" style="2073"/>
    <col min="12" max="12" width="12.88671875" style="2073" bestFit="1" customWidth="1"/>
    <col min="13" max="13" width="12.6640625" style="2073"/>
    <col min="14" max="14" width="18.33203125" style="2073" bestFit="1" customWidth="1"/>
    <col min="15" max="15" width="15.109375" style="2073" bestFit="1" customWidth="1"/>
    <col min="16" max="16" width="12.6640625" style="2073"/>
    <col min="17" max="17" width="14" style="2073" bestFit="1" customWidth="1"/>
    <col min="18" max="18" width="15.109375" style="2073" bestFit="1" customWidth="1"/>
    <col min="19" max="19" width="5.109375" style="2073" bestFit="1" customWidth="1"/>
    <col min="20" max="20" width="15.33203125" style="2073" customWidth="1"/>
    <col min="21" max="21" width="15.109375" style="2073" bestFit="1" customWidth="1"/>
    <col min="22" max="16384" width="12.6640625" style="2073"/>
  </cols>
  <sheetData>
    <row r="1" spans="1:9" ht="16.5" thickBot="1">
      <c r="A1" s="2073" t="str">
        <f>+'Data sheet'!A53</f>
        <v>Annual Report of New York American Water Company, Inc. (f/k/a Long Island Water Corp)                                   Year Ended  December 31, 2013</v>
      </c>
      <c r="C1" s="2206"/>
      <c r="D1" s="2206"/>
      <c r="E1" s="2206"/>
      <c r="F1" s="2206"/>
      <c r="H1" s="2207"/>
      <c r="I1" s="2207"/>
    </row>
    <row r="2" spans="1:9" ht="15.75">
      <c r="A2" s="2208"/>
      <c r="B2" s="2209"/>
      <c r="C2" s="2209"/>
      <c r="D2" s="2209"/>
      <c r="E2" s="2209"/>
      <c r="F2" s="2209"/>
      <c r="G2" s="2209"/>
      <c r="H2" s="2209"/>
      <c r="I2" s="2210"/>
    </row>
    <row r="3" spans="1:9" ht="15.75">
      <c r="A3" s="2211" t="s">
        <v>528</v>
      </c>
      <c r="B3" s="2212"/>
      <c r="C3" s="2212"/>
      <c r="D3" s="2212"/>
      <c r="E3" s="2212"/>
      <c r="F3" s="2212"/>
      <c r="G3" s="2212"/>
      <c r="H3" s="2212"/>
      <c r="I3" s="2213"/>
    </row>
    <row r="4" spans="1:9" ht="15.75">
      <c r="A4" s="2214"/>
      <c r="B4" s="2206"/>
      <c r="C4" s="2206"/>
      <c r="D4" s="2206"/>
      <c r="E4" s="2206"/>
      <c r="F4" s="2206"/>
      <c r="G4" s="2206"/>
      <c r="H4" s="2206"/>
      <c r="I4" s="2215"/>
    </row>
    <row r="5" spans="1:9">
      <c r="A5" s="2216"/>
      <c r="B5" s="2076" t="s">
        <v>1968</v>
      </c>
      <c r="C5" s="2076"/>
      <c r="D5" s="2076"/>
      <c r="E5" s="2076"/>
      <c r="F5" s="2076"/>
      <c r="G5" s="2076"/>
      <c r="H5" s="2076"/>
      <c r="I5" s="2369"/>
    </row>
    <row r="6" spans="1:9">
      <c r="A6" s="2216"/>
      <c r="D6" s="2077"/>
      <c r="E6" s="2077"/>
      <c r="F6" s="2077"/>
      <c r="G6" s="2077"/>
      <c r="H6" s="2077"/>
      <c r="I6" s="2215"/>
    </row>
    <row r="7" spans="1:9">
      <c r="A7" s="2216"/>
      <c r="B7" s="2076" t="s">
        <v>253</v>
      </c>
      <c r="C7" s="2076"/>
      <c r="D7" s="2076"/>
      <c r="E7" s="2076"/>
      <c r="F7" s="2076"/>
      <c r="G7" s="2076"/>
      <c r="H7" s="2076"/>
      <c r="I7" s="2369"/>
    </row>
    <row r="8" spans="1:9">
      <c r="A8" s="2216"/>
      <c r="B8" s="2076" t="s">
        <v>4347</v>
      </c>
      <c r="C8" s="2076"/>
      <c r="D8" s="2076"/>
      <c r="E8" s="2076"/>
      <c r="F8" s="2076"/>
      <c r="G8" s="2076"/>
      <c r="H8" s="2076"/>
      <c r="I8" s="2369"/>
    </row>
    <row r="9" spans="1:9">
      <c r="A9" s="2216"/>
      <c r="B9" s="2076" t="s">
        <v>668</v>
      </c>
      <c r="C9" s="2076"/>
      <c r="D9" s="2076"/>
      <c r="E9" s="2076"/>
      <c r="F9" s="2076"/>
      <c r="G9" s="2076"/>
      <c r="H9" s="2076"/>
      <c r="I9" s="2369"/>
    </row>
    <row r="10" spans="1:9">
      <c r="A10" s="2216"/>
      <c r="B10" s="2076" t="s">
        <v>4017</v>
      </c>
      <c r="C10" s="2076"/>
      <c r="D10" s="2076"/>
      <c r="E10" s="2076"/>
      <c r="F10" s="2076"/>
      <c r="G10" s="2076"/>
      <c r="H10" s="2076"/>
      <c r="I10" s="2369"/>
    </row>
    <row r="11" spans="1:9">
      <c r="A11" s="2216"/>
      <c r="B11" s="2207"/>
      <c r="D11" s="2217"/>
      <c r="E11" s="2217"/>
      <c r="F11" s="2217"/>
      <c r="G11" s="2217"/>
      <c r="H11" s="2217"/>
      <c r="I11" s="2213"/>
    </row>
    <row r="12" spans="1:9">
      <c r="A12" s="2216"/>
      <c r="B12" s="2076" t="s">
        <v>3395</v>
      </c>
      <c r="C12" s="2076"/>
      <c r="D12" s="2076"/>
      <c r="E12" s="2076"/>
      <c r="F12" s="2076"/>
      <c r="G12" s="2076"/>
      <c r="H12" s="2076"/>
      <c r="I12" s="2369"/>
    </row>
    <row r="13" spans="1:9">
      <c r="A13" s="2216"/>
      <c r="I13" s="2215"/>
    </row>
    <row r="14" spans="1:9">
      <c r="A14" s="2218"/>
      <c r="B14" s="2219"/>
      <c r="C14" s="2220"/>
      <c r="D14" s="2221"/>
      <c r="E14" s="2219"/>
      <c r="F14" s="2221"/>
      <c r="G14" s="2219"/>
      <c r="H14" s="2221"/>
      <c r="I14" s="2222"/>
    </row>
    <row r="15" spans="1:9">
      <c r="A15" s="2223"/>
      <c r="B15" s="2224"/>
      <c r="C15" s="2074"/>
      <c r="D15" s="2225" t="s">
        <v>3365</v>
      </c>
      <c r="E15" s="2226"/>
      <c r="F15" s="2225" t="s">
        <v>3396</v>
      </c>
      <c r="G15" s="2226"/>
      <c r="H15" s="2225" t="s">
        <v>3397</v>
      </c>
      <c r="I15" s="2213"/>
    </row>
    <row r="16" spans="1:9">
      <c r="A16" s="2223"/>
      <c r="B16" s="2224"/>
      <c r="C16" s="2074"/>
      <c r="D16" s="2227"/>
      <c r="E16" s="2228"/>
      <c r="F16" s="2227" t="s">
        <v>4373</v>
      </c>
      <c r="G16" s="2228"/>
      <c r="H16" s="2229" t="s">
        <v>3398</v>
      </c>
      <c r="I16" s="2230"/>
    </row>
    <row r="17" spans="1:21">
      <c r="A17" s="2223"/>
      <c r="B17" s="2224"/>
      <c r="C17" s="2074"/>
      <c r="D17" s="2231" t="s">
        <v>430</v>
      </c>
      <c r="E17" s="2231" t="s">
        <v>430</v>
      </c>
      <c r="F17" s="2231" t="s">
        <v>430</v>
      </c>
      <c r="G17" s="2231" t="s">
        <v>430</v>
      </c>
      <c r="H17" s="2231" t="s">
        <v>1697</v>
      </c>
      <c r="I17" s="2232" t="s">
        <v>1697</v>
      </c>
    </row>
    <row r="18" spans="1:21">
      <c r="A18" s="2233" t="s">
        <v>1129</v>
      </c>
      <c r="B18" s="2234" t="s">
        <v>1139</v>
      </c>
      <c r="C18" s="2235" t="s">
        <v>3399</v>
      </c>
      <c r="D18" s="2235" t="s">
        <v>3400</v>
      </c>
      <c r="E18" s="2235" t="s">
        <v>3400</v>
      </c>
      <c r="F18" s="2235" t="s">
        <v>3400</v>
      </c>
      <c r="G18" s="2235" t="s">
        <v>3400</v>
      </c>
      <c r="H18" s="2235" t="s">
        <v>3400</v>
      </c>
      <c r="I18" s="2236" t="s">
        <v>3400</v>
      </c>
      <c r="K18"/>
      <c r="L18"/>
      <c r="M18"/>
      <c r="N18"/>
      <c r="O18"/>
      <c r="P18"/>
      <c r="Q18"/>
      <c r="R18"/>
      <c r="S18"/>
      <c r="T18"/>
      <c r="U18"/>
    </row>
    <row r="19" spans="1:21">
      <c r="A19" s="2233" t="s">
        <v>3324</v>
      </c>
      <c r="B19" s="2234" t="s">
        <v>3324</v>
      </c>
      <c r="C19" s="2074" t="s">
        <v>4373</v>
      </c>
      <c r="D19" s="2235" t="s">
        <v>2268</v>
      </c>
      <c r="E19" s="2235" t="s">
        <v>1340</v>
      </c>
      <c r="F19" s="2235" t="s">
        <v>2268</v>
      </c>
      <c r="G19" s="2235" t="s">
        <v>1340</v>
      </c>
      <c r="H19" s="2235" t="s">
        <v>2268</v>
      </c>
      <c r="I19" s="2236" t="s">
        <v>1340</v>
      </c>
      <c r="K19"/>
      <c r="L19"/>
      <c r="M19"/>
      <c r="N19"/>
      <c r="O19"/>
      <c r="P19"/>
      <c r="Q19"/>
      <c r="R19"/>
      <c r="S19"/>
      <c r="T19"/>
      <c r="U19"/>
    </row>
    <row r="20" spans="1:21">
      <c r="A20" s="2237" t="s">
        <v>4032</v>
      </c>
      <c r="B20" s="2238" t="s">
        <v>4033</v>
      </c>
      <c r="C20" s="2239" t="s">
        <v>4034</v>
      </c>
      <c r="D20" s="2239" t="s">
        <v>4035</v>
      </c>
      <c r="E20" s="2239" t="s">
        <v>2277</v>
      </c>
      <c r="F20" s="2240" t="s">
        <v>2278</v>
      </c>
      <c r="G20" s="2239" t="s">
        <v>2279</v>
      </c>
      <c r="H20" s="2239" t="s">
        <v>2280</v>
      </c>
      <c r="I20" s="2241" t="s">
        <v>2281</v>
      </c>
      <c r="K20"/>
      <c r="L20"/>
      <c r="M20"/>
      <c r="N20"/>
      <c r="O20"/>
      <c r="P20"/>
      <c r="Q20"/>
      <c r="R20"/>
      <c r="S20"/>
      <c r="T20"/>
      <c r="U20"/>
    </row>
    <row r="21" spans="1:21">
      <c r="A21" s="2233">
        <v>1</v>
      </c>
      <c r="B21" s="2224"/>
      <c r="C21" s="2235" t="s">
        <v>3401</v>
      </c>
      <c r="D21" s="2074"/>
      <c r="E21" s="2074"/>
      <c r="F21" s="2242"/>
      <c r="G21" s="2074"/>
      <c r="H21" s="2074"/>
      <c r="I21" s="2243"/>
      <c r="K21"/>
      <c r="L21"/>
      <c r="M21"/>
      <c r="N21"/>
      <c r="O21"/>
      <c r="P21"/>
      <c r="Q21"/>
      <c r="R21"/>
      <c r="S21"/>
      <c r="T21"/>
      <c r="U21"/>
    </row>
    <row r="22" spans="1:21">
      <c r="A22" s="2233">
        <v>2</v>
      </c>
      <c r="B22" s="2234" t="s">
        <v>3402</v>
      </c>
      <c r="C22" s="2074" t="s">
        <v>3403</v>
      </c>
      <c r="D22" s="2947">
        <f>42387742.14-500</f>
        <v>42387242.140000001</v>
      </c>
      <c r="E22" s="2945">
        <v>40160323</v>
      </c>
      <c r="F22" s="2071">
        <v>6941203.0499999998</v>
      </c>
      <c r="G22" s="2071">
        <v>7020237</v>
      </c>
      <c r="H22" s="2244">
        <v>67845</v>
      </c>
      <c r="I22" s="3015">
        <v>67791</v>
      </c>
      <c r="K22"/>
      <c r="L22"/>
      <c r="M22"/>
      <c r="N22"/>
      <c r="O22"/>
      <c r="P22"/>
      <c r="Q22"/>
      <c r="R22"/>
      <c r="S22"/>
      <c r="T22"/>
      <c r="U22"/>
    </row>
    <row r="23" spans="1:21">
      <c r="A23" s="2233">
        <v>3</v>
      </c>
      <c r="B23" s="2234" t="s">
        <v>2850</v>
      </c>
      <c r="C23" s="2074" t="s">
        <v>2851</v>
      </c>
      <c r="D23" s="2947">
        <v>6740817.9100000001</v>
      </c>
      <c r="E23" s="2071">
        <v>6430086</v>
      </c>
      <c r="F23" s="2071">
        <v>1339984.23</v>
      </c>
      <c r="G23" s="2071">
        <v>1342075</v>
      </c>
      <c r="H23" s="2244">
        <v>4870</v>
      </c>
      <c r="I23" s="3015">
        <v>4845</v>
      </c>
      <c r="K23"/>
      <c r="L23"/>
      <c r="M23"/>
      <c r="N23"/>
      <c r="O23"/>
      <c r="P23"/>
      <c r="Q23"/>
      <c r="R23"/>
      <c r="S23"/>
      <c r="T23"/>
      <c r="U23"/>
    </row>
    <row r="24" spans="1:21">
      <c r="A24" s="2233">
        <v>4</v>
      </c>
      <c r="B24" s="2234" t="s">
        <v>4193</v>
      </c>
      <c r="C24" s="2074" t="s">
        <v>4194</v>
      </c>
      <c r="D24" s="2947">
        <v>365694.19</v>
      </c>
      <c r="E24" s="2071">
        <v>328984</v>
      </c>
      <c r="F24" s="2071">
        <v>83815.41</v>
      </c>
      <c r="G24" s="2071">
        <v>85042</v>
      </c>
      <c r="H24" s="2244">
        <v>25</v>
      </c>
      <c r="I24" s="3015">
        <v>24</v>
      </c>
      <c r="K24"/>
      <c r="L24"/>
      <c r="M24"/>
      <c r="N24"/>
      <c r="O24"/>
      <c r="P24"/>
      <c r="Q24"/>
      <c r="R24"/>
      <c r="S24"/>
      <c r="T24"/>
      <c r="U24"/>
    </row>
    <row r="25" spans="1:21">
      <c r="A25" s="2233">
        <v>5</v>
      </c>
      <c r="B25" s="2234" t="s">
        <v>4195</v>
      </c>
      <c r="C25" s="2074" t="s">
        <v>2792</v>
      </c>
      <c r="D25" s="2947">
        <v>1230093.0900000001</v>
      </c>
      <c r="E25" s="2071">
        <v>1109911</v>
      </c>
      <c r="F25" s="2245"/>
      <c r="G25" s="2245"/>
      <c r="H25" s="2244">
        <v>758</v>
      </c>
      <c r="I25" s="3015">
        <v>752</v>
      </c>
      <c r="K25"/>
      <c r="L25"/>
      <c r="M25"/>
      <c r="N25"/>
      <c r="O25"/>
      <c r="P25"/>
      <c r="Q25"/>
      <c r="R25"/>
      <c r="S25"/>
      <c r="T25"/>
      <c r="U25"/>
    </row>
    <row r="26" spans="1:21">
      <c r="A26" s="2233">
        <v>6</v>
      </c>
      <c r="B26" s="2234" t="s">
        <v>2793</v>
      </c>
      <c r="C26" s="2074" t="s">
        <v>2676</v>
      </c>
      <c r="D26" s="2947">
        <v>3213141.26</v>
      </c>
      <c r="E26" s="2071">
        <v>3137763</v>
      </c>
      <c r="F26" s="2245"/>
      <c r="G26" s="2245"/>
      <c r="H26" s="2244">
        <v>75</v>
      </c>
      <c r="I26" s="3015">
        <v>80.100000000000023</v>
      </c>
      <c r="K26"/>
      <c r="L26"/>
      <c r="M26"/>
      <c r="N26"/>
      <c r="O26"/>
      <c r="P26"/>
      <c r="Q26"/>
      <c r="R26"/>
      <c r="S26"/>
      <c r="T26"/>
      <c r="U26"/>
    </row>
    <row r="27" spans="1:21">
      <c r="A27" s="2233">
        <v>7</v>
      </c>
      <c r="B27" s="2234" t="s">
        <v>2677</v>
      </c>
      <c r="C27" s="2074" t="s">
        <v>2258</v>
      </c>
      <c r="D27" s="2947">
        <v>2760391.8</v>
      </c>
      <c r="E27" s="2071">
        <v>2065364</v>
      </c>
      <c r="F27" s="2246">
        <v>649376</v>
      </c>
      <c r="G27" s="2246">
        <v>497647</v>
      </c>
      <c r="H27" s="2071">
        <v>353</v>
      </c>
      <c r="I27" s="3013">
        <v>345.09999999999997</v>
      </c>
      <c r="K27"/>
      <c r="L27"/>
      <c r="M27"/>
      <c r="N27"/>
      <c r="O27"/>
      <c r="P27"/>
      <c r="Q27"/>
      <c r="R27"/>
      <c r="S27"/>
      <c r="T27"/>
      <c r="U27"/>
    </row>
    <row r="28" spans="1:21">
      <c r="A28" s="2233">
        <v>8</v>
      </c>
      <c r="B28" s="2234" t="s">
        <v>4305</v>
      </c>
      <c r="C28" s="2074" t="s">
        <v>4306</v>
      </c>
      <c r="D28" s="2071"/>
      <c r="E28" s="1645"/>
      <c r="F28" s="2245"/>
      <c r="G28" s="2245"/>
      <c r="H28" s="2071"/>
      <c r="I28" s="3013"/>
      <c r="K28"/>
      <c r="L28"/>
      <c r="M28"/>
      <c r="N28"/>
      <c r="O28"/>
      <c r="P28"/>
      <c r="Q28"/>
      <c r="R28"/>
      <c r="S28"/>
      <c r="T28"/>
      <c r="U28"/>
    </row>
    <row r="29" spans="1:21">
      <c r="A29" s="2233">
        <v>9</v>
      </c>
      <c r="B29" s="2234" t="s">
        <v>4307</v>
      </c>
      <c r="C29" s="2074" t="s">
        <v>4308</v>
      </c>
      <c r="D29" s="2071"/>
      <c r="E29" s="1645"/>
      <c r="F29" s="2245"/>
      <c r="G29" s="2245"/>
      <c r="H29" s="2071"/>
      <c r="I29" s="3013"/>
      <c r="K29"/>
      <c r="L29"/>
      <c r="M29"/>
      <c r="N29"/>
      <c r="O29"/>
      <c r="P29"/>
      <c r="Q29"/>
      <c r="R29"/>
      <c r="S29"/>
      <c r="T29"/>
      <c r="U29"/>
    </row>
    <row r="30" spans="1:21">
      <c r="A30" s="2233">
        <v>10</v>
      </c>
      <c r="B30" s="2234" t="s">
        <v>4309</v>
      </c>
      <c r="C30" s="2074" t="s">
        <v>4310</v>
      </c>
      <c r="D30" s="2071"/>
      <c r="E30" s="1645"/>
      <c r="F30" s="2245"/>
      <c r="G30" s="2245"/>
      <c r="H30" s="2071"/>
      <c r="I30" s="3013"/>
      <c r="K30"/>
      <c r="L30"/>
      <c r="M30"/>
      <c r="N30"/>
      <c r="O30"/>
      <c r="P30"/>
      <c r="Q30"/>
      <c r="R30"/>
      <c r="S30"/>
      <c r="T30"/>
      <c r="U30"/>
    </row>
    <row r="31" spans="1:21">
      <c r="A31" s="2233">
        <v>11</v>
      </c>
      <c r="B31" s="2224"/>
      <c r="C31" s="2074" t="s">
        <v>4311</v>
      </c>
      <c r="D31" s="2247">
        <f t="shared" ref="D31:I31" si="0">SUM(D22:D30)</f>
        <v>56697380.389999993</v>
      </c>
      <c r="E31" s="1656">
        <f t="shared" si="0"/>
        <v>53232431</v>
      </c>
      <c r="F31" s="2247">
        <f t="shared" si="0"/>
        <v>9014378.6899999995</v>
      </c>
      <c r="G31" s="2247">
        <f t="shared" si="0"/>
        <v>8945001</v>
      </c>
      <c r="H31" s="2247">
        <f t="shared" si="0"/>
        <v>73926</v>
      </c>
      <c r="I31" s="3014">
        <f t="shared" si="0"/>
        <v>73837.200000000012</v>
      </c>
      <c r="K31"/>
      <c r="L31"/>
      <c r="M31"/>
      <c r="N31"/>
      <c r="O31"/>
      <c r="P31"/>
      <c r="Q31"/>
      <c r="R31"/>
      <c r="S31"/>
      <c r="T31"/>
      <c r="U31"/>
    </row>
    <row r="32" spans="1:21">
      <c r="A32" s="2233">
        <v>12</v>
      </c>
      <c r="B32" s="2224"/>
      <c r="C32" s="2074"/>
      <c r="D32" s="2245"/>
      <c r="E32" s="1623"/>
      <c r="F32" s="2248"/>
      <c r="G32" s="2248"/>
      <c r="H32" s="2248"/>
      <c r="I32" s="2249"/>
      <c r="K32"/>
      <c r="L32"/>
      <c r="M32"/>
      <c r="N32"/>
      <c r="O32"/>
      <c r="P32"/>
      <c r="Q32"/>
      <c r="R32"/>
      <c r="S32"/>
      <c r="T32"/>
      <c r="U32"/>
    </row>
    <row r="33" spans="1:21" ht="15.75">
      <c r="A33" s="2233">
        <v>13</v>
      </c>
      <c r="B33" s="2224"/>
      <c r="C33" s="2235" t="s">
        <v>4312</v>
      </c>
      <c r="D33" s="2245"/>
      <c r="E33" s="1623"/>
      <c r="F33" s="2250"/>
      <c r="G33" s="2251"/>
      <c r="H33" s="2251"/>
      <c r="I33" s="2252"/>
      <c r="K33"/>
      <c r="L33"/>
      <c r="M33"/>
      <c r="N33"/>
      <c r="O33"/>
      <c r="P33"/>
      <c r="Q33"/>
      <c r="R33"/>
      <c r="S33"/>
      <c r="T33"/>
      <c r="U33"/>
    </row>
    <row r="34" spans="1:21">
      <c r="A34" s="2233">
        <v>14</v>
      </c>
      <c r="B34" s="2234" t="s">
        <v>4313</v>
      </c>
      <c r="C34" s="2074" t="s">
        <v>4314</v>
      </c>
      <c r="D34" s="2071">
        <v>150463.25</v>
      </c>
      <c r="E34" s="2071"/>
      <c r="F34" s="2253" t="s">
        <v>2930</v>
      </c>
      <c r="G34" s="2248"/>
      <c r="H34" s="2248"/>
      <c r="I34" s="2249"/>
      <c r="K34"/>
      <c r="L34"/>
      <c r="M34"/>
      <c r="N34"/>
      <c r="O34"/>
      <c r="P34"/>
      <c r="Q34"/>
      <c r="R34"/>
      <c r="S34"/>
      <c r="T34"/>
      <c r="U34"/>
    </row>
    <row r="35" spans="1:21">
      <c r="A35" s="2233">
        <v>15</v>
      </c>
      <c r="B35" s="2234" t="s">
        <v>2931</v>
      </c>
      <c r="C35" s="2074" t="s">
        <v>2932</v>
      </c>
      <c r="D35" s="2071">
        <v>36337.25</v>
      </c>
      <c r="E35" s="2071">
        <v>115103</v>
      </c>
      <c r="F35" s="2254" t="s">
        <v>230</v>
      </c>
      <c r="G35" s="2248"/>
      <c r="H35" s="2248"/>
      <c r="I35" s="2249"/>
      <c r="K35"/>
      <c r="L35"/>
      <c r="M35"/>
      <c r="N35"/>
      <c r="O35"/>
      <c r="P35"/>
      <c r="Q35"/>
      <c r="R35"/>
      <c r="S35"/>
      <c r="T35"/>
      <c r="U35"/>
    </row>
    <row r="36" spans="1:21">
      <c r="A36" s="2233">
        <v>16</v>
      </c>
      <c r="B36" s="2234" t="s">
        <v>231</v>
      </c>
      <c r="C36" s="2074" t="s">
        <v>232</v>
      </c>
      <c r="D36" s="2071"/>
      <c r="E36" s="2071"/>
      <c r="F36" s="2254" t="s">
        <v>233</v>
      </c>
      <c r="G36" s="2248"/>
      <c r="H36" s="2248"/>
      <c r="I36" s="2249"/>
    </row>
    <row r="37" spans="1:21">
      <c r="A37" s="2233">
        <v>17</v>
      </c>
      <c r="B37" s="2234" t="s">
        <v>234</v>
      </c>
      <c r="C37" s="2074" t="s">
        <v>235</v>
      </c>
      <c r="D37" s="2071"/>
      <c r="E37" s="2071"/>
      <c r="F37" s="2073" t="s">
        <v>585</v>
      </c>
      <c r="G37" s="2248"/>
      <c r="H37" s="2248"/>
      <c r="I37" s="2249"/>
    </row>
    <row r="38" spans="1:21">
      <c r="A38" s="2233">
        <v>18</v>
      </c>
      <c r="B38" s="2234" t="s">
        <v>3599</v>
      </c>
      <c r="C38" s="2074" t="s">
        <v>2087</v>
      </c>
      <c r="D38" s="2071"/>
      <c r="E38" s="2071">
        <v>95284</v>
      </c>
      <c r="F38" s="2254" t="s">
        <v>767</v>
      </c>
      <c r="G38" s="2248"/>
      <c r="H38" s="2248"/>
      <c r="I38" s="2249"/>
    </row>
    <row r="39" spans="1:21">
      <c r="A39" s="2233">
        <v>19</v>
      </c>
      <c r="B39" s="2224"/>
      <c r="C39" s="2074" t="s">
        <v>768</v>
      </c>
      <c r="D39" s="2247">
        <f>SUM(D34:D38)</f>
        <v>186800.5</v>
      </c>
      <c r="E39" s="1656">
        <f>SUM(E34:E38)</f>
        <v>210387</v>
      </c>
      <c r="F39" s="2248" t="s">
        <v>769</v>
      </c>
      <c r="G39" s="2248"/>
      <c r="H39" s="2248"/>
      <c r="I39" s="2249"/>
    </row>
    <row r="40" spans="1:21">
      <c r="A40" s="2237">
        <v>20</v>
      </c>
      <c r="B40" s="2228"/>
      <c r="C40" s="2255" t="s">
        <v>1922</v>
      </c>
      <c r="D40" s="3012">
        <f>D31+D39</f>
        <v>56884180.889999993</v>
      </c>
      <c r="E40" s="1855">
        <f>E31+E39</f>
        <v>53442818</v>
      </c>
      <c r="F40" s="2248"/>
      <c r="G40" s="2248"/>
      <c r="H40" s="2248"/>
      <c r="I40" s="2249"/>
    </row>
    <row r="41" spans="1:21">
      <c r="A41" s="2216"/>
      <c r="D41" s="2256"/>
      <c r="I41" s="2215"/>
    </row>
    <row r="42" spans="1:21" ht="15.75">
      <c r="A42" s="2214"/>
      <c r="B42" s="2206"/>
      <c r="F42" s="2073" t="s">
        <v>23</v>
      </c>
      <c r="I42" s="2215"/>
    </row>
    <row r="43" spans="1:21">
      <c r="A43" s="2216"/>
      <c r="B43" s="2075"/>
      <c r="F43" s="2077" t="s">
        <v>5334</v>
      </c>
      <c r="G43" s="2077"/>
      <c r="H43" s="2077"/>
      <c r="I43" s="2257"/>
    </row>
    <row r="44" spans="1:21">
      <c r="A44" s="2216"/>
      <c r="D44" s="2258"/>
      <c r="F44" s="2077" t="s">
        <v>5335</v>
      </c>
      <c r="G44" s="2077"/>
      <c r="H44" s="2077"/>
      <c r="I44" s="2257"/>
    </row>
    <row r="45" spans="1:21">
      <c r="A45" s="2216"/>
      <c r="D45" s="2253"/>
      <c r="F45" s="2077"/>
      <c r="G45" s="2077"/>
      <c r="H45" s="2077"/>
      <c r="I45" s="2257"/>
    </row>
    <row r="46" spans="1:21">
      <c r="A46" s="2216"/>
      <c r="D46" s="2259"/>
      <c r="I46" s="2215"/>
    </row>
    <row r="47" spans="1:21">
      <c r="A47" s="2216"/>
      <c r="E47" s="2260"/>
      <c r="G47" s="2077"/>
      <c r="H47" s="2077"/>
      <c r="I47" s="2257"/>
    </row>
    <row r="48" spans="1:21">
      <c r="A48" s="2216"/>
      <c r="E48" s="2260"/>
      <c r="I48" s="2215"/>
    </row>
    <row r="49" spans="1:11" ht="15.75" thickBot="1">
      <c r="A49" s="2261"/>
      <c r="B49" s="2262"/>
      <c r="C49" s="2262"/>
      <c r="D49" s="2262"/>
      <c r="E49" s="2262"/>
      <c r="F49" s="2263"/>
      <c r="G49" s="2263"/>
      <c r="H49" s="2263"/>
      <c r="I49" s="2264"/>
    </row>
    <row r="50" spans="1:11">
      <c r="A50" s="2265"/>
      <c r="B50" s="2265"/>
      <c r="C50" s="2265"/>
      <c r="D50" s="2265"/>
      <c r="E50" s="2265"/>
      <c r="F50" s="2265"/>
      <c r="G50" s="2265"/>
      <c r="H50" s="2265"/>
      <c r="I50" s="2266" t="s">
        <v>4066</v>
      </c>
    </row>
    <row r="51" spans="1:11">
      <c r="A51" s="2207" t="s">
        <v>24</v>
      </c>
      <c r="B51" s="2207"/>
      <c r="C51" s="2207"/>
      <c r="D51" s="2207"/>
      <c r="E51" s="2207"/>
      <c r="F51" s="2207"/>
      <c r="G51" s="2207"/>
      <c r="H51" s="2207"/>
      <c r="I51" s="2207"/>
    </row>
    <row r="53" spans="1:11">
      <c r="B53"/>
      <c r="C53"/>
      <c r="D53"/>
      <c r="E53"/>
      <c r="F53"/>
      <c r="G53"/>
      <c r="H53"/>
      <c r="I53"/>
      <c r="J53"/>
      <c r="K53"/>
    </row>
    <row r="54" spans="1:11">
      <c r="B54"/>
      <c r="C54"/>
      <c r="D54"/>
      <c r="E54"/>
      <c r="F54"/>
      <c r="G54"/>
      <c r="H54"/>
      <c r="I54"/>
      <c r="J54"/>
      <c r="K54"/>
    </row>
    <row r="55" spans="1:11">
      <c r="B55"/>
      <c r="C55"/>
      <c r="D55"/>
      <c r="E55"/>
      <c r="F55"/>
      <c r="G55"/>
      <c r="H55"/>
      <c r="I55"/>
      <c r="J55"/>
      <c r="K55"/>
    </row>
    <row r="56" spans="1:11">
      <c r="B56"/>
      <c r="C56"/>
      <c r="D56"/>
      <c r="E56"/>
      <c r="F56"/>
      <c r="G56"/>
      <c r="H56"/>
      <c r="I56"/>
      <c r="J56"/>
      <c r="K56"/>
    </row>
    <row r="57" spans="1:11">
      <c r="B57"/>
      <c r="C57"/>
      <c r="D57"/>
      <c r="E57"/>
      <c r="F57"/>
      <c r="G57"/>
      <c r="H57"/>
      <c r="I57"/>
      <c r="J57"/>
      <c r="K57"/>
    </row>
    <row r="58" spans="1:11">
      <c r="B58"/>
      <c r="C58"/>
      <c r="D58"/>
      <c r="E58"/>
      <c r="F58"/>
      <c r="G58"/>
      <c r="H58"/>
      <c r="I58"/>
      <c r="J58"/>
      <c r="K58"/>
    </row>
    <row r="59" spans="1:11">
      <c r="B59"/>
      <c r="C59"/>
      <c r="D59"/>
      <c r="E59"/>
      <c r="F59"/>
      <c r="G59"/>
      <c r="H59"/>
      <c r="I59"/>
      <c r="J59"/>
      <c r="K59"/>
    </row>
    <row r="60" spans="1:11">
      <c r="B60"/>
      <c r="C60"/>
      <c r="D60"/>
      <c r="E60"/>
      <c r="F60"/>
      <c r="G60"/>
      <c r="H60"/>
      <c r="I60"/>
      <c r="J60"/>
      <c r="K60"/>
    </row>
    <row r="61" spans="1:11">
      <c r="B61"/>
      <c r="C61"/>
      <c r="D61"/>
      <c r="E61"/>
      <c r="F61"/>
      <c r="G61"/>
      <c r="H61"/>
      <c r="I61"/>
      <c r="J61"/>
      <c r="K61"/>
    </row>
    <row r="62" spans="1:11">
      <c r="B62"/>
      <c r="C62"/>
      <c r="D62"/>
      <c r="E62"/>
      <c r="F62"/>
      <c r="G62"/>
      <c r="H62"/>
      <c r="I62"/>
      <c r="J62"/>
      <c r="K62"/>
    </row>
    <row r="63" spans="1:11">
      <c r="B63"/>
      <c r="C63"/>
      <c r="D63"/>
      <c r="E63"/>
      <c r="F63"/>
      <c r="G63"/>
      <c r="H63"/>
      <c r="I63"/>
      <c r="J63"/>
      <c r="K63"/>
    </row>
    <row r="64" spans="1:11">
      <c r="B64"/>
      <c r="C64"/>
      <c r="D64"/>
      <c r="E64"/>
      <c r="F64"/>
      <c r="G64"/>
      <c r="H64"/>
      <c r="I64"/>
      <c r="J64"/>
      <c r="K64"/>
    </row>
    <row r="65" spans="2:11">
      <c r="B65"/>
      <c r="C65"/>
      <c r="D65"/>
      <c r="E65"/>
      <c r="F65"/>
      <c r="G65"/>
      <c r="H65"/>
      <c r="I65"/>
      <c r="J65"/>
      <c r="K65"/>
    </row>
    <row r="66" spans="2:11">
      <c r="B66"/>
      <c r="C66"/>
      <c r="D66"/>
      <c r="E66"/>
      <c r="F66"/>
      <c r="G66"/>
      <c r="H66"/>
      <c r="I66"/>
      <c r="J66"/>
      <c r="K66"/>
    </row>
    <row r="67" spans="2:11">
      <c r="B67"/>
      <c r="C67"/>
      <c r="D67"/>
      <c r="E67"/>
      <c r="F67"/>
      <c r="G67"/>
      <c r="H67"/>
      <c r="I67"/>
      <c r="J67"/>
      <c r="K67"/>
    </row>
    <row r="68" spans="2:11">
      <c r="B68"/>
      <c r="C68"/>
      <c r="D68"/>
      <c r="E68"/>
      <c r="F68"/>
      <c r="G68"/>
      <c r="H68"/>
      <c r="I68"/>
      <c r="J68"/>
      <c r="K68"/>
    </row>
    <row r="69" spans="2:11">
      <c r="B69"/>
      <c r="C69"/>
      <c r="D69"/>
      <c r="E69"/>
      <c r="F69"/>
      <c r="G69"/>
      <c r="H69"/>
      <c r="I69"/>
      <c r="J69"/>
      <c r="K69"/>
    </row>
    <row r="70" spans="2:11">
      <c r="B70"/>
      <c r="C70"/>
      <c r="D70"/>
      <c r="E70"/>
      <c r="F70"/>
      <c r="G70"/>
      <c r="H70"/>
      <c r="I70"/>
      <c r="J70"/>
      <c r="K70"/>
    </row>
    <row r="71" spans="2:11">
      <c r="B71"/>
      <c r="C71"/>
      <c r="D71"/>
      <c r="E71"/>
      <c r="F71"/>
      <c r="G71"/>
      <c r="H71"/>
      <c r="I71"/>
      <c r="J71"/>
      <c r="K71"/>
    </row>
    <row r="72" spans="2:11">
      <c r="B72"/>
      <c r="C72"/>
      <c r="D72"/>
      <c r="E72"/>
      <c r="F72"/>
      <c r="G72"/>
      <c r="H72"/>
      <c r="I72"/>
      <c r="J72"/>
      <c r="K72"/>
    </row>
    <row r="73" spans="2:11">
      <c r="B73"/>
      <c r="C73"/>
      <c r="D73"/>
      <c r="E73"/>
      <c r="F73"/>
      <c r="G73"/>
      <c r="H73"/>
      <c r="I73"/>
      <c r="J73"/>
      <c r="K73"/>
    </row>
    <row r="74" spans="2:11">
      <c r="B74"/>
      <c r="C74"/>
      <c r="D74"/>
      <c r="E74"/>
      <c r="F74"/>
      <c r="G74"/>
      <c r="H74"/>
      <c r="I74"/>
      <c r="J74"/>
      <c r="K74"/>
    </row>
    <row r="75" spans="2:11">
      <c r="B75"/>
      <c r="C75"/>
      <c r="D75"/>
      <c r="E75"/>
      <c r="F75"/>
      <c r="G75"/>
      <c r="H75"/>
      <c r="I75"/>
      <c r="J75"/>
      <c r="K75"/>
    </row>
    <row r="76" spans="2:11">
      <c r="B76"/>
      <c r="C76"/>
      <c r="D76"/>
      <c r="E76"/>
      <c r="F76"/>
      <c r="G76"/>
      <c r="H76"/>
      <c r="I76"/>
      <c r="J76"/>
      <c r="K76"/>
    </row>
    <row r="77" spans="2:11">
      <c r="B77"/>
      <c r="C77"/>
      <c r="D77"/>
      <c r="E77"/>
      <c r="F77"/>
      <c r="G77"/>
      <c r="H77"/>
      <c r="I77"/>
      <c r="J77"/>
      <c r="K77"/>
    </row>
    <row r="78" spans="2:11">
      <c r="B78"/>
      <c r="C78"/>
      <c r="D78"/>
      <c r="E78"/>
      <c r="F78"/>
      <c r="G78"/>
      <c r="H78"/>
      <c r="I78"/>
      <c r="J78"/>
      <c r="K78"/>
    </row>
    <row r="79" spans="2:11">
      <c r="B79"/>
      <c r="C79"/>
      <c r="D79"/>
      <c r="E79"/>
      <c r="F79"/>
      <c r="G79"/>
      <c r="H79"/>
      <c r="I79"/>
      <c r="J79"/>
      <c r="K79"/>
    </row>
    <row r="80" spans="2:11">
      <c r="B80"/>
      <c r="C80"/>
      <c r="D80"/>
      <c r="E80"/>
      <c r="F80"/>
      <c r="G80"/>
      <c r="H80"/>
      <c r="I80"/>
      <c r="J80"/>
      <c r="K80"/>
    </row>
    <row r="81" spans="2:11">
      <c r="B81"/>
      <c r="C81"/>
      <c r="D81"/>
      <c r="E81"/>
      <c r="F81"/>
      <c r="G81"/>
      <c r="H81"/>
      <c r="I81"/>
      <c r="J81"/>
      <c r="K81"/>
    </row>
    <row r="82" spans="2:11">
      <c r="B82"/>
      <c r="C82"/>
      <c r="D82"/>
      <c r="E82"/>
      <c r="F82"/>
      <c r="G82"/>
      <c r="H82"/>
      <c r="I82"/>
      <c r="J82"/>
      <c r="K82"/>
    </row>
    <row r="83" spans="2:11">
      <c r="B83"/>
      <c r="C83"/>
      <c r="D83"/>
      <c r="E83"/>
      <c r="F83"/>
      <c r="G83"/>
      <c r="H83"/>
      <c r="I83"/>
      <c r="J83"/>
      <c r="K83"/>
    </row>
    <row r="84" spans="2:11">
      <c r="B84"/>
      <c r="C84"/>
      <c r="D84"/>
      <c r="E84"/>
      <c r="F84"/>
      <c r="G84"/>
      <c r="H84"/>
      <c r="I84"/>
      <c r="J84"/>
      <c r="K84"/>
    </row>
    <row r="85" spans="2:11">
      <c r="B85"/>
      <c r="C85"/>
      <c r="D85"/>
      <c r="E85"/>
      <c r="F85"/>
      <c r="G85"/>
      <c r="H85"/>
      <c r="I85"/>
      <c r="J85"/>
      <c r="K85"/>
    </row>
    <row r="86" spans="2:11">
      <c r="B86"/>
      <c r="C86"/>
      <c r="D86"/>
      <c r="E86"/>
      <c r="F86"/>
      <c r="G86"/>
      <c r="H86"/>
      <c r="I86"/>
      <c r="J86"/>
      <c r="K86"/>
    </row>
    <row r="87" spans="2:11">
      <c r="B87"/>
      <c r="C87"/>
      <c r="D87"/>
      <c r="E87"/>
      <c r="F87"/>
      <c r="G87"/>
      <c r="H87"/>
      <c r="I87"/>
      <c r="J87"/>
      <c r="K87"/>
    </row>
    <row r="88" spans="2:11">
      <c r="B88"/>
      <c r="C88"/>
      <c r="D88"/>
      <c r="E88"/>
      <c r="F88"/>
      <c r="G88"/>
      <c r="H88"/>
      <c r="I88"/>
      <c r="J88"/>
      <c r="K88"/>
    </row>
    <row r="89" spans="2:11">
      <c r="B89"/>
      <c r="C89"/>
      <c r="D89"/>
      <c r="E89"/>
      <c r="F89"/>
      <c r="G89"/>
      <c r="H89"/>
      <c r="I89"/>
      <c r="J89"/>
      <c r="K89"/>
    </row>
    <row r="90" spans="2:11">
      <c r="B90"/>
      <c r="C90"/>
      <c r="D90"/>
      <c r="E90"/>
      <c r="F90"/>
      <c r="G90"/>
      <c r="H90"/>
      <c r="I90"/>
      <c r="J90"/>
      <c r="K90"/>
    </row>
    <row r="91" spans="2:11">
      <c r="B91"/>
      <c r="C91"/>
      <c r="D91"/>
      <c r="E91"/>
      <c r="F91"/>
      <c r="G91"/>
      <c r="H91"/>
      <c r="I91"/>
      <c r="J91"/>
      <c r="K91"/>
    </row>
    <row r="92" spans="2:11">
      <c r="B92"/>
      <c r="C92"/>
      <c r="D92"/>
      <c r="E92"/>
      <c r="F92"/>
      <c r="G92"/>
      <c r="H92"/>
      <c r="I92"/>
      <c r="J92"/>
      <c r="K92"/>
    </row>
    <row r="93" spans="2:11">
      <c r="B93"/>
      <c r="C93"/>
      <c r="D93"/>
      <c r="E93"/>
      <c r="F93"/>
      <c r="G93"/>
      <c r="H93"/>
      <c r="I93"/>
      <c r="J93"/>
      <c r="K93"/>
    </row>
    <row r="94" spans="2:11">
      <c r="B94"/>
      <c r="C94"/>
      <c r="D94"/>
      <c r="E94"/>
      <c r="F94"/>
      <c r="G94"/>
      <c r="H94"/>
      <c r="I94"/>
      <c r="J94"/>
      <c r="K94"/>
    </row>
    <row r="95" spans="2:11">
      <c r="B95"/>
      <c r="C95"/>
      <c r="D95"/>
      <c r="E95"/>
      <c r="F95"/>
      <c r="G95"/>
      <c r="H95"/>
      <c r="I95"/>
      <c r="J95"/>
      <c r="K95"/>
    </row>
    <row r="96" spans="2:11">
      <c r="B96"/>
      <c r="C96"/>
      <c r="D96"/>
      <c r="E96"/>
      <c r="F96"/>
      <c r="G96"/>
      <c r="H96"/>
      <c r="I96"/>
      <c r="J96"/>
      <c r="K96"/>
    </row>
    <row r="97" spans="2:11">
      <c r="B97"/>
      <c r="C97"/>
      <c r="D97"/>
      <c r="E97"/>
      <c r="F97"/>
      <c r="G97"/>
      <c r="H97"/>
      <c r="I97"/>
      <c r="J97"/>
      <c r="K97"/>
    </row>
    <row r="98" spans="2:11">
      <c r="B98"/>
      <c r="C98"/>
      <c r="D98"/>
      <c r="E98"/>
      <c r="F98"/>
      <c r="G98"/>
      <c r="H98"/>
      <c r="I98"/>
      <c r="J98"/>
      <c r="K98"/>
    </row>
    <row r="99" spans="2:11">
      <c r="B99"/>
      <c r="C99"/>
      <c r="D99"/>
      <c r="E99"/>
      <c r="F99"/>
      <c r="G99"/>
      <c r="H99"/>
      <c r="I99"/>
      <c r="J99"/>
      <c r="K99"/>
    </row>
    <row r="100" spans="2:11">
      <c r="B100"/>
      <c r="C100"/>
      <c r="D100"/>
      <c r="E100"/>
      <c r="F100"/>
      <c r="G100"/>
      <c r="H100"/>
      <c r="I100"/>
      <c r="J100"/>
      <c r="K100"/>
    </row>
    <row r="101" spans="2:11">
      <c r="B101"/>
      <c r="C101"/>
      <c r="D101"/>
      <c r="E101"/>
      <c r="F101"/>
      <c r="G101"/>
      <c r="H101"/>
      <c r="I101"/>
      <c r="J101"/>
      <c r="K101"/>
    </row>
    <row r="102" spans="2:11">
      <c r="B102"/>
      <c r="C102"/>
      <c r="D102"/>
      <c r="E102"/>
      <c r="F102"/>
      <c r="G102"/>
      <c r="H102"/>
      <c r="I102"/>
      <c r="J102"/>
      <c r="K102"/>
    </row>
    <row r="103" spans="2:11">
      <c r="B103"/>
      <c r="C103"/>
      <c r="D103"/>
      <c r="E103"/>
      <c r="F103"/>
      <c r="G103"/>
      <c r="H103"/>
      <c r="I103"/>
      <c r="J103"/>
      <c r="K103"/>
    </row>
    <row r="104" spans="2:11">
      <c r="B104"/>
      <c r="C104"/>
      <c r="D104"/>
      <c r="E104"/>
      <c r="F104"/>
      <c r="G104"/>
      <c r="H104"/>
      <c r="I104"/>
      <c r="J104"/>
      <c r="K104"/>
    </row>
    <row r="105" spans="2:11">
      <c r="B105"/>
      <c r="C105"/>
      <c r="D105"/>
      <c r="E105"/>
      <c r="F105"/>
      <c r="G105"/>
      <c r="H105"/>
      <c r="I105"/>
      <c r="J105"/>
      <c r="K105"/>
    </row>
    <row r="106" spans="2:11">
      <c r="B106"/>
      <c r="C106"/>
      <c r="D106"/>
      <c r="E106"/>
      <c r="F106"/>
      <c r="G106"/>
      <c r="H106"/>
      <c r="I106"/>
      <c r="J106"/>
      <c r="K106"/>
    </row>
    <row r="107" spans="2:11">
      <c r="B107"/>
      <c r="C107"/>
      <c r="D107"/>
      <c r="E107"/>
      <c r="F107"/>
      <c r="G107"/>
      <c r="H107"/>
      <c r="I107"/>
      <c r="J107"/>
      <c r="K107"/>
    </row>
    <row r="108" spans="2:11">
      <c r="B108"/>
      <c r="C108"/>
      <c r="D108"/>
      <c r="E108"/>
      <c r="F108"/>
      <c r="G108"/>
      <c r="H108"/>
      <c r="I108"/>
      <c r="J108"/>
      <c r="K108"/>
    </row>
    <row r="109" spans="2:11">
      <c r="B109"/>
      <c r="C109"/>
      <c r="D109"/>
      <c r="E109"/>
      <c r="F109"/>
      <c r="G109"/>
      <c r="H109"/>
      <c r="I109"/>
      <c r="J109"/>
      <c r="K109"/>
    </row>
    <row r="110" spans="2:11">
      <c r="B110"/>
      <c r="C110"/>
      <c r="D110"/>
      <c r="E110"/>
      <c r="F110"/>
      <c r="G110"/>
      <c r="H110"/>
      <c r="I110"/>
      <c r="J110"/>
      <c r="K110"/>
    </row>
    <row r="111" spans="2:11">
      <c r="B111"/>
      <c r="C111"/>
      <c r="D111"/>
      <c r="E111"/>
      <c r="F111"/>
      <c r="G111"/>
      <c r="H111"/>
      <c r="I111"/>
      <c r="J111"/>
      <c r="K111"/>
    </row>
    <row r="112" spans="2:11">
      <c r="B112"/>
      <c r="C112"/>
      <c r="D112"/>
      <c r="E112"/>
      <c r="F112"/>
      <c r="G112"/>
      <c r="H112"/>
      <c r="I112"/>
      <c r="J112"/>
      <c r="K112"/>
    </row>
    <row r="113" spans="2:11">
      <c r="B113"/>
      <c r="C113"/>
      <c r="D113"/>
      <c r="E113"/>
      <c r="F113"/>
      <c r="G113"/>
      <c r="H113"/>
      <c r="I113"/>
      <c r="J113"/>
      <c r="K113"/>
    </row>
    <row r="114" spans="2:11">
      <c r="B114"/>
      <c r="C114"/>
      <c r="D114"/>
      <c r="E114"/>
      <c r="F114"/>
      <c r="G114"/>
      <c r="H114"/>
      <c r="I114"/>
      <c r="J114"/>
      <c r="K114"/>
    </row>
    <row r="115" spans="2:11">
      <c r="B115"/>
      <c r="C115"/>
      <c r="D115"/>
      <c r="E115"/>
      <c r="F115"/>
      <c r="G115"/>
      <c r="H115"/>
      <c r="I115"/>
      <c r="J115"/>
      <c r="K115"/>
    </row>
    <row r="116" spans="2:11">
      <c r="B116"/>
      <c r="C116"/>
      <c r="D116"/>
      <c r="E116"/>
      <c r="F116"/>
      <c r="G116"/>
      <c r="H116"/>
      <c r="I116"/>
      <c r="J116"/>
      <c r="K116"/>
    </row>
    <row r="117" spans="2:11">
      <c r="B117"/>
      <c r="C117"/>
      <c r="D117"/>
      <c r="E117"/>
      <c r="F117"/>
      <c r="G117"/>
      <c r="H117"/>
      <c r="I117"/>
      <c r="J117"/>
      <c r="K117"/>
    </row>
    <row r="118" spans="2:11">
      <c r="B118"/>
      <c r="C118"/>
      <c r="D118"/>
      <c r="E118"/>
      <c r="F118"/>
      <c r="G118"/>
      <c r="H118"/>
      <c r="I118"/>
      <c r="J118"/>
      <c r="K118"/>
    </row>
    <row r="119" spans="2:11">
      <c r="B119"/>
      <c r="C119"/>
      <c r="D119"/>
      <c r="E119"/>
      <c r="F119"/>
      <c r="G119"/>
      <c r="H119"/>
      <c r="I119"/>
      <c r="J119"/>
      <c r="K119"/>
    </row>
    <row r="120" spans="2:11">
      <c r="B120"/>
      <c r="C120"/>
      <c r="D120"/>
      <c r="E120"/>
      <c r="F120"/>
      <c r="G120"/>
      <c r="H120"/>
      <c r="I120"/>
      <c r="J120"/>
      <c r="K120"/>
    </row>
    <row r="121" spans="2:11">
      <c r="B121"/>
      <c r="C121"/>
      <c r="D121"/>
      <c r="E121"/>
      <c r="F121"/>
      <c r="G121"/>
      <c r="H121"/>
      <c r="I121"/>
      <c r="J121"/>
      <c r="K121"/>
    </row>
    <row r="122" spans="2:11">
      <c r="B122"/>
      <c r="C122"/>
      <c r="D122"/>
      <c r="E122"/>
      <c r="F122"/>
      <c r="G122"/>
      <c r="H122"/>
      <c r="I122"/>
      <c r="J122"/>
      <c r="K122"/>
    </row>
    <row r="123" spans="2:11">
      <c r="B123"/>
      <c r="C123"/>
      <c r="D123"/>
      <c r="E123"/>
      <c r="F123"/>
      <c r="G123"/>
      <c r="H123"/>
      <c r="I123"/>
      <c r="J123"/>
      <c r="K123"/>
    </row>
    <row r="124" spans="2:11">
      <c r="B124"/>
      <c r="C124"/>
      <c r="D124"/>
      <c r="E124"/>
      <c r="F124"/>
      <c r="G124"/>
      <c r="H124"/>
      <c r="I124"/>
      <c r="J124"/>
      <c r="K124"/>
    </row>
    <row r="125" spans="2:11">
      <c r="B125"/>
      <c r="C125"/>
      <c r="D125"/>
      <c r="E125"/>
      <c r="F125"/>
      <c r="G125"/>
      <c r="H125"/>
      <c r="I125"/>
      <c r="J125"/>
      <c r="K125"/>
    </row>
    <row r="126" spans="2:11">
      <c r="B126"/>
      <c r="C126"/>
      <c r="D126"/>
      <c r="E126"/>
      <c r="F126"/>
      <c r="G126"/>
      <c r="H126"/>
      <c r="I126"/>
      <c r="J126"/>
      <c r="K126"/>
    </row>
    <row r="127" spans="2:11">
      <c r="B127"/>
      <c r="C127"/>
      <c r="D127"/>
      <c r="E127"/>
      <c r="F127"/>
      <c r="G127"/>
      <c r="H127"/>
      <c r="I127"/>
      <c r="J127"/>
      <c r="K127"/>
    </row>
    <row r="128" spans="2:11">
      <c r="B128"/>
      <c r="C128"/>
      <c r="D128"/>
      <c r="E128"/>
      <c r="F128"/>
      <c r="G128"/>
      <c r="H128"/>
      <c r="I128"/>
      <c r="J128"/>
      <c r="K128"/>
    </row>
    <row r="129" spans="2:11">
      <c r="B129"/>
      <c r="C129"/>
      <c r="D129"/>
      <c r="E129"/>
      <c r="F129"/>
      <c r="G129"/>
      <c r="H129"/>
      <c r="I129"/>
      <c r="J129"/>
      <c r="K129"/>
    </row>
    <row r="130" spans="2:11">
      <c r="B130"/>
      <c r="C130"/>
      <c r="D130"/>
      <c r="E130"/>
      <c r="F130"/>
      <c r="G130"/>
      <c r="H130"/>
      <c r="I130"/>
      <c r="J130"/>
      <c r="K130"/>
    </row>
    <row r="131" spans="2:11">
      <c r="B131"/>
      <c r="C131"/>
      <c r="D131"/>
      <c r="E131"/>
      <c r="F131"/>
      <c r="G131"/>
      <c r="H131"/>
      <c r="I131"/>
      <c r="J131"/>
      <c r="K131"/>
    </row>
    <row r="132" spans="2:11">
      <c r="B132"/>
      <c r="C132"/>
      <c r="D132"/>
      <c r="E132"/>
      <c r="F132"/>
      <c r="G132"/>
      <c r="H132"/>
      <c r="I132"/>
      <c r="J132"/>
      <c r="K132"/>
    </row>
    <row r="133" spans="2:11">
      <c r="B133"/>
      <c r="C133"/>
      <c r="D133"/>
      <c r="E133"/>
      <c r="F133"/>
      <c r="G133"/>
      <c r="H133"/>
      <c r="I133"/>
      <c r="J133"/>
      <c r="K133"/>
    </row>
    <row r="134" spans="2:11">
      <c r="B134"/>
      <c r="C134"/>
      <c r="D134"/>
      <c r="E134"/>
      <c r="F134"/>
      <c r="G134"/>
      <c r="H134"/>
      <c r="I134"/>
      <c r="J134"/>
      <c r="K134"/>
    </row>
    <row r="135" spans="2:11">
      <c r="B135"/>
      <c r="C135"/>
      <c r="D135"/>
      <c r="E135"/>
      <c r="F135"/>
      <c r="G135"/>
      <c r="H135"/>
      <c r="I135"/>
      <c r="J135"/>
      <c r="K135"/>
    </row>
    <row r="136" spans="2:11">
      <c r="B136"/>
      <c r="C136"/>
      <c r="D136"/>
      <c r="E136"/>
      <c r="F136"/>
      <c r="G136"/>
      <c r="H136"/>
      <c r="I136"/>
      <c r="J136"/>
      <c r="K136"/>
    </row>
    <row r="137" spans="2:11">
      <c r="B137"/>
      <c r="C137"/>
      <c r="D137"/>
      <c r="E137"/>
      <c r="F137"/>
      <c r="G137"/>
      <c r="H137"/>
      <c r="I137"/>
      <c r="J137"/>
      <c r="K137"/>
    </row>
    <row r="138" spans="2:11">
      <c r="B138"/>
      <c r="C138"/>
      <c r="D138"/>
      <c r="E138"/>
      <c r="F138"/>
      <c r="G138"/>
      <c r="H138"/>
      <c r="I138"/>
      <c r="J138"/>
      <c r="K138"/>
    </row>
    <row r="139" spans="2:11">
      <c r="B139"/>
      <c r="C139"/>
      <c r="D139"/>
      <c r="E139"/>
      <c r="F139"/>
      <c r="G139"/>
      <c r="H139"/>
      <c r="I139"/>
      <c r="J139"/>
      <c r="K139"/>
    </row>
    <row r="140" spans="2:11">
      <c r="B140"/>
      <c r="C140"/>
      <c r="D140"/>
      <c r="E140"/>
      <c r="F140"/>
      <c r="G140"/>
      <c r="H140"/>
      <c r="I140"/>
      <c r="J140"/>
      <c r="K140"/>
    </row>
    <row r="141" spans="2:11">
      <c r="B141"/>
      <c r="C141"/>
      <c r="D141"/>
      <c r="E141"/>
      <c r="F141"/>
      <c r="G141"/>
      <c r="H141"/>
      <c r="I141"/>
      <c r="J141"/>
      <c r="K141"/>
    </row>
    <row r="142" spans="2:11">
      <c r="B142"/>
      <c r="C142"/>
      <c r="D142"/>
      <c r="E142"/>
      <c r="F142"/>
      <c r="G142"/>
      <c r="H142"/>
      <c r="I142"/>
      <c r="J142"/>
      <c r="K142"/>
    </row>
    <row r="143" spans="2:11">
      <c r="B143"/>
      <c r="C143"/>
      <c r="D143"/>
      <c r="E143"/>
      <c r="F143"/>
      <c r="G143"/>
      <c r="H143"/>
      <c r="I143"/>
      <c r="J143"/>
      <c r="K143"/>
    </row>
    <row r="144" spans="2:11">
      <c r="B144"/>
      <c r="C144"/>
      <c r="D144"/>
      <c r="E144"/>
      <c r="F144"/>
      <c r="G144"/>
      <c r="H144"/>
      <c r="I144"/>
      <c r="J144"/>
      <c r="K144"/>
    </row>
    <row r="145" spans="2:11">
      <c r="B145"/>
      <c r="C145"/>
      <c r="D145"/>
      <c r="E145"/>
      <c r="F145"/>
      <c r="G145"/>
      <c r="H145"/>
      <c r="I145"/>
      <c r="J145"/>
      <c r="K145"/>
    </row>
    <row r="146" spans="2:11">
      <c r="B146"/>
      <c r="C146"/>
      <c r="D146"/>
      <c r="E146"/>
      <c r="F146"/>
      <c r="G146"/>
      <c r="H146"/>
      <c r="I146"/>
      <c r="J146"/>
      <c r="K146"/>
    </row>
    <row r="147" spans="2:11">
      <c r="B147"/>
      <c r="C147"/>
      <c r="D147"/>
      <c r="E147"/>
      <c r="F147"/>
      <c r="G147"/>
      <c r="H147"/>
      <c r="I147"/>
      <c r="J147"/>
      <c r="K147"/>
    </row>
    <row r="148" spans="2:11">
      <c r="B148"/>
      <c r="C148"/>
      <c r="D148"/>
      <c r="E148"/>
      <c r="F148"/>
      <c r="G148"/>
      <c r="H148"/>
      <c r="I148"/>
      <c r="J148"/>
      <c r="K148"/>
    </row>
    <row r="149" spans="2:11">
      <c r="B149"/>
      <c r="C149"/>
      <c r="D149"/>
      <c r="E149"/>
      <c r="F149"/>
      <c r="G149"/>
      <c r="H149"/>
      <c r="I149"/>
      <c r="J149"/>
      <c r="K149"/>
    </row>
    <row r="150" spans="2:11">
      <c r="B150"/>
      <c r="C150"/>
      <c r="D150"/>
      <c r="E150"/>
      <c r="F150"/>
      <c r="G150"/>
      <c r="H150"/>
      <c r="I150"/>
      <c r="J150"/>
      <c r="K150"/>
    </row>
    <row r="151" spans="2:11">
      <c r="B151"/>
      <c r="C151"/>
      <c r="D151"/>
      <c r="E151"/>
      <c r="F151"/>
      <c r="G151"/>
      <c r="H151"/>
      <c r="I151"/>
      <c r="J151"/>
      <c r="K151"/>
    </row>
    <row r="152" spans="2:11">
      <c r="B152"/>
      <c r="C152"/>
      <c r="D152"/>
      <c r="E152"/>
      <c r="F152"/>
      <c r="G152"/>
      <c r="H152"/>
      <c r="I152"/>
      <c r="J152"/>
      <c r="K152"/>
    </row>
    <row r="153" spans="2:11">
      <c r="B153"/>
      <c r="C153"/>
      <c r="D153"/>
      <c r="E153"/>
      <c r="F153"/>
      <c r="G153"/>
      <c r="H153"/>
      <c r="I153"/>
      <c r="J153"/>
      <c r="K153"/>
    </row>
    <row r="154" spans="2:11">
      <c r="B154"/>
      <c r="C154"/>
      <c r="D154"/>
      <c r="E154"/>
      <c r="F154"/>
      <c r="G154"/>
      <c r="H154"/>
      <c r="I154"/>
      <c r="J154"/>
      <c r="K154"/>
    </row>
    <row r="155" spans="2:11">
      <c r="B155"/>
      <c r="C155"/>
      <c r="D155"/>
      <c r="E155"/>
      <c r="F155"/>
      <c r="G155"/>
      <c r="H155"/>
      <c r="I155"/>
      <c r="J155"/>
      <c r="K155"/>
    </row>
    <row r="156" spans="2:11">
      <c r="B156"/>
      <c r="C156"/>
      <c r="D156"/>
      <c r="E156"/>
      <c r="F156"/>
      <c r="G156"/>
      <c r="H156"/>
      <c r="I156"/>
      <c r="J156"/>
      <c r="K156"/>
    </row>
    <row r="157" spans="2:11">
      <c r="B157"/>
      <c r="C157"/>
      <c r="D157"/>
      <c r="E157"/>
      <c r="F157"/>
      <c r="G157"/>
      <c r="H157"/>
      <c r="I157"/>
      <c r="J157"/>
      <c r="K157"/>
    </row>
    <row r="158" spans="2:11">
      <c r="B158"/>
      <c r="C158"/>
      <c r="D158"/>
      <c r="E158"/>
      <c r="F158"/>
      <c r="G158"/>
      <c r="H158"/>
      <c r="I158"/>
      <c r="J158"/>
      <c r="K158"/>
    </row>
    <row r="159" spans="2:11">
      <c r="B159"/>
      <c r="C159"/>
      <c r="D159"/>
      <c r="E159"/>
      <c r="F159"/>
      <c r="G159"/>
      <c r="H159"/>
      <c r="I159"/>
      <c r="J159"/>
      <c r="K159"/>
    </row>
    <row r="160" spans="2:11">
      <c r="B160"/>
      <c r="C160"/>
      <c r="D160"/>
      <c r="E160"/>
      <c r="F160"/>
      <c r="G160"/>
      <c r="H160"/>
      <c r="I160"/>
      <c r="J160"/>
      <c r="K160"/>
    </row>
    <row r="161" spans="2:11">
      <c r="B161"/>
      <c r="C161"/>
      <c r="D161"/>
      <c r="E161"/>
      <c r="F161"/>
      <c r="G161"/>
      <c r="H161"/>
      <c r="I161"/>
      <c r="J161"/>
      <c r="K161"/>
    </row>
    <row r="162" spans="2:11">
      <c r="B162"/>
      <c r="C162"/>
      <c r="D162"/>
      <c r="E162"/>
      <c r="F162"/>
      <c r="G162"/>
      <c r="H162"/>
      <c r="I162"/>
      <c r="J162"/>
      <c r="K162"/>
    </row>
    <row r="163" spans="2:11">
      <c r="B163"/>
      <c r="C163"/>
      <c r="D163"/>
      <c r="E163"/>
      <c r="F163"/>
      <c r="G163"/>
      <c r="H163"/>
      <c r="I163"/>
      <c r="J163"/>
      <c r="K163"/>
    </row>
    <row r="164" spans="2:11">
      <c r="B164"/>
      <c r="C164"/>
      <c r="D164"/>
      <c r="E164"/>
      <c r="F164"/>
      <c r="G164"/>
      <c r="H164"/>
      <c r="I164"/>
      <c r="J164"/>
      <c r="K164"/>
    </row>
    <row r="165" spans="2:11">
      <c r="B165"/>
      <c r="C165"/>
      <c r="D165"/>
      <c r="E165"/>
      <c r="F165"/>
      <c r="G165"/>
      <c r="H165"/>
      <c r="I165"/>
      <c r="J165"/>
      <c r="K165"/>
    </row>
    <row r="166" spans="2:11">
      <c r="B166"/>
      <c r="C166"/>
      <c r="D166"/>
      <c r="E166"/>
      <c r="F166"/>
      <c r="G166"/>
      <c r="H166"/>
      <c r="I166"/>
      <c r="J166"/>
      <c r="K166"/>
    </row>
    <row r="167" spans="2:11">
      <c r="B167"/>
      <c r="C167"/>
      <c r="D167"/>
      <c r="E167"/>
      <c r="F167"/>
      <c r="G167"/>
      <c r="H167"/>
      <c r="I167"/>
      <c r="J167"/>
      <c r="K167"/>
    </row>
    <row r="168" spans="2:11">
      <c r="B168"/>
      <c r="C168"/>
      <c r="D168"/>
      <c r="E168"/>
      <c r="F168"/>
      <c r="G168"/>
      <c r="H168"/>
      <c r="I168"/>
      <c r="J168"/>
      <c r="K168"/>
    </row>
    <row r="169" spans="2:11">
      <c r="B169"/>
      <c r="C169"/>
      <c r="D169"/>
      <c r="E169"/>
      <c r="F169"/>
      <c r="G169"/>
      <c r="H169"/>
      <c r="I169"/>
      <c r="J169"/>
      <c r="K169"/>
    </row>
    <row r="170" spans="2:11">
      <c r="B170"/>
      <c r="C170"/>
      <c r="D170"/>
      <c r="E170"/>
      <c r="F170"/>
      <c r="G170"/>
      <c r="H170"/>
      <c r="I170"/>
      <c r="J170"/>
      <c r="K170"/>
    </row>
    <row r="171" spans="2:11">
      <c r="B171"/>
      <c r="C171"/>
      <c r="D171"/>
      <c r="E171"/>
      <c r="F171"/>
      <c r="G171"/>
      <c r="H171"/>
      <c r="I171"/>
      <c r="J171"/>
      <c r="K171"/>
    </row>
    <row r="172" spans="2:11">
      <c r="B172"/>
      <c r="C172"/>
      <c r="D172"/>
      <c r="E172"/>
      <c r="F172"/>
      <c r="G172"/>
      <c r="H172"/>
      <c r="I172"/>
      <c r="J172"/>
      <c r="K172"/>
    </row>
    <row r="173" spans="2:11">
      <c r="B173"/>
      <c r="C173"/>
      <c r="D173"/>
      <c r="E173"/>
      <c r="F173"/>
      <c r="G173"/>
      <c r="H173"/>
      <c r="I173"/>
      <c r="J173"/>
      <c r="K173"/>
    </row>
    <row r="174" spans="2:11">
      <c r="B174"/>
      <c r="C174"/>
      <c r="D174"/>
      <c r="E174"/>
      <c r="F174"/>
      <c r="G174"/>
      <c r="H174"/>
      <c r="I174"/>
      <c r="J174"/>
      <c r="K174"/>
    </row>
    <row r="175" spans="2:11">
      <c r="B175"/>
      <c r="C175"/>
      <c r="D175"/>
      <c r="E175"/>
      <c r="F175"/>
      <c r="G175"/>
      <c r="H175"/>
      <c r="I175"/>
      <c r="J175"/>
      <c r="K175"/>
    </row>
    <row r="176" spans="2:11">
      <c r="B176"/>
      <c r="C176"/>
      <c r="D176"/>
      <c r="E176"/>
      <c r="F176"/>
      <c r="G176"/>
      <c r="H176"/>
      <c r="I176"/>
      <c r="J176"/>
      <c r="K176"/>
    </row>
    <row r="177" spans="2:11">
      <c r="B177"/>
      <c r="C177"/>
      <c r="D177"/>
      <c r="E177"/>
      <c r="F177"/>
      <c r="G177"/>
      <c r="H177"/>
      <c r="I177"/>
      <c r="J177"/>
      <c r="K177"/>
    </row>
    <row r="178" spans="2:11">
      <c r="B178"/>
      <c r="C178"/>
      <c r="D178"/>
      <c r="E178"/>
      <c r="F178"/>
      <c r="G178"/>
      <c r="H178"/>
      <c r="I178"/>
      <c r="J178"/>
      <c r="K178"/>
    </row>
    <row r="179" spans="2:11">
      <c r="B179"/>
      <c r="C179"/>
      <c r="D179"/>
      <c r="E179"/>
      <c r="F179"/>
      <c r="G179"/>
      <c r="H179"/>
      <c r="I179"/>
      <c r="J179"/>
      <c r="K179"/>
    </row>
    <row r="180" spans="2:11">
      <c r="B180"/>
      <c r="C180"/>
      <c r="D180"/>
      <c r="E180"/>
      <c r="F180"/>
      <c r="G180"/>
      <c r="H180"/>
      <c r="I180"/>
      <c r="J180"/>
      <c r="K180"/>
    </row>
    <row r="181" spans="2:11">
      <c r="B181"/>
      <c r="C181"/>
      <c r="D181"/>
      <c r="E181"/>
      <c r="F181"/>
      <c r="G181"/>
      <c r="H181"/>
      <c r="I181"/>
      <c r="J181"/>
      <c r="K181"/>
    </row>
    <row r="182" spans="2:11">
      <c r="B182"/>
      <c r="C182"/>
      <c r="D182"/>
      <c r="E182"/>
      <c r="F182"/>
      <c r="G182"/>
      <c r="H182"/>
      <c r="I182"/>
      <c r="J182"/>
      <c r="K182"/>
    </row>
    <row r="183" spans="2:11">
      <c r="B183"/>
      <c r="C183"/>
      <c r="D183"/>
      <c r="E183"/>
      <c r="F183"/>
      <c r="G183"/>
      <c r="H183"/>
      <c r="I183"/>
      <c r="J183"/>
      <c r="K183"/>
    </row>
    <row r="184" spans="2:11">
      <c r="B184"/>
      <c r="C184"/>
      <c r="D184"/>
      <c r="E184"/>
      <c r="F184"/>
      <c r="G184"/>
      <c r="H184"/>
      <c r="I184"/>
      <c r="J184"/>
      <c r="K184"/>
    </row>
    <row r="185" spans="2:11">
      <c r="B185"/>
      <c r="C185"/>
      <c r="D185"/>
      <c r="E185"/>
      <c r="F185"/>
      <c r="G185"/>
      <c r="H185"/>
      <c r="I185"/>
      <c r="J185"/>
      <c r="K185"/>
    </row>
    <row r="186" spans="2:11">
      <c r="B186"/>
      <c r="C186"/>
      <c r="D186"/>
      <c r="E186"/>
      <c r="F186"/>
      <c r="G186"/>
      <c r="H186"/>
      <c r="I186"/>
      <c r="J186"/>
      <c r="K186"/>
    </row>
    <row r="187" spans="2:11">
      <c r="B187"/>
      <c r="C187"/>
      <c r="D187"/>
      <c r="E187"/>
      <c r="F187"/>
      <c r="G187"/>
      <c r="H187"/>
      <c r="I187"/>
      <c r="J187"/>
      <c r="K187"/>
    </row>
    <row r="188" spans="2:11">
      <c r="B188"/>
      <c r="C188"/>
      <c r="D188"/>
      <c r="E188"/>
      <c r="F188"/>
      <c r="G188"/>
      <c r="H188"/>
      <c r="I188"/>
      <c r="J188"/>
      <c r="K188"/>
    </row>
    <row r="189" spans="2:11">
      <c r="B189"/>
      <c r="C189"/>
      <c r="D189"/>
      <c r="E189"/>
      <c r="F189"/>
      <c r="G189"/>
      <c r="H189"/>
      <c r="I189"/>
      <c r="J189"/>
      <c r="K189"/>
    </row>
    <row r="190" spans="2:11">
      <c r="B190"/>
      <c r="C190"/>
      <c r="D190"/>
      <c r="E190"/>
      <c r="F190"/>
      <c r="G190"/>
      <c r="H190"/>
      <c r="I190"/>
      <c r="J190"/>
      <c r="K190"/>
    </row>
    <row r="191" spans="2:11">
      <c r="B191"/>
      <c r="C191"/>
      <c r="D191"/>
      <c r="E191"/>
      <c r="F191"/>
      <c r="G191"/>
      <c r="H191"/>
      <c r="I191"/>
      <c r="J191"/>
      <c r="K191"/>
    </row>
    <row r="192" spans="2:11">
      <c r="B192"/>
      <c r="C192"/>
      <c r="D192"/>
      <c r="E192"/>
      <c r="F192"/>
      <c r="G192"/>
      <c r="H192"/>
      <c r="I192"/>
      <c r="J192"/>
      <c r="K192"/>
    </row>
    <row r="193" spans="2:11">
      <c r="B193"/>
      <c r="C193"/>
      <c r="D193"/>
      <c r="E193"/>
      <c r="F193"/>
      <c r="G193"/>
      <c r="H193"/>
      <c r="I193"/>
      <c r="J193"/>
      <c r="K193"/>
    </row>
    <row r="194" spans="2:11">
      <c r="B194"/>
      <c r="C194"/>
      <c r="D194"/>
      <c r="E194"/>
      <c r="F194"/>
      <c r="G194"/>
      <c r="H194"/>
      <c r="I194"/>
      <c r="J194"/>
      <c r="K194"/>
    </row>
    <row r="195" spans="2:11">
      <c r="B195"/>
      <c r="C195"/>
      <c r="D195"/>
      <c r="E195"/>
      <c r="F195"/>
      <c r="G195"/>
      <c r="H195"/>
      <c r="I195"/>
      <c r="J195"/>
      <c r="K195"/>
    </row>
    <row r="196" spans="2:11">
      <c r="B196"/>
      <c r="C196"/>
      <c r="D196"/>
      <c r="E196"/>
      <c r="F196"/>
      <c r="G196"/>
      <c r="H196"/>
      <c r="I196"/>
      <c r="J196"/>
      <c r="K196"/>
    </row>
    <row r="197" spans="2:11">
      <c r="B197"/>
      <c r="C197"/>
      <c r="D197"/>
      <c r="E197"/>
      <c r="F197"/>
      <c r="G197"/>
      <c r="H197"/>
      <c r="I197"/>
      <c r="J197"/>
      <c r="K197"/>
    </row>
    <row r="198" spans="2:11">
      <c r="B198"/>
      <c r="C198"/>
      <c r="D198"/>
      <c r="E198"/>
      <c r="F198"/>
      <c r="G198"/>
      <c r="H198"/>
      <c r="I198"/>
      <c r="J198"/>
      <c r="K198"/>
    </row>
    <row r="199" spans="2:11">
      <c r="B199"/>
      <c r="C199"/>
      <c r="D199"/>
      <c r="E199"/>
      <c r="F199"/>
      <c r="G199"/>
      <c r="H199"/>
      <c r="I199"/>
      <c r="J199"/>
      <c r="K199"/>
    </row>
    <row r="200" spans="2:11">
      <c r="B200"/>
      <c r="C200"/>
      <c r="D200"/>
      <c r="E200"/>
      <c r="F200"/>
      <c r="G200"/>
      <c r="H200"/>
      <c r="I200"/>
      <c r="J200"/>
      <c r="K200"/>
    </row>
    <row r="201" spans="2:11">
      <c r="B201"/>
      <c r="C201"/>
      <c r="D201"/>
      <c r="E201"/>
      <c r="F201"/>
      <c r="G201"/>
      <c r="H201"/>
      <c r="I201"/>
      <c r="J201"/>
      <c r="K201"/>
    </row>
    <row r="202" spans="2:11">
      <c r="B202"/>
      <c r="C202"/>
      <c r="D202"/>
      <c r="E202"/>
      <c r="F202"/>
      <c r="G202"/>
      <c r="H202"/>
      <c r="I202"/>
      <c r="J202"/>
      <c r="K202"/>
    </row>
    <row r="203" spans="2:11">
      <c r="B203"/>
      <c r="C203"/>
      <c r="D203"/>
      <c r="E203"/>
      <c r="F203"/>
      <c r="G203"/>
      <c r="H203"/>
      <c r="I203"/>
      <c r="J203"/>
      <c r="K203"/>
    </row>
    <row r="204" spans="2:11">
      <c r="B204"/>
      <c r="C204"/>
      <c r="D204"/>
      <c r="E204"/>
      <c r="F204"/>
      <c r="G204"/>
      <c r="H204"/>
      <c r="I204"/>
      <c r="J204"/>
      <c r="K204"/>
    </row>
    <row r="205" spans="2:11">
      <c r="B205"/>
      <c r="C205"/>
      <c r="D205"/>
      <c r="E205"/>
      <c r="F205"/>
      <c r="G205"/>
      <c r="H205"/>
      <c r="I205"/>
      <c r="J205"/>
      <c r="K205"/>
    </row>
    <row r="206" spans="2:11">
      <c r="B206"/>
      <c r="C206"/>
      <c r="D206"/>
      <c r="E206"/>
      <c r="F206"/>
      <c r="G206"/>
      <c r="H206"/>
      <c r="I206"/>
      <c r="J206"/>
      <c r="K206"/>
    </row>
    <row r="207" spans="2:11">
      <c r="B207"/>
      <c r="C207"/>
      <c r="D207"/>
      <c r="E207"/>
      <c r="F207"/>
      <c r="G207"/>
      <c r="H207"/>
      <c r="I207"/>
      <c r="J207"/>
      <c r="K207"/>
    </row>
    <row r="208" spans="2:11">
      <c r="B208"/>
      <c r="C208"/>
      <c r="D208"/>
      <c r="E208"/>
      <c r="F208"/>
      <c r="G208"/>
      <c r="H208"/>
      <c r="I208"/>
      <c r="J208"/>
      <c r="K208"/>
    </row>
    <row r="209" spans="2:11">
      <c r="B209"/>
      <c r="C209"/>
      <c r="D209"/>
      <c r="E209"/>
      <c r="F209"/>
      <c r="G209"/>
      <c r="H209"/>
      <c r="I209"/>
      <c r="J209"/>
      <c r="K209"/>
    </row>
    <row r="210" spans="2:11">
      <c r="B210"/>
      <c r="C210"/>
      <c r="D210"/>
      <c r="E210"/>
      <c r="F210"/>
      <c r="G210"/>
      <c r="H210"/>
      <c r="I210"/>
      <c r="J210"/>
      <c r="K210"/>
    </row>
    <row r="211" spans="2:11">
      <c r="B211"/>
      <c r="C211"/>
      <c r="D211"/>
      <c r="E211"/>
      <c r="F211"/>
      <c r="G211"/>
      <c r="H211"/>
      <c r="I211"/>
      <c r="J211"/>
      <c r="K211"/>
    </row>
    <row r="212" spans="2:11">
      <c r="B212"/>
      <c r="C212"/>
      <c r="D212"/>
      <c r="E212"/>
      <c r="F212"/>
      <c r="G212"/>
      <c r="H212"/>
      <c r="I212"/>
      <c r="J212"/>
      <c r="K212"/>
    </row>
    <row r="213" spans="2:11">
      <c r="B213"/>
      <c r="C213"/>
      <c r="D213"/>
      <c r="E213"/>
      <c r="F213"/>
      <c r="G213"/>
      <c r="H213"/>
      <c r="I213"/>
      <c r="J213"/>
      <c r="K213"/>
    </row>
    <row r="214" spans="2:11">
      <c r="B214"/>
      <c r="C214"/>
      <c r="D214"/>
      <c r="E214"/>
      <c r="F214"/>
      <c r="G214"/>
      <c r="H214"/>
      <c r="I214"/>
      <c r="J214"/>
      <c r="K214"/>
    </row>
    <row r="215" spans="2:11">
      <c r="B215"/>
      <c r="C215"/>
      <c r="D215"/>
      <c r="E215"/>
      <c r="F215"/>
      <c r="G215"/>
      <c r="H215"/>
      <c r="I215"/>
      <c r="J215"/>
      <c r="K215"/>
    </row>
    <row r="216" spans="2:11">
      <c r="B216"/>
      <c r="C216"/>
      <c r="D216"/>
      <c r="E216"/>
      <c r="F216"/>
      <c r="G216"/>
      <c r="H216"/>
      <c r="I216"/>
      <c r="J216"/>
      <c r="K216"/>
    </row>
    <row r="217" spans="2:11">
      <c r="B217"/>
      <c r="C217"/>
      <c r="D217"/>
      <c r="E217"/>
      <c r="F217"/>
      <c r="G217"/>
      <c r="H217"/>
      <c r="I217"/>
      <c r="J217"/>
      <c r="K217"/>
    </row>
    <row r="218" spans="2:11">
      <c r="B218"/>
      <c r="C218"/>
      <c r="D218"/>
      <c r="E218"/>
      <c r="F218"/>
      <c r="G218"/>
      <c r="H218"/>
      <c r="I218"/>
      <c r="J218"/>
      <c r="K218"/>
    </row>
    <row r="219" spans="2:11">
      <c r="B219"/>
      <c r="C219"/>
      <c r="D219"/>
      <c r="E219"/>
      <c r="F219"/>
      <c r="G219"/>
      <c r="H219"/>
      <c r="I219"/>
      <c r="J219"/>
      <c r="K219"/>
    </row>
    <row r="220" spans="2:11">
      <c r="B220"/>
      <c r="C220"/>
      <c r="D220"/>
      <c r="E220"/>
      <c r="F220"/>
      <c r="G220"/>
      <c r="H220"/>
      <c r="I220"/>
      <c r="J220"/>
      <c r="K220"/>
    </row>
    <row r="221" spans="2:11">
      <c r="B221"/>
      <c r="C221"/>
      <c r="D221"/>
      <c r="E221"/>
      <c r="F221"/>
      <c r="G221"/>
      <c r="H221"/>
      <c r="I221"/>
      <c r="J221"/>
      <c r="K221"/>
    </row>
    <row r="222" spans="2:11">
      <c r="B222"/>
      <c r="C222"/>
      <c r="D222"/>
      <c r="E222"/>
      <c r="F222"/>
      <c r="G222"/>
      <c r="H222"/>
      <c r="I222"/>
      <c r="J222"/>
      <c r="K222"/>
    </row>
    <row r="223" spans="2:11">
      <c r="B223"/>
      <c r="C223"/>
      <c r="D223"/>
      <c r="E223"/>
      <c r="F223"/>
      <c r="G223"/>
      <c r="H223"/>
      <c r="I223"/>
      <c r="J223"/>
      <c r="K223"/>
    </row>
    <row r="224" spans="2:11">
      <c r="B224"/>
      <c r="C224"/>
      <c r="D224"/>
      <c r="E224"/>
      <c r="F224"/>
      <c r="G224"/>
      <c r="H224"/>
      <c r="I224"/>
      <c r="J224"/>
      <c r="K224"/>
    </row>
    <row r="225" spans="2:11">
      <c r="B225"/>
      <c r="C225"/>
      <c r="D225"/>
      <c r="E225"/>
      <c r="F225"/>
      <c r="G225"/>
      <c r="H225"/>
      <c r="I225"/>
      <c r="J225"/>
      <c r="K225"/>
    </row>
    <row r="226" spans="2:11">
      <c r="B226"/>
      <c r="C226"/>
      <c r="D226"/>
      <c r="E226"/>
      <c r="F226"/>
      <c r="G226"/>
      <c r="H226"/>
      <c r="I226"/>
      <c r="J226"/>
      <c r="K226"/>
    </row>
    <row r="227" spans="2:11">
      <c r="B227"/>
      <c r="C227"/>
      <c r="D227"/>
      <c r="E227"/>
      <c r="F227"/>
      <c r="G227"/>
      <c r="H227"/>
      <c r="I227"/>
      <c r="J227"/>
      <c r="K227"/>
    </row>
    <row r="228" spans="2:11">
      <c r="B228"/>
      <c r="C228"/>
      <c r="D228"/>
      <c r="E228"/>
      <c r="F228"/>
      <c r="G228"/>
      <c r="H228"/>
      <c r="I228"/>
      <c r="J228"/>
      <c r="K228"/>
    </row>
    <row r="229" spans="2:11">
      <c r="B229"/>
      <c r="C229"/>
      <c r="D229"/>
      <c r="E229"/>
      <c r="F229"/>
      <c r="G229"/>
      <c r="H229"/>
      <c r="I229"/>
      <c r="J229"/>
      <c r="K229"/>
    </row>
    <row r="230" spans="2:11">
      <c r="B230"/>
      <c r="C230"/>
      <c r="D230"/>
      <c r="E230"/>
      <c r="F230"/>
      <c r="G230"/>
      <c r="H230"/>
      <c r="I230"/>
      <c r="J230"/>
      <c r="K230"/>
    </row>
    <row r="231" spans="2:11">
      <c r="B231"/>
      <c r="C231"/>
      <c r="D231"/>
      <c r="E231"/>
      <c r="F231"/>
      <c r="G231"/>
      <c r="H231"/>
      <c r="I231"/>
      <c r="J231"/>
      <c r="K231"/>
    </row>
    <row r="232" spans="2:11">
      <c r="B232"/>
      <c r="C232"/>
      <c r="D232"/>
      <c r="E232"/>
      <c r="F232"/>
      <c r="G232"/>
      <c r="H232"/>
      <c r="I232"/>
      <c r="J232"/>
      <c r="K232"/>
    </row>
    <row r="233" spans="2:11">
      <c r="B233"/>
      <c r="C233"/>
      <c r="D233"/>
      <c r="E233"/>
      <c r="F233"/>
      <c r="G233"/>
      <c r="H233"/>
      <c r="I233"/>
      <c r="J233"/>
      <c r="K233"/>
    </row>
    <row r="234" spans="2:11">
      <c r="B234"/>
      <c r="C234"/>
      <c r="D234"/>
      <c r="E234"/>
      <c r="F234"/>
      <c r="G234"/>
      <c r="H234"/>
      <c r="I234"/>
      <c r="J234"/>
      <c r="K234"/>
    </row>
    <row r="235" spans="2:11">
      <c r="B235"/>
      <c r="C235"/>
      <c r="D235"/>
      <c r="E235"/>
      <c r="F235"/>
      <c r="G235"/>
      <c r="H235"/>
      <c r="I235"/>
      <c r="J235"/>
      <c r="K235"/>
    </row>
    <row r="236" spans="2:11">
      <c r="B236"/>
      <c r="C236"/>
      <c r="D236"/>
      <c r="E236"/>
      <c r="F236"/>
      <c r="G236"/>
      <c r="H236"/>
      <c r="I236"/>
      <c r="J236"/>
      <c r="K236"/>
    </row>
    <row r="237" spans="2:11">
      <c r="B237"/>
      <c r="C237"/>
      <c r="D237"/>
      <c r="E237"/>
      <c r="F237"/>
      <c r="G237"/>
      <c r="H237"/>
      <c r="I237"/>
      <c r="J237"/>
      <c r="K237"/>
    </row>
    <row r="238" spans="2:11">
      <c r="B238"/>
      <c r="C238"/>
      <c r="D238"/>
      <c r="E238"/>
      <c r="F238"/>
      <c r="G238"/>
      <c r="H238"/>
      <c r="I238"/>
      <c r="J238"/>
      <c r="K238"/>
    </row>
    <row r="239" spans="2:11">
      <c r="B239"/>
      <c r="C239"/>
      <c r="D239"/>
      <c r="E239"/>
      <c r="F239"/>
      <c r="G239"/>
      <c r="H239"/>
      <c r="I239"/>
      <c r="J239"/>
      <c r="K239"/>
    </row>
    <row r="240" spans="2:11">
      <c r="B240"/>
      <c r="C240"/>
      <c r="D240"/>
      <c r="E240"/>
      <c r="F240"/>
      <c r="G240"/>
      <c r="H240"/>
      <c r="I240"/>
      <c r="J240"/>
      <c r="K240"/>
    </row>
    <row r="241" spans="2:11">
      <c r="B241"/>
      <c r="C241"/>
      <c r="D241"/>
      <c r="E241"/>
      <c r="F241"/>
      <c r="G241"/>
      <c r="H241"/>
      <c r="I241"/>
      <c r="J241"/>
      <c r="K241"/>
    </row>
    <row r="242" spans="2:11">
      <c r="B242"/>
      <c r="C242"/>
      <c r="D242"/>
      <c r="E242"/>
      <c r="F242"/>
      <c r="G242"/>
      <c r="H242"/>
      <c r="I242"/>
      <c r="J242"/>
      <c r="K242"/>
    </row>
    <row r="243" spans="2:11">
      <c r="B243"/>
      <c r="C243"/>
      <c r="D243"/>
      <c r="E243"/>
      <c r="F243"/>
      <c r="G243"/>
      <c r="H243"/>
      <c r="I243"/>
      <c r="J243"/>
      <c r="K243"/>
    </row>
    <row r="244" spans="2:11">
      <c r="B244"/>
      <c r="C244"/>
      <c r="D244"/>
      <c r="E244"/>
      <c r="F244"/>
      <c r="G244"/>
      <c r="H244"/>
      <c r="I244"/>
      <c r="J244"/>
      <c r="K244"/>
    </row>
    <row r="245" spans="2:11">
      <c r="B245"/>
      <c r="C245"/>
      <c r="D245"/>
      <c r="E245"/>
      <c r="F245"/>
      <c r="G245"/>
      <c r="H245"/>
      <c r="I245"/>
      <c r="J245"/>
      <c r="K245"/>
    </row>
    <row r="246" spans="2:11">
      <c r="B246"/>
      <c r="C246"/>
      <c r="D246"/>
      <c r="E246"/>
      <c r="F246"/>
      <c r="G246"/>
      <c r="H246"/>
      <c r="I246"/>
      <c r="J246"/>
      <c r="K246"/>
    </row>
    <row r="247" spans="2:11">
      <c r="B247"/>
      <c r="C247"/>
      <c r="D247"/>
      <c r="E247"/>
      <c r="F247"/>
      <c r="G247"/>
      <c r="H247"/>
      <c r="I247"/>
      <c r="J247"/>
      <c r="K247"/>
    </row>
    <row r="248" spans="2:11">
      <c r="B248"/>
      <c r="C248"/>
      <c r="D248"/>
      <c r="E248"/>
      <c r="F248"/>
      <c r="G248"/>
      <c r="H248"/>
      <c r="I248"/>
      <c r="J248"/>
      <c r="K248"/>
    </row>
    <row r="249" spans="2:11">
      <c r="B249"/>
      <c r="C249"/>
      <c r="D249"/>
      <c r="E249"/>
      <c r="F249"/>
      <c r="G249"/>
      <c r="H249"/>
      <c r="I249"/>
      <c r="J249"/>
      <c r="K249"/>
    </row>
    <row r="250" spans="2:11">
      <c r="B250"/>
      <c r="C250"/>
      <c r="D250"/>
      <c r="E250"/>
      <c r="F250"/>
      <c r="G250"/>
      <c r="H250"/>
      <c r="I250"/>
      <c r="J250"/>
      <c r="K250"/>
    </row>
    <row r="251" spans="2:11">
      <c r="B251"/>
      <c r="C251"/>
      <c r="D251"/>
      <c r="E251"/>
      <c r="F251"/>
      <c r="G251"/>
      <c r="H251"/>
      <c r="I251"/>
      <c r="J251"/>
      <c r="K251"/>
    </row>
    <row r="252" spans="2:11">
      <c r="B252"/>
      <c r="C252"/>
      <c r="D252"/>
      <c r="E252"/>
      <c r="F252"/>
      <c r="G252"/>
      <c r="H252"/>
      <c r="I252"/>
      <c r="J252"/>
      <c r="K252"/>
    </row>
    <row r="253" spans="2:11">
      <c r="B253"/>
      <c r="C253"/>
      <c r="D253"/>
      <c r="E253"/>
      <c r="F253"/>
      <c r="G253"/>
      <c r="H253"/>
      <c r="I253"/>
      <c r="J253"/>
      <c r="K253"/>
    </row>
    <row r="254" spans="2:11">
      <c r="B254"/>
      <c r="C254"/>
      <c r="D254"/>
      <c r="E254"/>
      <c r="F254"/>
      <c r="G254"/>
      <c r="H254"/>
      <c r="I254"/>
      <c r="J254"/>
      <c r="K254"/>
    </row>
    <row r="255" spans="2:11">
      <c r="B255"/>
      <c r="C255"/>
      <c r="D255"/>
      <c r="E255"/>
      <c r="F255"/>
      <c r="G255"/>
      <c r="H255"/>
      <c r="I255"/>
      <c r="J255"/>
      <c r="K255"/>
    </row>
    <row r="256" spans="2:11">
      <c r="B256"/>
      <c r="C256"/>
      <c r="D256"/>
      <c r="E256"/>
      <c r="F256"/>
      <c r="G256"/>
      <c r="H256"/>
      <c r="I256"/>
      <c r="J256"/>
      <c r="K256"/>
    </row>
    <row r="257" spans="2:11">
      <c r="B257"/>
      <c r="C257"/>
      <c r="D257"/>
      <c r="E257"/>
      <c r="F257"/>
      <c r="G257"/>
      <c r="H257"/>
      <c r="I257"/>
      <c r="J257"/>
      <c r="K257"/>
    </row>
  </sheetData>
  <customSheetViews>
    <customSheetView guid="{1BA452AD-1A45-4D9C-9666-ADFFA6F2F567}" scale="70" colorId="22" fitToPage="1">
      <selection activeCell="N36" sqref="N36"/>
      <pageMargins left="0.65" right="0.4" top="0.8" bottom="0.3" header="0.5" footer="0.5"/>
      <pageSetup scale="61" orientation="landscape" r:id="rId1"/>
      <headerFooter alignWithMargins="0"/>
    </customSheetView>
    <customSheetView guid="{EEF7ABD6-0F96-4791-B749-C06F707E7673}" scale="75" colorId="22" fitToPage="1" showRuler="0">
      <selection activeCell="F48" sqref="F48"/>
      <pageMargins left="0.65" right="0.4" top="0.8" bottom="0.3" header="0.5" footer="0.5"/>
      <pageSetup scale="59" orientation="landscape" r:id="rId2"/>
      <headerFooter alignWithMargins="0"/>
    </customSheetView>
    <customSheetView guid="{A7D7DB3C-AFE6-468E-8C6B-9531F6711497}" scale="75" colorId="22" showPageBreaks="1" fitToPage="1" printArea="1" view="pageBreakPreview" showRuler="0">
      <selection activeCell="E22" sqref="E22"/>
      <pageMargins left="0.65" right="0.4" top="0.8" bottom="0.3" header="0.5" footer="0.5"/>
      <pageSetup scale="59" orientation="landscape" r:id="rId3"/>
      <headerFooter alignWithMargins="0"/>
    </customSheetView>
    <customSheetView guid="{4436FEB5-BFEC-4348-9286-CB706802873E}" scale="75" colorId="22" showPageBreaks="1" fitToPage="1" printArea="1" view="pageBreakPreview" showRuler="0">
      <selection activeCell="E22" sqref="E22"/>
      <pageMargins left="0.65" right="0.4" top="0.8" bottom="0.3" header="0.5" footer="0.5"/>
      <pageSetup scale="59" orientation="landscape" r:id="rId4"/>
      <headerFooter alignWithMargins="0"/>
    </customSheetView>
    <customSheetView guid="{044CF00C-469F-44B3-B2C4-9B4049CE70CB}" scale="75" colorId="22" fitToPage="1" showRuler="0" topLeftCell="C7">
      <pane xSplit="1" ySplit="14" topLeftCell="D21" activePane="bottomRight" state="frozen"/>
      <selection pane="bottomRight" activeCell="H22" sqref="H22"/>
      <pageMargins left="0.65" right="0.4" top="0.8" bottom="0.3" header="0.5" footer="0.5"/>
      <pageSetup scale="59" orientation="landscape" r:id="rId5"/>
      <headerFooter alignWithMargins="0"/>
    </customSheetView>
    <customSheetView guid="{4826FCC0-BDD6-4B2C-ACC6-ACE271DDF0E3}" scale="75" colorId="22" fitToPage="1" showRuler="0">
      <selection activeCell="E31" sqref="E31"/>
      <pageMargins left="0.65" right="0.4" top="0.8" bottom="0.3" header="0.5" footer="0.5"/>
      <pageSetup scale="59" orientation="landscape" r:id="rId6"/>
      <headerFooter alignWithMargins="0"/>
    </customSheetView>
    <customSheetView guid="{EF376D10-23D6-4FE2-AB5B-4460D52CC93F}" scale="75" colorId="22" fitToPage="1" showRuler="0">
      <selection activeCell="C20" sqref="C20"/>
      <pageMargins left="0.65" right="0.4" top="0.8" bottom="0.3" header="0.5" footer="0.5"/>
      <pageSetup scale="59" orientation="landscape" r:id="rId7"/>
      <headerFooter alignWithMargins="0"/>
    </customSheetView>
    <customSheetView guid="{1C046605-15CE-44F1-BFCD-2CA8588E7ACF}" scale="75" colorId="22" fitToPage="1" showRuler="0">
      <selection activeCell="E31" sqref="E31"/>
      <pageMargins left="0.65" right="0.4" top="0.8" bottom="0.3" header="0.5" footer="0.5"/>
      <pageSetup scale="59" orientation="landscape" r:id="rId8"/>
      <headerFooter alignWithMargins="0"/>
    </customSheetView>
    <customSheetView guid="{3911D713-188C-46A1-A299-F21DD3B7A146}" scale="75" colorId="22" fitToPage="1" showRuler="0">
      <selection activeCell="E31" sqref="E31"/>
      <pageMargins left="0.65" right="0.4" top="0.8" bottom="0.3" header="0.5" footer="0.5"/>
      <pageSetup scale="59" orientation="landscape" r:id="rId9"/>
      <headerFooter alignWithMargins="0"/>
    </customSheetView>
    <customSheetView guid="{78BB1E60-60BE-4F56-9763-075185EFEFAB}" scale="70" colorId="22" fitToPage="1">
      <selection activeCell="N36" sqref="N36"/>
      <pageMargins left="0.65" right="0.4" top="0.8" bottom="0.3" header="0.5" footer="0.5"/>
      <pageSetup scale="61" orientation="landscape" r:id="rId10"/>
      <headerFooter alignWithMargins="0"/>
    </customSheetView>
    <customSheetView guid="{9C30803E-1E2D-4850-B0A5-591CA6F246A1}" scale="70" colorId="22" fitToPage="1">
      <selection activeCell="N36" sqref="N36"/>
      <pageMargins left="0.65" right="0.4" top="0.8" bottom="0.3" header="0.5" footer="0.5"/>
      <pageSetup scale="61" orientation="landscape" r:id="rId11"/>
      <headerFooter alignWithMargins="0"/>
    </customSheetView>
    <customSheetView guid="{3B1006FF-A2CA-49E7-9B25-DAC8815279AF}" scale="70" colorId="22" fitToPage="1">
      <selection activeCell="N36" sqref="N36"/>
      <pageMargins left="0.65" right="0.4" top="0.8" bottom="0.3" header="0.5" footer="0.5"/>
      <pageSetup scale="61" orientation="landscape" r:id="rId12"/>
      <headerFooter alignWithMargins="0"/>
    </customSheetView>
    <customSheetView guid="{FB1A60C8-E1F9-4DF0-8E0E-1C965F86027F}" scale="70" colorId="22" fitToPage="1">
      <selection activeCell="N36" sqref="N36"/>
      <pageMargins left="0.65" right="0.4" top="0.8" bottom="0.3" header="0.5" footer="0.5"/>
      <pageSetup scale="61" orientation="landscape" r:id="rId13"/>
      <headerFooter alignWithMargins="0"/>
    </customSheetView>
    <customSheetView guid="{C5B6D812-CBE6-46AA-99F7-02494E9802B4}" scale="70" colorId="22" fitToPage="1" topLeftCell="B10">
      <selection activeCell="D35" sqref="D35"/>
      <pageMargins left="0.65" right="0.4" top="0.8" bottom="0.3" header="0.5" footer="0.5"/>
      <pageSetup scale="61" orientation="landscape" r:id="rId14"/>
      <headerFooter alignWithMargins="0"/>
    </customSheetView>
  </customSheetViews>
  <phoneticPr fontId="0" type="noConversion"/>
  <pageMargins left="0.65" right="0.4" top="0.8" bottom="0.3" header="0.5" footer="0.5"/>
  <pageSetup scale="61" orientation="landscape" r:id="rId15"/>
  <headerFooter alignWithMargins="0"/>
  <customProperties>
    <customPr name="_pios_id" r:id="rId16"/>
  </customProperties>
</worksheet>
</file>

<file path=xl/worksheets/sheet46.xml><?xml version="1.0" encoding="utf-8"?>
<worksheet xmlns="http://schemas.openxmlformats.org/spreadsheetml/2006/main" xmlns:r="http://schemas.openxmlformats.org/officeDocument/2006/relationships">
  <sheetPr transitionEvaluation="1" codeName="Sheet46" enableFormatConditionsCalculation="0">
    <pageSetUpPr fitToPage="1"/>
  </sheetPr>
  <dimension ref="A1:G143"/>
  <sheetViews>
    <sheetView defaultGridColor="0" colorId="22" zoomScale="70" zoomScaleNormal="70" workbookViewId="0"/>
  </sheetViews>
  <sheetFormatPr defaultColWidth="16.33203125" defaultRowHeight="15"/>
  <cols>
    <col min="1" max="1" width="6.109375" customWidth="1"/>
    <col min="2" max="2" width="35.5546875" customWidth="1"/>
    <col min="3" max="3" width="21.44140625" customWidth="1"/>
    <col min="4" max="4" width="15.77734375" customWidth="1"/>
    <col min="5" max="5" width="14.77734375" customWidth="1"/>
    <col min="6" max="7" width="12.77734375" customWidth="1"/>
  </cols>
  <sheetData>
    <row r="1" spans="1:7" ht="15.75" thickBot="1">
      <c r="A1" s="230" t="str">
        <f>+'Data sheet'!A53</f>
        <v>Annual Report of New York American Water Company, Inc. (f/k/a Long Island Water Corp)                                   Year Ended  December 31, 2013</v>
      </c>
      <c r="B1" s="550"/>
      <c r="C1" s="230"/>
      <c r="D1" s="230"/>
      <c r="E1" s="230"/>
      <c r="F1" s="230"/>
      <c r="G1" s="230"/>
    </row>
    <row r="2" spans="1:7" ht="15.75">
      <c r="A2" s="142"/>
      <c r="B2" s="1118"/>
      <c r="C2" s="143"/>
      <c r="D2" s="658"/>
      <c r="E2" s="658"/>
      <c r="F2" s="1119"/>
      <c r="G2" s="1120"/>
    </row>
    <row r="3" spans="1:7" ht="15.75">
      <c r="A3" s="130" t="s">
        <v>25</v>
      </c>
      <c r="B3" s="128"/>
      <c r="C3" s="128"/>
      <c r="D3" s="128"/>
      <c r="E3" s="128"/>
      <c r="F3" s="128"/>
      <c r="G3" s="145"/>
    </row>
    <row r="4" spans="1:7" ht="15.75">
      <c r="A4" s="108"/>
      <c r="B4" s="1121"/>
      <c r="C4" s="1121"/>
      <c r="D4" s="146"/>
      <c r="E4" s="146"/>
      <c r="F4" s="872"/>
      <c r="G4" s="112"/>
    </row>
    <row r="5" spans="1:7">
      <c r="A5" s="99"/>
      <c r="B5" s="941" t="s">
        <v>26</v>
      </c>
      <c r="C5" s="1122"/>
      <c r="D5" s="119" t="s">
        <v>4003</v>
      </c>
      <c r="E5" s="97"/>
      <c r="F5" s="2432"/>
      <c r="G5" s="2433"/>
    </row>
    <row r="6" spans="1:7">
      <c r="A6" s="96"/>
      <c r="B6" s="119" t="s">
        <v>2786</v>
      </c>
      <c r="C6" s="1123"/>
      <c r="D6" s="119" t="s">
        <v>2787</v>
      </c>
      <c r="E6" s="97"/>
      <c r="F6" s="2434"/>
      <c r="G6" s="2435"/>
    </row>
    <row r="7" spans="1:7">
      <c r="A7" s="96"/>
      <c r="B7" s="119" t="s">
        <v>2788</v>
      </c>
      <c r="C7" s="1123"/>
      <c r="D7" s="119" t="s">
        <v>2929</v>
      </c>
      <c r="E7" s="97"/>
      <c r="F7" s="2434"/>
      <c r="G7" s="2435"/>
    </row>
    <row r="8" spans="1:7">
      <c r="A8" s="96"/>
      <c r="B8" s="119" t="s">
        <v>2975</v>
      </c>
      <c r="C8" s="1123"/>
      <c r="D8" s="119" t="s">
        <v>2976</v>
      </c>
      <c r="E8" s="97"/>
      <c r="F8" s="2434"/>
      <c r="G8" s="2435"/>
    </row>
    <row r="9" spans="1:7">
      <c r="A9" s="96"/>
      <c r="B9" s="119" t="s">
        <v>4322</v>
      </c>
      <c r="C9" s="1123"/>
      <c r="D9" s="119" t="s">
        <v>1565</v>
      </c>
      <c r="E9" s="97"/>
      <c r="F9" s="2434"/>
      <c r="G9" s="2435"/>
    </row>
    <row r="10" spans="1:7">
      <c r="A10" s="96"/>
      <c r="B10" s="119" t="s">
        <v>1566</v>
      </c>
      <c r="C10" s="1123"/>
      <c r="D10" s="119" t="s">
        <v>1567</v>
      </c>
      <c r="E10" s="97"/>
      <c r="F10" s="2434"/>
      <c r="G10" s="2435"/>
    </row>
    <row r="11" spans="1:7">
      <c r="A11" s="96"/>
      <c r="B11" s="119" t="s">
        <v>1568</v>
      </c>
      <c r="C11" s="1123"/>
      <c r="D11" s="119" t="s">
        <v>1569</v>
      </c>
      <c r="E11" s="97"/>
      <c r="F11" s="2434"/>
      <c r="G11" s="2435"/>
    </row>
    <row r="12" spans="1:7">
      <c r="A12" s="96"/>
      <c r="B12" s="119" t="s">
        <v>1570</v>
      </c>
      <c r="C12" s="1123"/>
      <c r="D12" s="119" t="s">
        <v>2985</v>
      </c>
      <c r="E12" s="97"/>
      <c r="F12" s="2434"/>
      <c r="G12" s="2435"/>
    </row>
    <row r="13" spans="1:7">
      <c r="A13" s="96"/>
      <c r="B13" s="119" t="s">
        <v>2986</v>
      </c>
      <c r="C13" s="1123"/>
      <c r="D13" s="1124"/>
      <c r="E13" s="97"/>
      <c r="F13" s="2434"/>
      <c r="G13" s="2435"/>
    </row>
    <row r="14" spans="1:7">
      <c r="A14" s="96"/>
      <c r="B14" s="119" t="s">
        <v>2987</v>
      </c>
      <c r="C14" s="1123"/>
      <c r="D14" s="1123"/>
      <c r="E14" s="97"/>
      <c r="F14" s="2434"/>
      <c r="G14" s="2435"/>
    </row>
    <row r="15" spans="1:7">
      <c r="A15" s="520" t="s">
        <v>1129</v>
      </c>
      <c r="B15" s="150"/>
      <c r="C15" s="798" t="s">
        <v>2988</v>
      </c>
      <c r="D15" s="101"/>
      <c r="E15" s="689" t="s">
        <v>2989</v>
      </c>
      <c r="F15" s="689" t="s">
        <v>2988</v>
      </c>
      <c r="G15" s="1125" t="s">
        <v>2990</v>
      </c>
    </row>
    <row r="16" spans="1:7">
      <c r="A16" s="444" t="s">
        <v>3324</v>
      </c>
      <c r="B16" s="666" t="s">
        <v>2418</v>
      </c>
      <c r="C16" s="120" t="s">
        <v>2419</v>
      </c>
      <c r="D16" s="147" t="s">
        <v>1931</v>
      </c>
      <c r="E16" s="147" t="s">
        <v>1932</v>
      </c>
      <c r="F16" s="147" t="s">
        <v>2419</v>
      </c>
      <c r="G16" s="1126" t="s">
        <v>2988</v>
      </c>
    </row>
    <row r="17" spans="1:7">
      <c r="A17" s="444"/>
      <c r="B17" s="666"/>
      <c r="C17" s="120" t="s">
        <v>1933</v>
      </c>
      <c r="D17" s="147"/>
      <c r="E17" s="666" t="s">
        <v>2381</v>
      </c>
      <c r="F17" s="666" t="s">
        <v>1934</v>
      </c>
      <c r="G17" s="1126" t="s">
        <v>2419</v>
      </c>
    </row>
    <row r="18" spans="1:7">
      <c r="A18" s="521"/>
      <c r="B18" s="412" t="s">
        <v>4032</v>
      </c>
      <c r="C18" s="800" t="s">
        <v>4033</v>
      </c>
      <c r="D18" s="412" t="s">
        <v>4034</v>
      </c>
      <c r="E18" s="412" t="s">
        <v>4035</v>
      </c>
      <c r="F18" s="412" t="s">
        <v>2277</v>
      </c>
      <c r="G18" s="1127" t="s">
        <v>2278</v>
      </c>
    </row>
    <row r="19" spans="1:7">
      <c r="A19" s="520">
        <v>1</v>
      </c>
      <c r="B19" s="101" t="s">
        <v>1935</v>
      </c>
      <c r="C19" s="2436">
        <v>6825595</v>
      </c>
      <c r="D19" s="2437">
        <v>41657362</v>
      </c>
      <c r="E19" s="2438">
        <f>+'300'!H22-'301'!E20</f>
        <v>67382</v>
      </c>
      <c r="F19" s="620">
        <f t="shared" ref="F19:F66" si="0">IF(ISERR(C19/E19),"  ",C19/E19)</f>
        <v>101.29700810305422</v>
      </c>
      <c r="G19" s="1129">
        <f t="shared" ref="G19:G66" si="1">IF(ISERR(D19/C19),"  ",D19/C19)</f>
        <v>6.1031107178202051</v>
      </c>
    </row>
    <row r="20" spans="1:7">
      <c r="A20" s="444">
        <f t="shared" ref="A20:A54" si="2">A19+1</f>
        <v>2</v>
      </c>
      <c r="B20" s="97" t="s">
        <v>3244</v>
      </c>
      <c r="C20" s="2439">
        <f>115609-1</f>
        <v>115608</v>
      </c>
      <c r="D20" s="2437">
        <v>621398</v>
      </c>
      <c r="E20" s="1623">
        <v>463</v>
      </c>
      <c r="F20" s="620">
        <f t="shared" si="0"/>
        <v>249.69330453563714</v>
      </c>
      <c r="G20" s="619">
        <f t="shared" si="1"/>
        <v>5.3750432496021032</v>
      </c>
    </row>
    <row r="21" spans="1:7">
      <c r="A21" s="444">
        <f t="shared" si="2"/>
        <v>3</v>
      </c>
      <c r="B21" s="97"/>
      <c r="C21" s="1623"/>
      <c r="D21" s="2440"/>
      <c r="E21" s="1623"/>
      <c r="F21" s="620" t="str">
        <f t="shared" si="0"/>
        <v xml:space="preserve">  </v>
      </c>
      <c r="G21" s="619" t="str">
        <f t="shared" si="1"/>
        <v xml:space="preserve">  </v>
      </c>
    </row>
    <row r="22" spans="1:7">
      <c r="A22" s="444">
        <f t="shared" si="2"/>
        <v>4</v>
      </c>
      <c r="B22" s="97"/>
      <c r="C22" s="1623"/>
      <c r="D22" s="2440"/>
      <c r="E22" s="1623"/>
      <c r="F22" s="620" t="str">
        <f t="shared" si="0"/>
        <v xml:space="preserve">  </v>
      </c>
      <c r="G22" s="619" t="str">
        <f t="shared" si="1"/>
        <v xml:space="preserve">  </v>
      </c>
    </row>
    <row r="23" spans="1:7">
      <c r="A23" s="444">
        <f t="shared" si="2"/>
        <v>5</v>
      </c>
      <c r="B23" s="97" t="s">
        <v>3245</v>
      </c>
      <c r="C23" s="1623"/>
      <c r="D23" s="2440"/>
      <c r="E23" s="1623"/>
      <c r="F23" s="620" t="str">
        <f t="shared" si="0"/>
        <v xml:space="preserve">  </v>
      </c>
      <c r="G23" s="619" t="str">
        <f t="shared" si="1"/>
        <v xml:space="preserve">  </v>
      </c>
    </row>
    <row r="24" spans="1:7">
      <c r="A24" s="444">
        <f t="shared" si="2"/>
        <v>6</v>
      </c>
      <c r="B24" s="97" t="s">
        <v>3246</v>
      </c>
      <c r="C24" s="1623"/>
      <c r="D24" s="2440"/>
      <c r="E24" s="1623"/>
      <c r="F24" s="620" t="str">
        <f t="shared" si="0"/>
        <v xml:space="preserve">  </v>
      </c>
      <c r="G24" s="619" t="str">
        <f t="shared" si="1"/>
        <v xml:space="preserve">  </v>
      </c>
    </row>
    <row r="25" spans="1:7">
      <c r="A25" s="444">
        <f t="shared" si="2"/>
        <v>7</v>
      </c>
      <c r="B25" s="97" t="s">
        <v>3247</v>
      </c>
      <c r="C25" s="1623"/>
      <c r="D25" s="2440"/>
      <c r="E25" s="1623"/>
      <c r="F25" s="620" t="str">
        <f t="shared" si="0"/>
        <v xml:space="preserve">  </v>
      </c>
      <c r="G25" s="619" t="str">
        <f t="shared" si="1"/>
        <v xml:space="preserve">  </v>
      </c>
    </row>
    <row r="26" spans="1:7">
      <c r="A26" s="444">
        <f t="shared" si="2"/>
        <v>8</v>
      </c>
      <c r="B26" s="446" t="s">
        <v>962</v>
      </c>
      <c r="C26" s="1656">
        <f>SUM(C19:C25)</f>
        <v>6941203</v>
      </c>
      <c r="D26" s="2441">
        <f>SUM(D19:D25)</f>
        <v>42278760</v>
      </c>
      <c r="E26" s="1656">
        <f>SUM(E19:E25)</f>
        <v>67845</v>
      </c>
      <c r="F26" s="429">
        <f t="shared" si="0"/>
        <v>102.30972068685975</v>
      </c>
      <c r="G26" s="1130">
        <f t="shared" si="1"/>
        <v>6.0909845166608729</v>
      </c>
    </row>
    <row r="27" spans="1:7">
      <c r="A27" s="444">
        <f t="shared" si="2"/>
        <v>9</v>
      </c>
      <c r="B27" s="97" t="s">
        <v>963</v>
      </c>
      <c r="C27" s="2436">
        <v>1320343</v>
      </c>
      <c r="D27" s="2437">
        <v>6607781</v>
      </c>
      <c r="E27" s="1623">
        <f>+'300'!H23-'301'!E28</f>
        <v>4824</v>
      </c>
      <c r="F27" s="620">
        <f t="shared" si="0"/>
        <v>273.70294361525703</v>
      </c>
      <c r="G27" s="1129">
        <f t="shared" si="1"/>
        <v>5.0045942607337635</v>
      </c>
    </row>
    <row r="28" spans="1:7">
      <c r="A28" s="444">
        <f t="shared" si="2"/>
        <v>10</v>
      </c>
      <c r="B28" s="97" t="s">
        <v>3244</v>
      </c>
      <c r="C28" s="2439">
        <f>19642-1</f>
        <v>19641</v>
      </c>
      <c r="D28" s="2437">
        <v>108090</v>
      </c>
      <c r="E28" s="1623">
        <v>46</v>
      </c>
      <c r="F28" s="620">
        <f t="shared" si="0"/>
        <v>426.97826086956519</v>
      </c>
      <c r="G28" s="619">
        <f t="shared" si="1"/>
        <v>5.5032839468458832</v>
      </c>
    </row>
    <row r="29" spans="1:7">
      <c r="A29" s="444">
        <f t="shared" si="2"/>
        <v>11</v>
      </c>
      <c r="B29" s="97"/>
      <c r="C29" s="1623"/>
      <c r="D29" s="2440"/>
      <c r="E29" s="1623"/>
      <c r="F29" s="620" t="str">
        <f t="shared" si="0"/>
        <v xml:space="preserve">  </v>
      </c>
      <c r="G29" s="619" t="str">
        <f t="shared" si="1"/>
        <v xml:space="preserve">  </v>
      </c>
    </row>
    <row r="30" spans="1:7">
      <c r="A30" s="444">
        <f t="shared" si="2"/>
        <v>12</v>
      </c>
      <c r="B30" s="477"/>
      <c r="C30" s="1623"/>
      <c r="D30" s="2440"/>
      <c r="E30" s="1623"/>
      <c r="F30" s="620" t="str">
        <f t="shared" si="0"/>
        <v xml:space="preserve">  </v>
      </c>
      <c r="G30" s="619" t="str">
        <f t="shared" si="1"/>
        <v xml:space="preserve">  </v>
      </c>
    </row>
    <row r="31" spans="1:7">
      <c r="A31" s="444">
        <f t="shared" si="2"/>
        <v>13</v>
      </c>
      <c r="B31" s="97" t="s">
        <v>3245</v>
      </c>
      <c r="C31" s="1623"/>
      <c r="D31" s="2440"/>
      <c r="E31" s="1623"/>
      <c r="F31" s="620" t="str">
        <f t="shared" si="0"/>
        <v xml:space="preserve">  </v>
      </c>
      <c r="G31" s="619" t="str">
        <f t="shared" si="1"/>
        <v xml:space="preserve">  </v>
      </c>
    </row>
    <row r="32" spans="1:7">
      <c r="A32" s="444">
        <f t="shared" si="2"/>
        <v>14</v>
      </c>
      <c r="B32" s="97" t="s">
        <v>3246</v>
      </c>
      <c r="C32" s="1623"/>
      <c r="D32" s="2440"/>
      <c r="E32" s="1623"/>
      <c r="F32" s="620" t="str">
        <f t="shared" si="0"/>
        <v xml:space="preserve">  </v>
      </c>
      <c r="G32" s="619" t="str">
        <f t="shared" si="1"/>
        <v xml:space="preserve">  </v>
      </c>
    </row>
    <row r="33" spans="1:7">
      <c r="A33" s="444">
        <f t="shared" si="2"/>
        <v>15</v>
      </c>
      <c r="B33" s="97" t="s">
        <v>964</v>
      </c>
      <c r="C33" s="1623"/>
      <c r="D33" s="2440"/>
      <c r="E33" s="1623"/>
      <c r="F33" s="620" t="str">
        <f t="shared" si="0"/>
        <v xml:space="preserve">  </v>
      </c>
      <c r="G33" s="619" t="str">
        <f t="shared" si="1"/>
        <v xml:space="preserve">  </v>
      </c>
    </row>
    <row r="34" spans="1:7">
      <c r="A34" s="444">
        <f t="shared" si="2"/>
        <v>16</v>
      </c>
      <c r="B34" s="446" t="s">
        <v>965</v>
      </c>
      <c r="C34" s="1656">
        <f>SUM(C27:C33)</f>
        <v>1339984</v>
      </c>
      <c r="D34" s="2441">
        <f>SUM(D27:D33)</f>
        <v>6715871</v>
      </c>
      <c r="E34" s="1656">
        <f>SUM(E27:E33)</f>
        <v>4870</v>
      </c>
      <c r="F34" s="429">
        <f t="shared" si="0"/>
        <v>275.15071868583163</v>
      </c>
      <c r="G34" s="1130">
        <f t="shared" si="1"/>
        <v>5.0119038734790866</v>
      </c>
    </row>
    <row r="35" spans="1:7">
      <c r="A35" s="444">
        <f t="shared" si="2"/>
        <v>17</v>
      </c>
      <c r="B35" s="97" t="s">
        <v>963</v>
      </c>
      <c r="C35" s="2436">
        <v>83815</v>
      </c>
      <c r="D35" s="2437">
        <v>343963</v>
      </c>
      <c r="E35" s="1623">
        <f>+'300'!H24</f>
        <v>25</v>
      </c>
      <c r="F35" s="620">
        <f t="shared" si="0"/>
        <v>3352.6</v>
      </c>
      <c r="G35" s="1129">
        <f t="shared" si="1"/>
        <v>4.1038358289089061</v>
      </c>
    </row>
    <row r="36" spans="1:7">
      <c r="A36" s="444">
        <f t="shared" si="2"/>
        <v>18</v>
      </c>
      <c r="B36" s="97"/>
      <c r="C36" s="1623"/>
      <c r="D36" s="2440"/>
      <c r="E36" s="1623"/>
      <c r="F36" s="620" t="str">
        <f t="shared" si="0"/>
        <v xml:space="preserve">  </v>
      </c>
      <c r="G36" s="619" t="str">
        <f t="shared" si="1"/>
        <v xml:space="preserve">  </v>
      </c>
    </row>
    <row r="37" spans="1:7">
      <c r="A37" s="444">
        <f t="shared" si="2"/>
        <v>19</v>
      </c>
      <c r="B37" s="97"/>
      <c r="C37" s="1623"/>
      <c r="D37" s="2440"/>
      <c r="E37" s="1623"/>
      <c r="F37" s="620" t="str">
        <f t="shared" si="0"/>
        <v xml:space="preserve">  </v>
      </c>
      <c r="G37" s="619" t="str">
        <f t="shared" si="1"/>
        <v xml:space="preserve">  </v>
      </c>
    </row>
    <row r="38" spans="1:7">
      <c r="A38" s="444">
        <f t="shared" si="2"/>
        <v>20</v>
      </c>
      <c r="B38" s="105"/>
      <c r="C38" s="1623"/>
      <c r="D38" s="2440"/>
      <c r="E38" s="1623"/>
      <c r="F38" s="620" t="str">
        <f t="shared" si="0"/>
        <v xml:space="preserve">  </v>
      </c>
      <c r="G38" s="619" t="str">
        <f t="shared" si="1"/>
        <v xml:space="preserve">  </v>
      </c>
    </row>
    <row r="39" spans="1:7">
      <c r="A39" s="444">
        <f t="shared" si="2"/>
        <v>21</v>
      </c>
      <c r="B39" s="97" t="s">
        <v>3245</v>
      </c>
      <c r="C39" s="1623"/>
      <c r="D39" s="2440"/>
      <c r="E39" s="1623"/>
      <c r="F39" s="620" t="str">
        <f t="shared" si="0"/>
        <v xml:space="preserve">  </v>
      </c>
      <c r="G39" s="619" t="str">
        <f t="shared" si="1"/>
        <v xml:space="preserve">  </v>
      </c>
    </row>
    <row r="40" spans="1:7">
      <c r="A40" s="444">
        <f t="shared" si="2"/>
        <v>22</v>
      </c>
      <c r="B40" s="97"/>
      <c r="C40" s="1623"/>
      <c r="D40" s="2440"/>
      <c r="E40" s="1623"/>
      <c r="F40" s="620" t="str">
        <f t="shared" si="0"/>
        <v xml:space="preserve">  </v>
      </c>
      <c r="G40" s="619" t="str">
        <f t="shared" si="1"/>
        <v xml:space="preserve">  </v>
      </c>
    </row>
    <row r="41" spans="1:7">
      <c r="A41" s="444">
        <f t="shared" si="2"/>
        <v>23</v>
      </c>
      <c r="B41" s="97"/>
      <c r="C41" s="1623"/>
      <c r="D41" s="2440"/>
      <c r="E41" s="1623"/>
      <c r="F41" s="620" t="str">
        <f t="shared" si="0"/>
        <v xml:space="preserve">  </v>
      </c>
      <c r="G41" s="619" t="str">
        <f t="shared" si="1"/>
        <v xml:space="preserve">  </v>
      </c>
    </row>
    <row r="42" spans="1:7">
      <c r="A42" s="444">
        <f t="shared" si="2"/>
        <v>24</v>
      </c>
      <c r="B42" s="446" t="s">
        <v>966</v>
      </c>
      <c r="C42" s="1656">
        <f>SUM(C35:C41)</f>
        <v>83815</v>
      </c>
      <c r="D42" s="2441">
        <f>SUM(D35:D41)</f>
        <v>343963</v>
      </c>
      <c r="E42" s="1656">
        <f>SUM(E35:E41)</f>
        <v>25</v>
      </c>
      <c r="F42" s="429">
        <f t="shared" si="0"/>
        <v>3352.6</v>
      </c>
      <c r="G42" s="1130">
        <f t="shared" si="1"/>
        <v>4.1038358289089061</v>
      </c>
    </row>
    <row r="43" spans="1:7">
      <c r="A43" s="444">
        <f t="shared" si="2"/>
        <v>25</v>
      </c>
      <c r="B43" s="477" t="s">
        <v>967</v>
      </c>
      <c r="C43" s="1623"/>
      <c r="D43" s="2440"/>
      <c r="E43" s="1623"/>
      <c r="F43" s="620" t="str">
        <f t="shared" si="0"/>
        <v xml:space="preserve">  </v>
      </c>
      <c r="G43" s="1129" t="str">
        <f t="shared" si="1"/>
        <v xml:space="preserve">  </v>
      </c>
    </row>
    <row r="44" spans="1:7">
      <c r="A44" s="444">
        <f t="shared" si="2"/>
        <v>26</v>
      </c>
      <c r="B44" s="97" t="s">
        <v>968</v>
      </c>
      <c r="C44" s="1623"/>
      <c r="D44" s="2437">
        <v>100242</v>
      </c>
      <c r="E44" s="1623">
        <v>54</v>
      </c>
      <c r="F44" s="620"/>
      <c r="G44" s="619" t="str">
        <f t="shared" si="1"/>
        <v xml:space="preserve">  </v>
      </c>
    </row>
    <row r="45" spans="1:7">
      <c r="A45" s="444">
        <f t="shared" si="2"/>
        <v>27</v>
      </c>
      <c r="B45" s="97" t="s">
        <v>969</v>
      </c>
      <c r="C45" s="1623"/>
      <c r="D45" s="2437">
        <v>1064168</v>
      </c>
      <c r="E45" s="1623">
        <f>+'300'!H25-'301'!E44</f>
        <v>704</v>
      </c>
      <c r="F45" s="620"/>
      <c r="G45" s="619" t="str">
        <f t="shared" si="1"/>
        <v xml:space="preserve">  </v>
      </c>
    </row>
    <row r="46" spans="1:7">
      <c r="A46" s="444">
        <f t="shared" si="2"/>
        <v>28</v>
      </c>
      <c r="B46" s="97"/>
      <c r="C46" s="1623"/>
      <c r="D46" s="2440"/>
      <c r="E46" s="1623"/>
      <c r="F46" s="620" t="str">
        <f t="shared" si="0"/>
        <v xml:space="preserve">  </v>
      </c>
      <c r="G46" s="619" t="str">
        <f t="shared" si="1"/>
        <v xml:space="preserve">  </v>
      </c>
    </row>
    <row r="47" spans="1:7">
      <c r="A47" s="444">
        <f t="shared" si="2"/>
        <v>29</v>
      </c>
      <c r="B47" s="97" t="s">
        <v>3245</v>
      </c>
      <c r="C47" s="1623"/>
      <c r="D47" s="2440"/>
      <c r="E47" s="1623"/>
      <c r="F47" s="620" t="str">
        <f t="shared" si="0"/>
        <v xml:space="preserve">  </v>
      </c>
      <c r="G47" s="619" t="str">
        <f t="shared" si="1"/>
        <v xml:space="preserve">  </v>
      </c>
    </row>
    <row r="48" spans="1:7">
      <c r="A48" s="444">
        <f t="shared" si="2"/>
        <v>30</v>
      </c>
      <c r="B48" s="446" t="s">
        <v>970</v>
      </c>
      <c r="C48" s="1656"/>
      <c r="D48" s="2441">
        <f>SUM(D43:D47)</f>
        <v>1164410</v>
      </c>
      <c r="E48" s="1656">
        <f>SUM(E43:E47)</f>
        <v>758</v>
      </c>
      <c r="F48" s="429"/>
      <c r="G48" s="1130" t="str">
        <f t="shared" si="1"/>
        <v xml:space="preserve">  </v>
      </c>
    </row>
    <row r="49" spans="1:7">
      <c r="A49" s="444">
        <f t="shared" si="2"/>
        <v>31</v>
      </c>
      <c r="B49" s="119" t="s">
        <v>510</v>
      </c>
      <c r="C49" s="1623"/>
      <c r="D49" s="2437">
        <v>3203046</v>
      </c>
      <c r="E49" s="1623">
        <f>+'300'!H26</f>
        <v>75</v>
      </c>
      <c r="F49" s="620"/>
      <c r="G49" s="1129" t="str">
        <f t="shared" si="1"/>
        <v xml:space="preserve">  </v>
      </c>
    </row>
    <row r="50" spans="1:7">
      <c r="A50" s="444">
        <f t="shared" si="2"/>
        <v>32</v>
      </c>
      <c r="B50" s="97"/>
      <c r="C50" s="1623"/>
      <c r="D50" s="2440"/>
      <c r="E50" s="1623"/>
      <c r="F50" s="620" t="str">
        <f t="shared" si="0"/>
        <v xml:space="preserve">  </v>
      </c>
      <c r="G50" s="619" t="str">
        <f t="shared" si="1"/>
        <v xml:space="preserve">  </v>
      </c>
    </row>
    <row r="51" spans="1:7">
      <c r="A51" s="444">
        <f t="shared" si="2"/>
        <v>33</v>
      </c>
      <c r="B51" s="97"/>
      <c r="C51" s="1623"/>
      <c r="D51" s="2440"/>
      <c r="E51" s="1623"/>
      <c r="F51" s="620" t="str">
        <f t="shared" si="0"/>
        <v xml:space="preserve">  </v>
      </c>
      <c r="G51" s="619" t="str">
        <f t="shared" si="1"/>
        <v xml:space="preserve">  </v>
      </c>
    </row>
    <row r="52" spans="1:7">
      <c r="A52" s="444">
        <f t="shared" si="2"/>
        <v>34</v>
      </c>
      <c r="B52" s="97" t="s">
        <v>3245</v>
      </c>
      <c r="C52" s="1623"/>
      <c r="D52" s="2440"/>
      <c r="E52" s="1623"/>
      <c r="F52" s="620" t="str">
        <f t="shared" si="0"/>
        <v xml:space="preserve">  </v>
      </c>
      <c r="G52" s="619" t="str">
        <f t="shared" si="1"/>
        <v xml:space="preserve">  </v>
      </c>
    </row>
    <row r="53" spans="1:7">
      <c r="A53" s="444">
        <f t="shared" si="2"/>
        <v>35</v>
      </c>
      <c r="B53" s="97"/>
      <c r="C53" s="1623"/>
      <c r="D53" s="2440"/>
      <c r="E53" s="1623"/>
      <c r="F53" s="620" t="str">
        <f t="shared" si="0"/>
        <v xml:space="preserve">  </v>
      </c>
      <c r="G53" s="619" t="str">
        <f t="shared" si="1"/>
        <v xml:space="preserve">  </v>
      </c>
    </row>
    <row r="54" spans="1:7">
      <c r="A54" s="444">
        <f t="shared" si="2"/>
        <v>36</v>
      </c>
      <c r="B54" s="446" t="s">
        <v>511</v>
      </c>
      <c r="C54" s="1656"/>
      <c r="D54" s="2441">
        <f>SUM(D49:D53)</f>
        <v>3203046</v>
      </c>
      <c r="E54" s="1656">
        <f>SUM(E49:E53)</f>
        <v>75</v>
      </c>
      <c r="F54" s="429"/>
      <c r="G54" s="1130" t="str">
        <f t="shared" si="1"/>
        <v xml:space="preserve">  </v>
      </c>
    </row>
    <row r="55" spans="1:7">
      <c r="A55" s="444">
        <v>37</v>
      </c>
      <c r="B55" s="97" t="s">
        <v>3192</v>
      </c>
      <c r="C55" s="2436">
        <v>647371</v>
      </c>
      <c r="D55" s="2437">
        <v>2772902</v>
      </c>
      <c r="E55" s="1623">
        <f>+'300'!H27-E56</f>
        <v>350</v>
      </c>
      <c r="F55" s="620">
        <f t="shared" si="0"/>
        <v>1849.6314285714286</v>
      </c>
      <c r="G55" s="1129">
        <f t="shared" si="1"/>
        <v>4.283327489183173</v>
      </c>
    </row>
    <row r="56" spans="1:7">
      <c r="A56" s="444">
        <v>38</v>
      </c>
      <c r="B56" s="97" t="s">
        <v>3193</v>
      </c>
      <c r="C56" s="2439">
        <v>2005</v>
      </c>
      <c r="D56" s="2437">
        <v>9828</v>
      </c>
      <c r="E56" s="1623">
        <v>3</v>
      </c>
      <c r="F56" s="620">
        <f t="shared" si="0"/>
        <v>668.33333333333337</v>
      </c>
      <c r="G56" s="619">
        <f t="shared" si="1"/>
        <v>4.9017456359102241</v>
      </c>
    </row>
    <row r="57" spans="1:7">
      <c r="A57" s="444">
        <v>39</v>
      </c>
      <c r="B57" s="97"/>
      <c r="C57" s="1623"/>
      <c r="D57" s="2440"/>
      <c r="E57" s="1623"/>
      <c r="F57" s="620" t="str">
        <f t="shared" si="0"/>
        <v xml:space="preserve">  </v>
      </c>
      <c r="G57" s="619" t="str">
        <f t="shared" si="1"/>
        <v xml:space="preserve">  </v>
      </c>
    </row>
    <row r="58" spans="1:7">
      <c r="A58" s="444">
        <v>40</v>
      </c>
      <c r="B58" s="97"/>
      <c r="C58" s="1623"/>
      <c r="D58" s="2440"/>
      <c r="E58" s="1623"/>
      <c r="F58" s="620" t="str">
        <f t="shared" si="0"/>
        <v xml:space="preserve">  </v>
      </c>
      <c r="G58" s="619" t="str">
        <f t="shared" si="1"/>
        <v xml:space="preserve">  </v>
      </c>
    </row>
    <row r="59" spans="1:7">
      <c r="A59" s="444">
        <v>41</v>
      </c>
      <c r="B59" s="97"/>
      <c r="C59" s="1623"/>
      <c r="D59" s="2440"/>
      <c r="E59" s="1623"/>
      <c r="F59" s="620" t="str">
        <f t="shared" si="0"/>
        <v xml:space="preserve">  </v>
      </c>
      <c r="G59" s="619" t="str">
        <f t="shared" si="1"/>
        <v xml:space="preserve">  </v>
      </c>
    </row>
    <row r="60" spans="1:7">
      <c r="A60" s="444">
        <v>42</v>
      </c>
      <c r="B60" s="446" t="s">
        <v>512</v>
      </c>
      <c r="C60" s="1656">
        <f>SUM(C55:C59)</f>
        <v>649376</v>
      </c>
      <c r="D60" s="2441">
        <f>SUM(D55:D59)</f>
        <v>2782730</v>
      </c>
      <c r="E60" s="1656">
        <f>SUM(E55:E59)</f>
        <v>353</v>
      </c>
      <c r="F60" s="429">
        <f t="shared" si="0"/>
        <v>1839.5920679886685</v>
      </c>
      <c r="G60" s="1130">
        <f t="shared" si="1"/>
        <v>4.2852369043512537</v>
      </c>
    </row>
    <row r="61" spans="1:7">
      <c r="A61" s="444">
        <v>43</v>
      </c>
      <c r="B61" s="97"/>
      <c r="C61" s="1623"/>
      <c r="D61" s="2440"/>
      <c r="E61" s="1623"/>
      <c r="F61" s="620" t="str">
        <f t="shared" si="0"/>
        <v xml:space="preserve">  </v>
      </c>
      <c r="G61" s="1129" t="str">
        <f t="shared" si="1"/>
        <v xml:space="preserve">  </v>
      </c>
    </row>
    <row r="62" spans="1:7">
      <c r="A62" s="444">
        <v>44</v>
      </c>
      <c r="B62" s="97"/>
      <c r="C62" s="1623"/>
      <c r="D62" s="2440"/>
      <c r="E62" s="1623"/>
      <c r="F62" s="620" t="str">
        <f t="shared" si="0"/>
        <v xml:space="preserve">  </v>
      </c>
      <c r="G62" s="619" t="str">
        <f t="shared" si="1"/>
        <v xml:space="preserve">  </v>
      </c>
    </row>
    <row r="63" spans="1:7">
      <c r="A63" s="444">
        <v>45</v>
      </c>
      <c r="B63" s="97"/>
      <c r="C63" s="1623"/>
      <c r="D63" s="2440"/>
      <c r="E63" s="1623"/>
      <c r="F63" s="620" t="str">
        <f t="shared" si="0"/>
        <v xml:space="preserve">  </v>
      </c>
      <c r="G63" s="619" t="str">
        <f t="shared" si="1"/>
        <v xml:space="preserve">  </v>
      </c>
    </row>
    <row r="64" spans="1:7">
      <c r="A64" s="444">
        <v>46</v>
      </c>
      <c r="B64" s="160"/>
      <c r="C64" s="1623"/>
      <c r="D64" s="2442"/>
      <c r="E64" s="1853"/>
      <c r="F64" s="620" t="str">
        <f t="shared" si="0"/>
        <v xml:space="preserve">  </v>
      </c>
      <c r="G64" s="619" t="str">
        <f t="shared" si="1"/>
        <v xml:space="preserve">  </v>
      </c>
    </row>
    <row r="65" spans="1:7">
      <c r="A65" s="444">
        <v>47</v>
      </c>
      <c r="B65" s="160"/>
      <c r="C65" s="1623"/>
      <c r="D65" s="2440"/>
      <c r="E65" s="1623"/>
      <c r="F65" s="620" t="str">
        <f t="shared" si="0"/>
        <v xml:space="preserve">  </v>
      </c>
      <c r="G65" s="619" t="str">
        <f t="shared" si="1"/>
        <v xml:space="preserve">  </v>
      </c>
    </row>
    <row r="66" spans="1:7" ht="15.75" thickBot="1">
      <c r="A66" s="435">
        <v>48</v>
      </c>
      <c r="B66" s="527" t="s">
        <v>513</v>
      </c>
      <c r="C66" s="2443">
        <f>SUM(C61:C65)</f>
        <v>0</v>
      </c>
      <c r="D66" s="1830">
        <f>SUM(D61:D65)</f>
        <v>0</v>
      </c>
      <c r="E66" s="2443">
        <f>SUM(E61:E65)</f>
        <v>0</v>
      </c>
      <c r="F66" s="1131" t="str">
        <f t="shared" si="0"/>
        <v xml:space="preserve">  </v>
      </c>
      <c r="G66" s="1132" t="str">
        <f t="shared" si="1"/>
        <v xml:space="preserve">  </v>
      </c>
    </row>
    <row r="67" spans="1:7">
      <c r="A67" s="97"/>
      <c r="B67" s="97"/>
      <c r="C67" s="97"/>
      <c r="D67" s="97"/>
      <c r="E67" s="97"/>
      <c r="F67" s="97"/>
      <c r="G67" s="442" t="s">
        <v>4066</v>
      </c>
    </row>
    <row r="68" spans="1:7">
      <c r="A68" s="128" t="s">
        <v>514</v>
      </c>
      <c r="B68" s="128"/>
      <c r="C68" s="128"/>
      <c r="D68" s="128"/>
      <c r="E68" s="128"/>
      <c r="F68" s="128"/>
      <c r="G68" s="128"/>
    </row>
    <row r="69" spans="1:7">
      <c r="A69" s="230"/>
      <c r="B69" s="230"/>
      <c r="C69" s="230"/>
      <c r="D69" s="230"/>
      <c r="E69" s="230"/>
      <c r="F69" s="230"/>
      <c r="G69" s="230"/>
    </row>
    <row r="70" spans="1:7">
      <c r="A70" s="230"/>
      <c r="B70" s="230"/>
      <c r="C70" s="230"/>
      <c r="D70" s="230"/>
      <c r="E70" s="230"/>
      <c r="F70" s="230"/>
      <c r="G70" s="230"/>
    </row>
    <row r="71" spans="1:7">
      <c r="A71" s="230"/>
      <c r="B71" s="230"/>
      <c r="C71" s="230"/>
      <c r="D71" s="230"/>
      <c r="E71" s="230"/>
      <c r="F71" s="230"/>
      <c r="G71" s="230"/>
    </row>
    <row r="72" spans="1:7">
      <c r="A72" s="230"/>
      <c r="B72" s="230"/>
      <c r="C72" s="230"/>
      <c r="D72" s="230"/>
      <c r="E72" s="230"/>
      <c r="F72" s="230"/>
      <c r="G72" s="230"/>
    </row>
    <row r="73" spans="1:7">
      <c r="A73" s="97"/>
      <c r="B73" s="97"/>
      <c r="C73" s="97"/>
      <c r="D73" s="97"/>
      <c r="E73" s="128"/>
      <c r="F73" s="128"/>
      <c r="G73" s="128"/>
    </row>
    <row r="74" spans="1:7">
      <c r="A74" s="97"/>
      <c r="B74" s="97"/>
      <c r="C74" s="1123"/>
      <c r="D74" s="1123"/>
      <c r="E74" s="230"/>
      <c r="F74" s="230"/>
      <c r="G74" s="230"/>
    </row>
    <row r="75" spans="1:7" ht="15.75">
      <c r="A75" s="97"/>
      <c r="B75" s="484" t="s">
        <v>2572</v>
      </c>
      <c r="C75" s="230"/>
      <c r="D75" s="230"/>
      <c r="E75" s="230"/>
      <c r="F75" s="230"/>
      <c r="G75" s="230"/>
    </row>
    <row r="76" spans="1:7">
      <c r="A76" s="230"/>
      <c r="B76" s="230"/>
      <c r="C76" s="230"/>
      <c r="D76" s="230"/>
      <c r="E76" s="230"/>
      <c r="F76" s="230"/>
      <c r="G76" s="230"/>
    </row>
    <row r="77" spans="1:7" ht="15.75" thickBot="1">
      <c r="A77" s="96"/>
      <c r="B77" s="97"/>
      <c r="C77" s="97"/>
      <c r="D77" s="97"/>
      <c r="E77" s="97"/>
      <c r="F77" s="872"/>
      <c r="G77" s="230"/>
    </row>
    <row r="78" spans="1:7">
      <c r="A78" s="142"/>
      <c r="B78" s="143"/>
      <c r="C78" s="143"/>
      <c r="D78" s="143"/>
      <c r="E78" s="143"/>
      <c r="F78" s="143"/>
      <c r="G78" s="144"/>
    </row>
    <row r="79" spans="1:7">
      <c r="A79" s="610" t="s">
        <v>1516</v>
      </c>
      <c r="B79" s="128"/>
      <c r="C79" s="128"/>
      <c r="D79" s="128"/>
      <c r="E79" s="128"/>
      <c r="F79" s="128"/>
      <c r="G79" s="145"/>
    </row>
    <row r="80" spans="1:7">
      <c r="A80" s="96"/>
      <c r="B80" s="97"/>
      <c r="C80" s="97"/>
      <c r="D80" s="97"/>
      <c r="E80" s="97"/>
      <c r="F80" s="97"/>
      <c r="G80" s="98"/>
    </row>
    <row r="81" spans="1:7">
      <c r="A81" s="520" t="s">
        <v>1129</v>
      </c>
      <c r="B81" s="150"/>
      <c r="C81" s="103"/>
      <c r="D81" s="101"/>
      <c r="E81" s="689" t="s">
        <v>1517</v>
      </c>
      <c r="F81" s="689" t="s">
        <v>1518</v>
      </c>
      <c r="G81" s="1125" t="s">
        <v>1519</v>
      </c>
    </row>
    <row r="82" spans="1:7">
      <c r="A82" s="444" t="s">
        <v>3324</v>
      </c>
      <c r="B82" s="666" t="s">
        <v>2418</v>
      </c>
      <c r="C82" s="120" t="s">
        <v>1520</v>
      </c>
      <c r="D82" s="147" t="s">
        <v>1931</v>
      </c>
      <c r="E82" s="147" t="s">
        <v>1521</v>
      </c>
      <c r="F82" s="147" t="s">
        <v>2297</v>
      </c>
      <c r="G82" s="1126" t="s">
        <v>281</v>
      </c>
    </row>
    <row r="83" spans="1:7">
      <c r="A83" s="521"/>
      <c r="B83" s="412" t="s">
        <v>4032</v>
      </c>
      <c r="C83" s="800" t="s">
        <v>4033</v>
      </c>
      <c r="D83" s="412" t="s">
        <v>4034</v>
      </c>
      <c r="E83" s="412" t="s">
        <v>4035</v>
      </c>
      <c r="F83" s="412" t="s">
        <v>2277</v>
      </c>
      <c r="G83" s="1127" t="s">
        <v>2278</v>
      </c>
    </row>
    <row r="84" spans="1:7">
      <c r="A84" s="520">
        <v>1</v>
      </c>
      <c r="B84" s="101"/>
      <c r="C84" s="1128"/>
      <c r="D84" s="706"/>
      <c r="E84" s="1128"/>
      <c r="F84" s="620" t="str">
        <f t="shared" ref="F84:F137" si="3">IF(ISERR(C84/E84*1000),"  ",C84/E84*1000)</f>
        <v xml:space="preserve">  </v>
      </c>
      <c r="G84" s="1133" t="str">
        <f t="shared" ref="G84:G137" si="4">IF(ISERR(D84/C84/1000),"  ",D84/C84/1000)</f>
        <v xml:space="preserve">  </v>
      </c>
    </row>
    <row r="85" spans="1:7">
      <c r="A85" s="444">
        <f t="shared" ref="A85:A107" si="5">A84+1</f>
        <v>2</v>
      </c>
      <c r="B85" s="97"/>
      <c r="C85" s="557"/>
      <c r="D85" s="557"/>
      <c r="E85" s="557"/>
      <c r="F85" s="620" t="str">
        <f t="shared" si="3"/>
        <v xml:space="preserve">  </v>
      </c>
      <c r="G85" s="1134" t="str">
        <f t="shared" si="4"/>
        <v xml:space="preserve">  </v>
      </c>
    </row>
    <row r="86" spans="1:7">
      <c r="A86" s="444">
        <f t="shared" si="5"/>
        <v>3</v>
      </c>
      <c r="B86" s="97"/>
      <c r="C86" s="557"/>
      <c r="D86" s="557"/>
      <c r="E86" s="557"/>
      <c r="F86" s="620" t="str">
        <f t="shared" si="3"/>
        <v xml:space="preserve">  </v>
      </c>
      <c r="G86" s="1134" t="str">
        <f t="shared" si="4"/>
        <v xml:space="preserve">  </v>
      </c>
    </row>
    <row r="87" spans="1:7">
      <c r="A87" s="444">
        <f t="shared" si="5"/>
        <v>4</v>
      </c>
      <c r="B87" s="97"/>
      <c r="C87" s="557"/>
      <c r="D87" s="557"/>
      <c r="E87" s="557"/>
      <c r="F87" s="620" t="str">
        <f t="shared" si="3"/>
        <v xml:space="preserve">  </v>
      </c>
      <c r="G87" s="1134" t="str">
        <f t="shared" si="4"/>
        <v xml:space="preserve">  </v>
      </c>
    </row>
    <row r="88" spans="1:7">
      <c r="A88" s="444">
        <f t="shared" si="5"/>
        <v>5</v>
      </c>
      <c r="B88" s="97"/>
      <c r="C88" s="557"/>
      <c r="D88" s="557"/>
      <c r="E88" s="557"/>
      <c r="F88" s="620" t="str">
        <f t="shared" si="3"/>
        <v xml:space="preserve">  </v>
      </c>
      <c r="G88" s="1134" t="str">
        <f t="shared" si="4"/>
        <v xml:space="preserve">  </v>
      </c>
    </row>
    <row r="89" spans="1:7">
      <c r="A89" s="444">
        <f t="shared" si="5"/>
        <v>6</v>
      </c>
      <c r="B89" s="97"/>
      <c r="C89" s="557"/>
      <c r="D89" s="557"/>
      <c r="E89" s="557"/>
      <c r="F89" s="620" t="str">
        <f t="shared" si="3"/>
        <v xml:space="preserve">  </v>
      </c>
      <c r="G89" s="1134" t="str">
        <f t="shared" si="4"/>
        <v xml:space="preserve">  </v>
      </c>
    </row>
    <row r="90" spans="1:7">
      <c r="A90" s="444">
        <f t="shared" si="5"/>
        <v>7</v>
      </c>
      <c r="B90" s="97"/>
      <c r="C90" s="557"/>
      <c r="D90" s="557"/>
      <c r="E90" s="557"/>
      <c r="F90" s="620" t="str">
        <f t="shared" si="3"/>
        <v xml:space="preserve">  </v>
      </c>
      <c r="G90" s="1134" t="str">
        <f t="shared" si="4"/>
        <v xml:space="preserve">  </v>
      </c>
    </row>
    <row r="91" spans="1:7">
      <c r="A91" s="444">
        <f t="shared" si="5"/>
        <v>8</v>
      </c>
      <c r="B91" s="97"/>
      <c r="C91" s="557"/>
      <c r="D91" s="557"/>
      <c r="E91" s="557"/>
      <c r="F91" s="620" t="str">
        <f t="shared" si="3"/>
        <v xml:space="preserve">  </v>
      </c>
      <c r="G91" s="1134" t="str">
        <f t="shared" si="4"/>
        <v xml:space="preserve">  </v>
      </c>
    </row>
    <row r="92" spans="1:7">
      <c r="A92" s="444">
        <f t="shared" si="5"/>
        <v>9</v>
      </c>
      <c r="B92" s="97"/>
      <c r="C92" s="557"/>
      <c r="D92" s="557"/>
      <c r="E92" s="557"/>
      <c r="F92" s="620" t="str">
        <f t="shared" si="3"/>
        <v xml:space="preserve">  </v>
      </c>
      <c r="G92" s="1134" t="str">
        <f t="shared" si="4"/>
        <v xml:space="preserve">  </v>
      </c>
    </row>
    <row r="93" spans="1:7">
      <c r="A93" s="444">
        <f t="shared" si="5"/>
        <v>10</v>
      </c>
      <c r="B93" s="97"/>
      <c r="C93" s="557"/>
      <c r="D93" s="557"/>
      <c r="E93" s="557"/>
      <c r="F93" s="620" t="str">
        <f t="shared" si="3"/>
        <v xml:space="preserve">  </v>
      </c>
      <c r="G93" s="1134" t="str">
        <f t="shared" si="4"/>
        <v xml:space="preserve">  </v>
      </c>
    </row>
    <row r="94" spans="1:7">
      <c r="A94" s="444">
        <f t="shared" si="5"/>
        <v>11</v>
      </c>
      <c r="B94" s="97"/>
      <c r="C94" s="557"/>
      <c r="D94" s="557"/>
      <c r="E94" s="557"/>
      <c r="F94" s="620" t="str">
        <f t="shared" si="3"/>
        <v xml:space="preserve">  </v>
      </c>
      <c r="G94" s="1134" t="str">
        <f t="shared" si="4"/>
        <v xml:space="preserve">  </v>
      </c>
    </row>
    <row r="95" spans="1:7">
      <c r="A95" s="444">
        <f t="shared" si="5"/>
        <v>12</v>
      </c>
      <c r="B95" s="97"/>
      <c r="C95" s="557"/>
      <c r="D95" s="557"/>
      <c r="E95" s="557"/>
      <c r="F95" s="620" t="str">
        <f t="shared" si="3"/>
        <v xml:space="preserve">  </v>
      </c>
      <c r="G95" s="1134" t="str">
        <f t="shared" si="4"/>
        <v xml:space="preserve">  </v>
      </c>
    </row>
    <row r="96" spans="1:7">
      <c r="A96" s="444">
        <f t="shared" si="5"/>
        <v>13</v>
      </c>
      <c r="B96" s="97"/>
      <c r="C96" s="557"/>
      <c r="D96" s="557"/>
      <c r="E96" s="557"/>
      <c r="F96" s="620" t="str">
        <f t="shared" si="3"/>
        <v xml:space="preserve">  </v>
      </c>
      <c r="G96" s="1134" t="str">
        <f t="shared" si="4"/>
        <v xml:space="preserve">  </v>
      </c>
    </row>
    <row r="97" spans="1:7">
      <c r="A97" s="444">
        <f t="shared" si="5"/>
        <v>14</v>
      </c>
      <c r="B97" s="97"/>
      <c r="C97" s="557"/>
      <c r="D97" s="557"/>
      <c r="E97" s="557"/>
      <c r="F97" s="620" t="str">
        <f t="shared" si="3"/>
        <v xml:space="preserve">  </v>
      </c>
      <c r="G97" s="1134" t="str">
        <f t="shared" si="4"/>
        <v xml:space="preserve">  </v>
      </c>
    </row>
    <row r="98" spans="1:7">
      <c r="A98" s="444">
        <f t="shared" si="5"/>
        <v>15</v>
      </c>
      <c r="B98" s="97"/>
      <c r="C98" s="557"/>
      <c r="D98" s="557"/>
      <c r="E98" s="557"/>
      <c r="F98" s="620" t="str">
        <f t="shared" si="3"/>
        <v xml:space="preserve">  </v>
      </c>
      <c r="G98" s="1134" t="str">
        <f t="shared" si="4"/>
        <v xml:space="preserve">  </v>
      </c>
    </row>
    <row r="99" spans="1:7">
      <c r="A99" s="444">
        <f t="shared" si="5"/>
        <v>16</v>
      </c>
      <c r="B99" s="97"/>
      <c r="C99" s="557"/>
      <c r="D99" s="557"/>
      <c r="E99" s="557"/>
      <c r="F99" s="620" t="str">
        <f t="shared" si="3"/>
        <v xml:space="preserve">  </v>
      </c>
      <c r="G99" s="1134" t="str">
        <f t="shared" si="4"/>
        <v xml:space="preserve">  </v>
      </c>
    </row>
    <row r="100" spans="1:7">
      <c r="A100" s="444">
        <f t="shared" si="5"/>
        <v>17</v>
      </c>
      <c r="B100" s="97"/>
      <c r="C100" s="557"/>
      <c r="D100" s="557"/>
      <c r="E100" s="557"/>
      <c r="F100" s="620" t="str">
        <f t="shared" si="3"/>
        <v xml:space="preserve">  </v>
      </c>
      <c r="G100" s="1134" t="str">
        <f t="shared" si="4"/>
        <v xml:space="preserve">  </v>
      </c>
    </row>
    <row r="101" spans="1:7">
      <c r="A101" s="444">
        <f t="shared" si="5"/>
        <v>18</v>
      </c>
      <c r="B101" s="97"/>
      <c r="C101" s="557"/>
      <c r="D101" s="557"/>
      <c r="E101" s="557"/>
      <c r="F101" s="620" t="str">
        <f t="shared" si="3"/>
        <v xml:space="preserve">  </v>
      </c>
      <c r="G101" s="1134" t="str">
        <f t="shared" si="4"/>
        <v xml:space="preserve">  </v>
      </c>
    </row>
    <row r="102" spans="1:7">
      <c r="A102" s="444">
        <f t="shared" si="5"/>
        <v>19</v>
      </c>
      <c r="B102" s="97"/>
      <c r="C102" s="557"/>
      <c r="D102" s="557"/>
      <c r="E102" s="557"/>
      <c r="F102" s="620" t="str">
        <f t="shared" si="3"/>
        <v xml:space="preserve">  </v>
      </c>
      <c r="G102" s="1134" t="str">
        <f t="shared" si="4"/>
        <v xml:space="preserve">  </v>
      </c>
    </row>
    <row r="103" spans="1:7">
      <c r="A103" s="444">
        <f t="shared" si="5"/>
        <v>20</v>
      </c>
      <c r="B103" s="97"/>
      <c r="C103" s="557"/>
      <c r="D103" s="557"/>
      <c r="E103" s="557"/>
      <c r="F103" s="620" t="str">
        <f t="shared" si="3"/>
        <v xml:space="preserve">  </v>
      </c>
      <c r="G103" s="1134" t="str">
        <f t="shared" si="4"/>
        <v xml:space="preserve">  </v>
      </c>
    </row>
    <row r="104" spans="1:7">
      <c r="A104" s="444">
        <f t="shared" si="5"/>
        <v>21</v>
      </c>
      <c r="B104" s="97"/>
      <c r="C104" s="557"/>
      <c r="D104" s="557"/>
      <c r="E104" s="557"/>
      <c r="F104" s="620" t="str">
        <f t="shared" si="3"/>
        <v xml:space="preserve">  </v>
      </c>
      <c r="G104" s="1134" t="str">
        <f t="shared" si="4"/>
        <v xml:space="preserve">  </v>
      </c>
    </row>
    <row r="105" spans="1:7">
      <c r="A105" s="444">
        <f t="shared" si="5"/>
        <v>22</v>
      </c>
      <c r="B105" s="97"/>
      <c r="C105" s="557"/>
      <c r="D105" s="557"/>
      <c r="E105" s="557"/>
      <c r="F105" s="620" t="str">
        <f t="shared" si="3"/>
        <v xml:space="preserve">  </v>
      </c>
      <c r="G105" s="1134" t="str">
        <f t="shared" si="4"/>
        <v xml:space="preserve">  </v>
      </c>
    </row>
    <row r="106" spans="1:7">
      <c r="A106" s="444">
        <f t="shared" si="5"/>
        <v>23</v>
      </c>
      <c r="B106" s="97"/>
      <c r="C106" s="557"/>
      <c r="D106" s="557"/>
      <c r="E106" s="557"/>
      <c r="F106" s="620" t="str">
        <f t="shared" si="3"/>
        <v xml:space="preserve">  </v>
      </c>
      <c r="G106" s="1134" t="str">
        <f t="shared" si="4"/>
        <v xml:space="preserve">  </v>
      </c>
    </row>
    <row r="107" spans="1:7">
      <c r="A107" s="444">
        <f t="shared" si="5"/>
        <v>24</v>
      </c>
      <c r="B107" s="97"/>
      <c r="C107" s="557"/>
      <c r="D107" s="557"/>
      <c r="E107" s="557"/>
      <c r="F107" s="620" t="str">
        <f t="shared" si="3"/>
        <v xml:space="preserve">  </v>
      </c>
      <c r="G107" s="1134" t="str">
        <f t="shared" si="4"/>
        <v xml:space="preserve">  </v>
      </c>
    </row>
    <row r="108" spans="1:7">
      <c r="A108" s="444">
        <v>25</v>
      </c>
      <c r="B108" s="97"/>
      <c r="C108" s="557"/>
      <c r="D108" s="557"/>
      <c r="E108" s="557"/>
      <c r="F108" s="620" t="str">
        <f t="shared" si="3"/>
        <v xml:space="preserve">  </v>
      </c>
      <c r="G108" s="1134" t="str">
        <f t="shared" si="4"/>
        <v xml:space="preserve">  </v>
      </c>
    </row>
    <row r="109" spans="1:7">
      <c r="A109" s="444">
        <v>26</v>
      </c>
      <c r="B109" s="97"/>
      <c r="C109" s="557"/>
      <c r="D109" s="557"/>
      <c r="E109" s="557"/>
      <c r="F109" s="620" t="str">
        <f t="shared" si="3"/>
        <v xml:space="preserve">  </v>
      </c>
      <c r="G109" s="1134" t="str">
        <f t="shared" si="4"/>
        <v xml:space="preserve">  </v>
      </c>
    </row>
    <row r="110" spans="1:7">
      <c r="A110" s="444">
        <v>27</v>
      </c>
      <c r="B110" s="97"/>
      <c r="C110" s="557"/>
      <c r="D110" s="557"/>
      <c r="E110" s="557"/>
      <c r="F110" s="620" t="str">
        <f t="shared" si="3"/>
        <v xml:space="preserve">  </v>
      </c>
      <c r="G110" s="1134" t="str">
        <f t="shared" si="4"/>
        <v xml:space="preserve">  </v>
      </c>
    </row>
    <row r="111" spans="1:7">
      <c r="A111" s="444">
        <v>28</v>
      </c>
      <c r="B111" s="97"/>
      <c r="C111" s="557"/>
      <c r="D111" s="557"/>
      <c r="E111" s="557"/>
      <c r="F111" s="620" t="str">
        <f t="shared" si="3"/>
        <v xml:space="preserve">  </v>
      </c>
      <c r="G111" s="1134" t="str">
        <f t="shared" si="4"/>
        <v xml:space="preserve">  </v>
      </c>
    </row>
    <row r="112" spans="1:7">
      <c r="A112" s="444">
        <v>29</v>
      </c>
      <c r="B112" s="97"/>
      <c r="C112" s="557"/>
      <c r="D112" s="557"/>
      <c r="E112" s="557"/>
      <c r="F112" s="620" t="str">
        <f t="shared" si="3"/>
        <v xml:space="preserve">  </v>
      </c>
      <c r="G112" s="1134" t="str">
        <f t="shared" si="4"/>
        <v xml:space="preserve">  </v>
      </c>
    </row>
    <row r="113" spans="1:7">
      <c r="A113" s="444">
        <v>30</v>
      </c>
      <c r="B113" s="97"/>
      <c r="C113" s="557"/>
      <c r="D113" s="557"/>
      <c r="E113" s="557"/>
      <c r="F113" s="620" t="str">
        <f t="shared" si="3"/>
        <v xml:space="preserve">  </v>
      </c>
      <c r="G113" s="1134" t="str">
        <f t="shared" si="4"/>
        <v xml:space="preserve">  </v>
      </c>
    </row>
    <row r="114" spans="1:7">
      <c r="A114" s="444">
        <v>31</v>
      </c>
      <c r="B114" s="97"/>
      <c r="C114" s="557"/>
      <c r="D114" s="557"/>
      <c r="E114" s="557"/>
      <c r="F114" s="620" t="str">
        <f t="shared" si="3"/>
        <v xml:space="preserve">  </v>
      </c>
      <c r="G114" s="1134" t="str">
        <f t="shared" si="4"/>
        <v xml:space="preserve">  </v>
      </c>
    </row>
    <row r="115" spans="1:7">
      <c r="A115" s="444">
        <v>32</v>
      </c>
      <c r="B115" s="97"/>
      <c r="C115" s="557"/>
      <c r="D115" s="557"/>
      <c r="E115" s="557"/>
      <c r="F115" s="620" t="str">
        <f t="shared" si="3"/>
        <v xml:space="preserve">  </v>
      </c>
      <c r="G115" s="1134" t="str">
        <f t="shared" si="4"/>
        <v xml:space="preserve">  </v>
      </c>
    </row>
    <row r="116" spans="1:7">
      <c r="A116" s="444">
        <v>33</v>
      </c>
      <c r="B116" s="97"/>
      <c r="C116" s="557"/>
      <c r="D116" s="557"/>
      <c r="E116" s="557"/>
      <c r="F116" s="620" t="str">
        <f t="shared" si="3"/>
        <v xml:space="preserve">  </v>
      </c>
      <c r="G116" s="1134" t="str">
        <f t="shared" si="4"/>
        <v xml:space="preserve">  </v>
      </c>
    </row>
    <row r="117" spans="1:7">
      <c r="A117" s="444">
        <v>34</v>
      </c>
      <c r="B117" s="97"/>
      <c r="C117" s="557"/>
      <c r="D117" s="557"/>
      <c r="E117" s="557"/>
      <c r="F117" s="620" t="str">
        <f t="shared" si="3"/>
        <v xml:space="preserve">  </v>
      </c>
      <c r="G117" s="1134" t="str">
        <f t="shared" si="4"/>
        <v xml:space="preserve">  </v>
      </c>
    </row>
    <row r="118" spans="1:7">
      <c r="A118" s="444">
        <v>35</v>
      </c>
      <c r="B118" s="97"/>
      <c r="C118" s="557"/>
      <c r="D118" s="557"/>
      <c r="E118" s="557"/>
      <c r="F118" s="620" t="str">
        <f t="shared" si="3"/>
        <v xml:space="preserve">  </v>
      </c>
      <c r="G118" s="1134" t="str">
        <f t="shared" si="4"/>
        <v xml:space="preserve">  </v>
      </c>
    </row>
    <row r="119" spans="1:7">
      <c r="A119" s="444">
        <v>36</v>
      </c>
      <c r="B119" s="97"/>
      <c r="C119" s="557"/>
      <c r="D119" s="557"/>
      <c r="E119" s="557"/>
      <c r="F119" s="620" t="str">
        <f t="shared" si="3"/>
        <v xml:space="preserve">  </v>
      </c>
      <c r="G119" s="1134" t="str">
        <f t="shared" si="4"/>
        <v xml:space="preserve">  </v>
      </c>
    </row>
    <row r="120" spans="1:7">
      <c r="A120" s="444">
        <v>37</v>
      </c>
      <c r="B120" s="97"/>
      <c r="C120" s="557"/>
      <c r="D120" s="557"/>
      <c r="E120" s="557"/>
      <c r="F120" s="620" t="str">
        <f t="shared" si="3"/>
        <v xml:space="preserve">  </v>
      </c>
      <c r="G120" s="1134" t="str">
        <f t="shared" si="4"/>
        <v xml:space="preserve">  </v>
      </c>
    </row>
    <row r="121" spans="1:7">
      <c r="A121" s="444">
        <v>38</v>
      </c>
      <c r="B121" s="97"/>
      <c r="C121" s="557"/>
      <c r="D121" s="557"/>
      <c r="E121" s="557"/>
      <c r="F121" s="620" t="str">
        <f t="shared" si="3"/>
        <v xml:space="preserve">  </v>
      </c>
      <c r="G121" s="1134" t="str">
        <f t="shared" si="4"/>
        <v xml:space="preserve">  </v>
      </c>
    </row>
    <row r="122" spans="1:7">
      <c r="A122" s="444">
        <v>39</v>
      </c>
      <c r="B122" s="97"/>
      <c r="C122" s="557"/>
      <c r="D122" s="557"/>
      <c r="E122" s="557"/>
      <c r="F122" s="620" t="str">
        <f t="shared" si="3"/>
        <v xml:space="preserve">  </v>
      </c>
      <c r="G122" s="1134" t="str">
        <f t="shared" si="4"/>
        <v xml:space="preserve">  </v>
      </c>
    </row>
    <row r="123" spans="1:7">
      <c r="A123" s="444">
        <v>40</v>
      </c>
      <c r="B123" s="97"/>
      <c r="C123" s="557"/>
      <c r="D123" s="557"/>
      <c r="E123" s="557"/>
      <c r="F123" s="620" t="str">
        <f t="shared" si="3"/>
        <v xml:space="preserve">  </v>
      </c>
      <c r="G123" s="1134" t="str">
        <f t="shared" si="4"/>
        <v xml:space="preserve">  </v>
      </c>
    </row>
    <row r="124" spans="1:7">
      <c r="A124" s="444">
        <v>41</v>
      </c>
      <c r="B124" s="97"/>
      <c r="C124" s="557"/>
      <c r="D124" s="557"/>
      <c r="E124" s="557"/>
      <c r="F124" s="620" t="str">
        <f t="shared" si="3"/>
        <v xml:space="preserve">  </v>
      </c>
      <c r="G124" s="1134" t="str">
        <f t="shared" si="4"/>
        <v xml:space="preserve">  </v>
      </c>
    </row>
    <row r="125" spans="1:7">
      <c r="A125" s="444">
        <f t="shared" ref="A125:A138" si="6">A124+1</f>
        <v>42</v>
      </c>
      <c r="B125" s="97"/>
      <c r="C125" s="557"/>
      <c r="D125" s="557"/>
      <c r="E125" s="557"/>
      <c r="F125" s="620" t="str">
        <f t="shared" si="3"/>
        <v xml:space="preserve">  </v>
      </c>
      <c r="G125" s="1134" t="str">
        <f t="shared" si="4"/>
        <v xml:space="preserve">  </v>
      </c>
    </row>
    <row r="126" spans="1:7">
      <c r="A126" s="444">
        <f t="shared" si="6"/>
        <v>43</v>
      </c>
      <c r="B126" s="97"/>
      <c r="C126" s="557"/>
      <c r="D126" s="557"/>
      <c r="E126" s="557"/>
      <c r="F126" s="620" t="str">
        <f t="shared" si="3"/>
        <v xml:space="preserve">  </v>
      </c>
      <c r="G126" s="1134" t="str">
        <f t="shared" si="4"/>
        <v xml:space="preserve">  </v>
      </c>
    </row>
    <row r="127" spans="1:7">
      <c r="A127" s="444">
        <f t="shared" si="6"/>
        <v>44</v>
      </c>
      <c r="B127" s="97"/>
      <c r="C127" s="557"/>
      <c r="D127" s="557"/>
      <c r="E127" s="557"/>
      <c r="F127" s="620" t="str">
        <f t="shared" si="3"/>
        <v xml:space="preserve">  </v>
      </c>
      <c r="G127" s="1134" t="str">
        <f t="shared" si="4"/>
        <v xml:space="preserve">  </v>
      </c>
    </row>
    <row r="128" spans="1:7">
      <c r="A128" s="444">
        <f t="shared" si="6"/>
        <v>45</v>
      </c>
      <c r="B128" s="97"/>
      <c r="C128" s="557"/>
      <c r="D128" s="557"/>
      <c r="E128" s="557"/>
      <c r="F128" s="620" t="str">
        <f t="shared" si="3"/>
        <v xml:space="preserve">  </v>
      </c>
      <c r="G128" s="1134" t="str">
        <f t="shared" si="4"/>
        <v xml:space="preserve">  </v>
      </c>
    </row>
    <row r="129" spans="1:7">
      <c r="A129" s="444">
        <f t="shared" si="6"/>
        <v>46</v>
      </c>
      <c r="B129" s="97"/>
      <c r="C129" s="557"/>
      <c r="D129" s="557"/>
      <c r="E129" s="557"/>
      <c r="F129" s="620" t="str">
        <f t="shared" si="3"/>
        <v xml:space="preserve">  </v>
      </c>
      <c r="G129" s="1134" t="str">
        <f t="shared" si="4"/>
        <v xml:space="preserve">  </v>
      </c>
    </row>
    <row r="130" spans="1:7">
      <c r="A130" s="444">
        <f t="shared" si="6"/>
        <v>47</v>
      </c>
      <c r="B130" s="97"/>
      <c r="C130" s="557"/>
      <c r="D130" s="557"/>
      <c r="E130" s="557"/>
      <c r="F130" s="620" t="str">
        <f t="shared" si="3"/>
        <v xml:space="preserve">  </v>
      </c>
      <c r="G130" s="1134" t="str">
        <f t="shared" si="4"/>
        <v xml:space="preserve">  </v>
      </c>
    </row>
    <row r="131" spans="1:7">
      <c r="A131" s="444">
        <f t="shared" si="6"/>
        <v>48</v>
      </c>
      <c r="B131" s="97"/>
      <c r="C131" s="557"/>
      <c r="D131" s="557"/>
      <c r="E131" s="557"/>
      <c r="F131" s="620" t="str">
        <f t="shared" si="3"/>
        <v xml:space="preserve">  </v>
      </c>
      <c r="G131" s="1134" t="str">
        <f t="shared" si="4"/>
        <v xml:space="preserve">  </v>
      </c>
    </row>
    <row r="132" spans="1:7">
      <c r="A132" s="444">
        <f t="shared" si="6"/>
        <v>49</v>
      </c>
      <c r="B132" s="97"/>
      <c r="C132" s="557"/>
      <c r="D132" s="557"/>
      <c r="E132" s="557"/>
      <c r="F132" s="620" t="str">
        <f t="shared" si="3"/>
        <v xml:space="preserve">  </v>
      </c>
      <c r="G132" s="1134" t="str">
        <f t="shared" si="4"/>
        <v xml:space="preserve">  </v>
      </c>
    </row>
    <row r="133" spans="1:7">
      <c r="A133" s="444">
        <f t="shared" si="6"/>
        <v>50</v>
      </c>
      <c r="B133" s="97"/>
      <c r="C133" s="557"/>
      <c r="D133" s="557"/>
      <c r="E133" s="557"/>
      <c r="F133" s="620" t="str">
        <f t="shared" si="3"/>
        <v xml:space="preserve">  </v>
      </c>
      <c r="G133" s="1134" t="str">
        <f t="shared" si="4"/>
        <v xml:space="preserve">  </v>
      </c>
    </row>
    <row r="134" spans="1:7">
      <c r="A134" s="444">
        <f t="shared" si="6"/>
        <v>51</v>
      </c>
      <c r="B134" s="97"/>
      <c r="C134" s="557"/>
      <c r="D134" s="557"/>
      <c r="E134" s="557"/>
      <c r="F134" s="620" t="str">
        <f t="shared" si="3"/>
        <v xml:space="preserve">  </v>
      </c>
      <c r="G134" s="1134" t="str">
        <f t="shared" si="4"/>
        <v xml:space="preserve">  </v>
      </c>
    </row>
    <row r="135" spans="1:7">
      <c r="A135" s="444">
        <f t="shared" si="6"/>
        <v>52</v>
      </c>
      <c r="B135" s="97"/>
      <c r="C135" s="557"/>
      <c r="D135" s="557"/>
      <c r="E135" s="557"/>
      <c r="F135" s="620" t="str">
        <f t="shared" si="3"/>
        <v xml:space="preserve">  </v>
      </c>
      <c r="G135" s="1134" t="str">
        <f t="shared" si="4"/>
        <v xml:space="preserve">  </v>
      </c>
    </row>
    <row r="136" spans="1:7">
      <c r="A136" s="444">
        <f t="shared" si="6"/>
        <v>53</v>
      </c>
      <c r="B136" s="97"/>
      <c r="C136" s="557"/>
      <c r="D136" s="557"/>
      <c r="E136" s="557"/>
      <c r="F136" s="620" t="str">
        <f t="shared" si="3"/>
        <v xml:space="preserve">  </v>
      </c>
      <c r="G136" s="1134" t="str">
        <f t="shared" si="4"/>
        <v xml:space="preserve">  </v>
      </c>
    </row>
    <row r="137" spans="1:7">
      <c r="A137" s="444">
        <f t="shared" si="6"/>
        <v>54</v>
      </c>
      <c r="B137" s="109"/>
      <c r="C137" s="599"/>
      <c r="D137" s="599"/>
      <c r="E137" s="599"/>
      <c r="F137" s="620" t="str">
        <f t="shared" si="3"/>
        <v xml:space="preserve">  </v>
      </c>
      <c r="G137" s="1134" t="str">
        <f t="shared" si="4"/>
        <v xml:space="preserve">  </v>
      </c>
    </row>
    <row r="138" spans="1:7" ht="15.75" thickBot="1">
      <c r="A138" s="480">
        <f t="shared" si="6"/>
        <v>55</v>
      </c>
      <c r="B138" s="436" t="s">
        <v>282</v>
      </c>
      <c r="C138" s="774">
        <f>SUM(C84:C137)</f>
        <v>0</v>
      </c>
      <c r="D138" s="707">
        <f>SUM(D84:D137)</f>
        <v>0</v>
      </c>
      <c r="E138" s="1131">
        <f>SUM(E84:E137)</f>
        <v>0</v>
      </c>
      <c r="F138" s="1131">
        <f>SUM(F84:F137)</f>
        <v>0</v>
      </c>
      <c r="G138" s="1135">
        <f>SUM(G84:G137)</f>
        <v>0</v>
      </c>
    </row>
    <row r="139" spans="1:7">
      <c r="A139" s="230"/>
      <c r="B139" s="230"/>
      <c r="C139" s="230"/>
      <c r="D139" s="230"/>
      <c r="E139" s="230"/>
      <c r="F139" s="230"/>
      <c r="G139" s="230"/>
    </row>
    <row r="140" spans="1:7">
      <c r="A140" s="128" t="s">
        <v>283</v>
      </c>
      <c r="B140" s="128"/>
      <c r="C140" s="128"/>
      <c r="D140" s="128"/>
      <c r="E140" s="128"/>
      <c r="F140" s="128"/>
      <c r="G140" s="128"/>
    </row>
    <row r="141" spans="1:7">
      <c r="A141" s="230"/>
      <c r="B141" s="230"/>
      <c r="C141" s="230"/>
      <c r="D141" s="230"/>
      <c r="E141" s="230"/>
      <c r="F141" s="230"/>
      <c r="G141" s="230"/>
    </row>
    <row r="142" spans="1:7">
      <c r="A142" s="230"/>
      <c r="B142" s="230"/>
      <c r="C142" s="230"/>
      <c r="D142" s="230"/>
      <c r="E142" s="230"/>
      <c r="F142" s="230"/>
      <c r="G142" s="230"/>
    </row>
    <row r="143" spans="1:7">
      <c r="A143" s="230"/>
      <c r="B143" s="230"/>
      <c r="C143" s="230"/>
      <c r="D143" s="230"/>
      <c r="E143" s="230"/>
      <c r="F143" s="230"/>
      <c r="G143" s="230"/>
    </row>
  </sheetData>
  <customSheetViews>
    <customSheetView guid="{1BA452AD-1A45-4D9C-9666-ADFFA6F2F567}" colorId="22" fitToPage="1">
      <selection activeCell="A2" sqref="A2"/>
      <rowBreaks count="1" manualBreakCount="1">
        <brk id="69" max="16383" man="1"/>
      </rowBreaks>
      <pageMargins left="0.75" right="0.4" top="0.3" bottom="0.3" header="0.5" footer="0.5"/>
      <pageSetup scale="57" orientation="portrait" r:id="rId1"/>
      <headerFooter alignWithMargins="0"/>
    </customSheetView>
    <customSheetView guid="{EEF7ABD6-0F96-4791-B749-C06F707E7673}" scale="60" colorId="22" showPageBreaks="1" fitToPage="1" printArea="1" view="pageBreakPreview" showRuler="0">
      <selection activeCell="D70" sqref="D70"/>
      <rowBreaks count="1" manualBreakCount="1">
        <brk id="69" max="16383" man="1"/>
      </rowBreaks>
      <pageMargins left="0.75" right="0.4" top="0.3" bottom="0.3" header="0.5" footer="0.5"/>
      <pageSetup scale="60" orientation="portrait" r:id="rId2"/>
      <headerFooter alignWithMargins="0"/>
    </customSheetView>
    <customSheetView guid="{A7D7DB3C-AFE6-468E-8C6B-9531F6711497}" scale="60" colorId="22" showPageBreaks="1" fitToPage="1" printArea="1" view="pageBreakPreview" showRuler="0">
      <selection activeCell="A5" sqref="A5:H5"/>
      <rowBreaks count="1" manualBreakCount="1">
        <brk id="69" max="16383" man="1"/>
      </rowBreaks>
      <pageMargins left="0.75" right="0.4" top="0.3" bottom="0.3" header="0.5" footer="0.5"/>
      <pageSetup scale="65" orientation="portrait" r:id="rId3"/>
      <headerFooter alignWithMargins="0"/>
    </customSheetView>
    <customSheetView guid="{4436FEB5-BFEC-4348-9286-CB706802873E}" scale="60" colorId="22" showPageBreaks="1" fitToPage="1" printArea="1" view="pageBreakPreview" showRuler="0">
      <selection activeCell="A5" sqref="A5:H5"/>
      <rowBreaks count="1" manualBreakCount="1">
        <brk id="69" max="16383" man="1"/>
      </rowBreaks>
      <pageMargins left="0.75" right="0.4" top="0.3" bottom="0.3" header="0.5" footer="0.5"/>
      <pageSetup scale="65" orientation="portrait" r:id="rId4"/>
      <headerFooter alignWithMargins="0"/>
    </customSheetView>
    <customSheetView guid="{044CF00C-469F-44B3-B2C4-9B4049CE70CB}" scale="60" colorId="22" showPageBreaks="1" fitToPage="1" printArea="1" view="pageBreakPreview" showRuler="0">
      <selection activeCell="A2" sqref="A2"/>
      <rowBreaks count="1" manualBreakCount="1">
        <brk id="69" max="16383" man="1"/>
      </rowBreaks>
      <pageMargins left="0.75" right="0.4" top="0.3" bottom="0.3" header="0.5" footer="0.5"/>
      <pageSetup scale="65" orientation="portrait" r:id="rId5"/>
      <headerFooter alignWithMargins="0"/>
    </customSheetView>
    <customSheetView guid="{4826FCC0-BDD6-4B2C-ACC6-ACE271DDF0E3}" scale="60" colorId="22" showPageBreaks="1" fitToPage="1" printArea="1" view="pageBreakPreview" showRuler="0">
      <selection activeCell="D70" sqref="D70"/>
      <rowBreaks count="1" manualBreakCount="1">
        <brk id="69" max="16383" man="1"/>
      </rowBreaks>
      <pageMargins left="0.75" right="0.4" top="0.3" bottom="0.3" header="0.5" footer="0.5"/>
      <pageSetup scale="60" orientation="portrait" r:id="rId6"/>
      <headerFooter alignWithMargins="0"/>
    </customSheetView>
    <customSheetView guid="{EF376D10-23D6-4FE2-AB5B-4460D52CC93F}" scale="60" colorId="22" showPageBreaks="1" fitToPage="1" printArea="1" view="pageBreakPreview" showRuler="0">
      <selection activeCell="D70" sqref="D70"/>
      <rowBreaks count="1" manualBreakCount="1">
        <brk id="69" max="16383" man="1"/>
      </rowBreaks>
      <pageMargins left="0.75" right="0.4" top="0.3" bottom="0.3" header="0.5" footer="0.5"/>
      <pageSetup scale="60" orientation="portrait" r:id="rId7"/>
      <headerFooter alignWithMargins="0"/>
    </customSheetView>
    <customSheetView guid="{1C046605-15CE-44F1-BFCD-2CA8588E7ACF}" scale="87" colorId="22" fitToPage="1" showRuler="0">
      <selection activeCell="D33" sqref="D33"/>
      <rowBreaks count="1" manualBreakCount="1">
        <brk id="69" max="16383" man="1"/>
      </rowBreaks>
      <pageMargins left="0.75" right="0.4" top="0.3" bottom="0.3" header="0.5" footer="0.5"/>
      <pageSetup scale="60" orientation="portrait" r:id="rId8"/>
      <headerFooter alignWithMargins="0"/>
    </customSheetView>
    <customSheetView guid="{3911D713-188C-46A1-A299-F21DD3B7A146}" scale="87" colorId="22" fitToPage="1" showRuler="0">
      <selection activeCell="D33" sqref="D33"/>
      <rowBreaks count="1" manualBreakCount="1">
        <brk id="69" max="16383" man="1"/>
      </rowBreaks>
      <pageMargins left="0.75" right="0.4" top="0.3" bottom="0.3" header="0.5" footer="0.5"/>
      <pageSetup scale="60" orientation="portrait" r:id="rId9"/>
      <headerFooter alignWithMargins="0"/>
    </customSheetView>
    <customSheetView guid="{78BB1E60-60BE-4F56-9763-075185EFEFAB}" colorId="22" fitToPage="1">
      <selection activeCell="A2" sqref="A2"/>
      <rowBreaks count="1" manualBreakCount="1">
        <brk id="69" max="16383" man="1"/>
      </rowBreaks>
      <pageMargins left="0.75" right="0.4" top="0.3" bottom="0.3" header="0.5" footer="0.5"/>
      <pageSetup scale="57" orientation="portrait" r:id="rId10"/>
      <headerFooter alignWithMargins="0"/>
    </customSheetView>
    <customSheetView guid="{9C30803E-1E2D-4850-B0A5-591CA6F246A1}" colorId="22" fitToPage="1">
      <selection activeCell="A2" sqref="A2"/>
      <rowBreaks count="1" manualBreakCount="1">
        <brk id="69" max="16383" man="1"/>
      </rowBreaks>
      <pageMargins left="0.75" right="0.4" top="0.3" bottom="0.3" header="0.5" footer="0.5"/>
      <pageSetup scale="57" orientation="portrait" r:id="rId11"/>
      <headerFooter alignWithMargins="0"/>
    </customSheetView>
    <customSheetView guid="{3B1006FF-A2CA-49E7-9B25-DAC8815279AF}" colorId="22" fitToPage="1">
      <selection activeCell="A2" sqref="A2"/>
      <rowBreaks count="1" manualBreakCount="1">
        <brk id="69" max="16383" man="1"/>
      </rowBreaks>
      <pageMargins left="0.75" right="0.4" top="0.3" bottom="0.3" header="0.5" footer="0.5"/>
      <pageSetup scale="57" orientation="portrait" r:id="rId12"/>
      <headerFooter alignWithMargins="0"/>
    </customSheetView>
    <customSheetView guid="{FB1A60C8-E1F9-4DF0-8E0E-1C965F86027F}" colorId="22" fitToPage="1">
      <selection activeCell="A2" sqref="A2"/>
      <rowBreaks count="1" manualBreakCount="1">
        <brk id="69" max="16383" man="1"/>
      </rowBreaks>
      <pageMargins left="0.75" right="0.4" top="0.3" bottom="0.3" header="0.5" footer="0.5"/>
      <pageSetup scale="57" orientation="portrait" r:id="rId13"/>
      <headerFooter alignWithMargins="0"/>
    </customSheetView>
    <customSheetView guid="{C5B6D812-CBE6-46AA-99F7-02494E9802B4}" scale="70" colorId="22" fitToPage="1" topLeftCell="A40">
      <selection activeCell="D26" sqref="D26"/>
      <rowBreaks count="1" manualBreakCount="1">
        <brk id="69" max="16383" man="1"/>
      </rowBreaks>
      <pageMargins left="0.75" right="0.4" top="0.3" bottom="0.3" header="0.5" footer="0.5"/>
      <pageSetup scale="57" orientation="portrait" r:id="rId14"/>
      <headerFooter alignWithMargins="0"/>
    </customSheetView>
  </customSheetViews>
  <phoneticPr fontId="0" type="noConversion"/>
  <pageMargins left="0.75" right="0.4" top="0.3" bottom="0.3" header="0.5" footer="0.5"/>
  <pageSetup scale="57" orientation="portrait" r:id="rId15"/>
  <headerFooter alignWithMargins="0"/>
  <rowBreaks count="1" manualBreakCount="1">
    <brk id="69" max="16383" man="1"/>
  </rowBreaks>
  <customProperties>
    <customPr name="_pios_id" r:id="rId16"/>
  </customProperties>
</worksheet>
</file>

<file path=xl/worksheets/sheet47.xml><?xml version="1.0" encoding="utf-8"?>
<worksheet xmlns="http://schemas.openxmlformats.org/spreadsheetml/2006/main" xmlns:r="http://schemas.openxmlformats.org/officeDocument/2006/relationships">
  <sheetPr transitionEvaluation="1" codeName="Sheet47" enableFormatConditionsCalculation="0"/>
  <dimension ref="A1:T138"/>
  <sheetViews>
    <sheetView defaultGridColor="0" colorId="22" zoomScale="75" zoomScaleNormal="75" zoomScaleSheetLayoutView="70" workbookViewId="0"/>
  </sheetViews>
  <sheetFormatPr defaultColWidth="9.77734375" defaultRowHeight="15" outlineLevelRow="1"/>
  <cols>
    <col min="1" max="1" width="4.77734375" style="2030" customWidth="1"/>
    <col min="2" max="2" width="23.77734375" style="2030" customWidth="1"/>
    <col min="3" max="5" width="14.77734375" style="2030" customWidth="1"/>
    <col min="6" max="6" width="17.6640625" style="2030" bestFit="1" customWidth="1"/>
    <col min="7" max="7" width="13.77734375" style="2030" customWidth="1"/>
    <col min="8" max="8" width="19.88671875" style="2030" customWidth="1"/>
    <col min="9" max="9" width="13.77734375" style="2030" customWidth="1"/>
    <col min="10" max="11" width="12.77734375" style="2030" customWidth="1"/>
    <col min="12" max="12" width="13.77734375" style="2030" customWidth="1"/>
    <col min="13" max="14" width="12.77734375" style="2030" customWidth="1"/>
    <col min="15" max="15" width="13.77734375" style="2030" customWidth="1"/>
    <col min="16" max="16" width="13" style="2030" customWidth="1"/>
    <col min="17" max="17" width="12.77734375" style="2030" customWidth="1"/>
    <col min="18" max="18" width="4.77734375" style="2030" customWidth="1"/>
    <col min="19" max="19" width="10.77734375" style="2030" bestFit="1" customWidth="1"/>
    <col min="20" max="20" width="11.77734375" style="2030" bestFit="1" customWidth="1"/>
    <col min="21" max="21" width="12.88671875" style="2030" bestFit="1" customWidth="1"/>
    <col min="22" max="16384" width="9.77734375" style="2030"/>
  </cols>
  <sheetData>
    <row r="1" spans="1:18" ht="15.75" thickBot="1">
      <c r="A1" s="2267" t="str">
        <f>+'Data sheet'!A53</f>
        <v>Annual Report of New York American Water Company, Inc. (f/k/a Long Island Water Corp)                                   Year Ended  December 31, 2013</v>
      </c>
      <c r="H1" s="2268"/>
      <c r="I1" s="2267" t="str">
        <f>+A1</f>
        <v>Annual Report of New York American Water Company, Inc. (f/k/a Long Island Water Corp)                                   Year Ended  December 31, 2013</v>
      </c>
      <c r="J1" s="2269"/>
      <c r="P1" s="2268"/>
      <c r="Q1" s="2270"/>
      <c r="R1" s="2270"/>
    </row>
    <row r="2" spans="1:18">
      <c r="A2" s="2271"/>
      <c r="B2" s="2272"/>
      <c r="C2" s="2272"/>
      <c r="D2" s="2272"/>
      <c r="E2" s="2272"/>
      <c r="F2" s="2272"/>
      <c r="G2" s="2272"/>
      <c r="H2" s="2273"/>
      <c r="I2" s="2271"/>
      <c r="J2" s="2272"/>
      <c r="K2" s="2272"/>
      <c r="L2" s="2272"/>
      <c r="M2" s="2272"/>
      <c r="N2" s="2272"/>
      <c r="O2" s="2272"/>
      <c r="P2" s="2272"/>
      <c r="Q2" s="2272"/>
      <c r="R2" s="2273"/>
    </row>
    <row r="3" spans="1:18" ht="15.75">
      <c r="A3" s="2274" t="s">
        <v>3255</v>
      </c>
      <c r="B3" s="2275"/>
      <c r="C3" s="2275"/>
      <c r="D3" s="2275"/>
      <c r="E3" s="2275"/>
      <c r="F3" s="2275"/>
      <c r="G3" s="2275"/>
      <c r="H3" s="2276"/>
      <c r="I3" s="2274" t="s">
        <v>3607</v>
      </c>
      <c r="J3" s="2270"/>
      <c r="K3" s="2275"/>
      <c r="L3" s="2275"/>
      <c r="M3" s="2275"/>
      <c r="N3" s="2275"/>
      <c r="O3" s="2275"/>
      <c r="P3" s="2275"/>
      <c r="Q3" s="2275"/>
      <c r="R3" s="2276"/>
    </row>
    <row r="4" spans="1:18" ht="15.75">
      <c r="A4" s="2277"/>
      <c r="D4" s="2278"/>
      <c r="H4" s="2279"/>
      <c r="I4" s="2277"/>
      <c r="L4" s="2278"/>
      <c r="R4" s="2279"/>
    </row>
    <row r="5" spans="1:18">
      <c r="A5" s="2204" t="s">
        <v>3609</v>
      </c>
      <c r="B5" s="2370"/>
      <c r="C5" s="2370"/>
      <c r="D5" s="2370"/>
      <c r="E5" s="2370"/>
      <c r="F5" s="2370"/>
      <c r="G5" s="2370"/>
      <c r="H5" s="2205"/>
      <c r="I5" s="2277" t="s">
        <v>509</v>
      </c>
      <c r="R5" s="2279"/>
    </row>
    <row r="6" spans="1:18">
      <c r="A6" s="2277" t="s">
        <v>2687</v>
      </c>
      <c r="H6" s="2279"/>
      <c r="I6" s="2277"/>
      <c r="R6" s="2279"/>
    </row>
    <row r="7" spans="1:18">
      <c r="A7" s="2277"/>
      <c r="H7" s="2279"/>
      <c r="I7" s="2277" t="s">
        <v>2688</v>
      </c>
      <c r="R7" s="2279"/>
    </row>
    <row r="8" spans="1:18">
      <c r="A8" s="2371" t="s">
        <v>2689</v>
      </c>
      <c r="B8" s="2372"/>
      <c r="C8" s="2372"/>
      <c r="D8" s="2372"/>
      <c r="E8" s="2372"/>
      <c r="F8" s="2372"/>
      <c r="G8" s="2372"/>
      <c r="H8" s="2373"/>
      <c r="I8" s="2277"/>
      <c r="R8" s="2279"/>
    </row>
    <row r="9" spans="1:18">
      <c r="A9" s="2280"/>
      <c r="B9" s="2281"/>
      <c r="C9" s="2281"/>
      <c r="D9" s="2281"/>
      <c r="E9" s="2281"/>
      <c r="F9" s="2281"/>
      <c r="G9" s="2281"/>
      <c r="H9" s="2282"/>
      <c r="I9" s="2277"/>
      <c r="K9" s="2281"/>
      <c r="L9" s="2281"/>
      <c r="M9" s="2281"/>
      <c r="N9" s="2281"/>
      <c r="O9" s="2281"/>
      <c r="P9" s="2281"/>
      <c r="Q9" s="2281"/>
      <c r="R9" s="2282"/>
    </row>
    <row r="10" spans="1:18">
      <c r="A10" s="2283"/>
      <c r="B10" s="2284"/>
      <c r="C10" s="2285"/>
      <c r="D10" s="2285"/>
      <c r="E10" s="2284"/>
      <c r="F10" s="2285"/>
      <c r="G10" s="2285"/>
      <c r="H10" s="2286"/>
      <c r="I10" s="2287"/>
      <c r="J10" s="2285"/>
      <c r="K10" s="2284"/>
      <c r="L10" s="2285"/>
      <c r="M10" s="2285"/>
      <c r="N10" s="2284"/>
      <c r="O10" s="2285"/>
      <c r="P10" s="2285"/>
      <c r="Q10" s="2284"/>
      <c r="R10" s="2288"/>
    </row>
    <row r="11" spans="1:18">
      <c r="A11" s="2289"/>
      <c r="B11" s="2019"/>
      <c r="C11" s="2270" t="s">
        <v>1555</v>
      </c>
      <c r="D11" s="2270"/>
      <c r="E11" s="2290"/>
      <c r="F11" s="2270" t="s">
        <v>1556</v>
      </c>
      <c r="G11" s="2270"/>
      <c r="H11" s="2291"/>
      <c r="I11" s="2292" t="s">
        <v>1557</v>
      </c>
      <c r="J11" s="2270"/>
      <c r="K11" s="2290"/>
      <c r="L11" s="2270" t="s">
        <v>2792</v>
      </c>
      <c r="M11" s="2270"/>
      <c r="N11" s="2290"/>
      <c r="O11" s="2270" t="s">
        <v>2676</v>
      </c>
      <c r="P11" s="2270"/>
      <c r="Q11" s="2290"/>
      <c r="R11" s="2205"/>
    </row>
    <row r="12" spans="1:18">
      <c r="A12" s="2289"/>
      <c r="B12" s="2019"/>
      <c r="C12" s="2293"/>
      <c r="D12" s="2293"/>
      <c r="E12" s="2294"/>
      <c r="F12" s="2293"/>
      <c r="G12" s="2293"/>
      <c r="H12" s="2295"/>
      <c r="I12" s="2296"/>
      <c r="J12" s="2293"/>
      <c r="K12" s="2294"/>
      <c r="L12" s="2281"/>
      <c r="M12" s="2281"/>
      <c r="N12" s="2297"/>
      <c r="O12" s="2281"/>
      <c r="P12" s="2281"/>
      <c r="Q12" s="2297"/>
      <c r="R12" s="2205"/>
    </row>
    <row r="13" spans="1:18">
      <c r="A13" s="2289"/>
      <c r="B13" s="2019"/>
      <c r="C13" s="2019"/>
      <c r="D13" s="2019"/>
      <c r="E13" s="2298" t="s">
        <v>2989</v>
      </c>
      <c r="F13" s="2019"/>
      <c r="G13" s="2019"/>
      <c r="H13" s="2205" t="s">
        <v>2989</v>
      </c>
      <c r="I13" s="2299"/>
      <c r="J13" s="2019"/>
      <c r="K13" s="2298" t="s">
        <v>2989</v>
      </c>
      <c r="L13" s="2019"/>
      <c r="M13" s="2019"/>
      <c r="N13" s="2298" t="s">
        <v>2989</v>
      </c>
      <c r="O13" s="2019"/>
      <c r="P13" s="2019"/>
      <c r="Q13" s="2298" t="s">
        <v>2989</v>
      </c>
      <c r="R13" s="2205"/>
    </row>
    <row r="14" spans="1:18">
      <c r="A14" s="2289" t="s">
        <v>1129</v>
      </c>
      <c r="B14" s="2298" t="s">
        <v>1558</v>
      </c>
      <c r="C14" s="2298" t="s">
        <v>1559</v>
      </c>
      <c r="D14" s="2298" t="s">
        <v>2988</v>
      </c>
      <c r="E14" s="2298" t="s">
        <v>1560</v>
      </c>
      <c r="F14" s="2298" t="s">
        <v>1559</v>
      </c>
      <c r="G14" s="2298" t="s">
        <v>2988</v>
      </c>
      <c r="H14" s="2205" t="s">
        <v>1560</v>
      </c>
      <c r="I14" s="2289" t="s">
        <v>1559</v>
      </c>
      <c r="J14" s="2298" t="s">
        <v>2988</v>
      </c>
      <c r="K14" s="2298" t="s">
        <v>1560</v>
      </c>
      <c r="L14" s="2298" t="s">
        <v>1559</v>
      </c>
      <c r="M14" s="2298" t="s">
        <v>2988</v>
      </c>
      <c r="N14" s="2298" t="s">
        <v>1560</v>
      </c>
      <c r="O14" s="2298" t="s">
        <v>1559</v>
      </c>
      <c r="P14" s="2298" t="s">
        <v>2988</v>
      </c>
      <c r="Q14" s="2298" t="s">
        <v>1560</v>
      </c>
      <c r="R14" s="2205" t="s">
        <v>1129</v>
      </c>
    </row>
    <row r="15" spans="1:18">
      <c r="A15" s="2289" t="s">
        <v>3324</v>
      </c>
      <c r="B15" s="2298" t="s">
        <v>1561</v>
      </c>
      <c r="C15" s="2298" t="s">
        <v>2013</v>
      </c>
      <c r="D15" s="2298" t="s">
        <v>2419</v>
      </c>
      <c r="E15" s="2298" t="s">
        <v>2381</v>
      </c>
      <c r="F15" s="2298" t="s">
        <v>2013</v>
      </c>
      <c r="G15" s="2298" t="s">
        <v>2419</v>
      </c>
      <c r="H15" s="2205" t="s">
        <v>2381</v>
      </c>
      <c r="I15" s="2289" t="s">
        <v>2013</v>
      </c>
      <c r="J15" s="2298" t="s">
        <v>2419</v>
      </c>
      <c r="K15" s="2298" t="s">
        <v>2381</v>
      </c>
      <c r="L15" s="2298" t="s">
        <v>2013</v>
      </c>
      <c r="M15" s="2298" t="s">
        <v>2419</v>
      </c>
      <c r="N15" s="2298" t="s">
        <v>2381</v>
      </c>
      <c r="O15" s="2298" t="s">
        <v>2013</v>
      </c>
      <c r="P15" s="2298" t="s">
        <v>2419</v>
      </c>
      <c r="Q15" s="2298" t="s">
        <v>2381</v>
      </c>
      <c r="R15" s="2205" t="s">
        <v>3324</v>
      </c>
    </row>
    <row r="16" spans="1:18">
      <c r="A16" s="2289"/>
      <c r="B16" s="2298" t="s">
        <v>4032</v>
      </c>
      <c r="C16" s="2298" t="s">
        <v>4033</v>
      </c>
      <c r="D16" s="2298" t="s">
        <v>4034</v>
      </c>
      <c r="E16" s="2298" t="s">
        <v>1562</v>
      </c>
      <c r="F16" s="2298" t="s">
        <v>2277</v>
      </c>
      <c r="G16" s="2298" t="s">
        <v>2278</v>
      </c>
      <c r="H16" s="2205" t="s">
        <v>1563</v>
      </c>
      <c r="I16" s="2289" t="s">
        <v>2280</v>
      </c>
      <c r="J16" s="2298" t="s">
        <v>2281</v>
      </c>
      <c r="K16" s="2298" t="s">
        <v>875</v>
      </c>
      <c r="L16" s="2298" t="s">
        <v>2283</v>
      </c>
      <c r="M16" s="2298" t="s">
        <v>2284</v>
      </c>
      <c r="N16" s="2298" t="s">
        <v>828</v>
      </c>
      <c r="O16" s="2298" t="s">
        <v>829</v>
      </c>
      <c r="P16" s="2298" t="s">
        <v>830</v>
      </c>
      <c r="Q16" s="2298" t="s">
        <v>832</v>
      </c>
      <c r="R16" s="2205"/>
    </row>
    <row r="17" spans="1:20" ht="15.75">
      <c r="A17" s="2300"/>
      <c r="B17" s="2301"/>
      <c r="C17" s="2302"/>
      <c r="D17" s="2303"/>
      <c r="E17" s="2297"/>
      <c r="F17" s="2303"/>
      <c r="G17" s="2303"/>
      <c r="H17" s="2282"/>
      <c r="I17" s="2304"/>
      <c r="J17" s="2297"/>
      <c r="K17" s="2297"/>
      <c r="L17" s="2297"/>
      <c r="M17" s="2297"/>
      <c r="N17" s="2297"/>
      <c r="O17" s="2297"/>
      <c r="P17" s="2297"/>
      <c r="Q17" s="2297"/>
      <c r="R17" s="2305"/>
    </row>
    <row r="18" spans="1:20" outlineLevel="1">
      <c r="A18" s="2204">
        <v>1</v>
      </c>
      <c r="B18" s="2306" t="s">
        <v>108</v>
      </c>
      <c r="C18" s="1032">
        <v>730103.48</v>
      </c>
      <c r="D18" s="2423">
        <v>119098.78052957142</v>
      </c>
      <c r="E18" s="2308">
        <v>935.59211695698548</v>
      </c>
      <c r="F18" s="2307">
        <v>164648.35</v>
      </c>
      <c r="G18" s="2424">
        <v>35143.364255779867</v>
      </c>
      <c r="H18" s="2309">
        <v>61.719369220607661</v>
      </c>
      <c r="I18" s="1032"/>
      <c r="J18" s="2425"/>
      <c r="K18" s="2021"/>
      <c r="L18" s="1032">
        <v>5146.16</v>
      </c>
      <c r="M18" s="2310"/>
      <c r="N18" s="3000">
        <v>3.6</v>
      </c>
      <c r="O18" s="1032">
        <v>60642.93</v>
      </c>
      <c r="P18" s="2312"/>
      <c r="Q18" s="2308">
        <v>1.7</v>
      </c>
      <c r="R18" s="2205">
        <v>1</v>
      </c>
      <c r="T18" s="3002"/>
    </row>
    <row r="19" spans="1:20" outlineLevel="1">
      <c r="A19" s="2313">
        <v>2</v>
      </c>
      <c r="B19" s="2314" t="s">
        <v>109</v>
      </c>
      <c r="C19" s="1032">
        <v>994265.43</v>
      </c>
      <c r="D19" s="2426">
        <v>165341.6541570985</v>
      </c>
      <c r="E19" s="2316">
        <v>1547.5959829363669</v>
      </c>
      <c r="F19" s="2315">
        <v>405759.94</v>
      </c>
      <c r="G19" s="2424">
        <v>79676.502852428297</v>
      </c>
      <c r="H19" s="2317">
        <v>288</v>
      </c>
      <c r="I19" s="1032"/>
      <c r="J19" s="2427"/>
      <c r="K19" s="2021"/>
      <c r="L19" s="1032">
        <v>53512.480000000003</v>
      </c>
      <c r="M19" s="2318"/>
      <c r="N19" s="3001">
        <v>47.8</v>
      </c>
      <c r="O19" s="1032">
        <v>75579.61</v>
      </c>
      <c r="P19" s="2320"/>
      <c r="Q19" s="2316">
        <v>4.0999999999999996</v>
      </c>
      <c r="R19" s="2205">
        <v>2</v>
      </c>
      <c r="T19" s="3002"/>
    </row>
    <row r="20" spans="1:20" outlineLevel="1">
      <c r="A20" s="2313">
        <v>3</v>
      </c>
      <c r="B20" s="2314" t="s">
        <v>110</v>
      </c>
      <c r="C20" s="1032">
        <v>1582049.33</v>
      </c>
      <c r="D20" s="2426">
        <v>258924.97932968324</v>
      </c>
      <c r="E20" s="2316">
        <v>2582.6764130821184</v>
      </c>
      <c r="F20" s="2315">
        <v>245539.38</v>
      </c>
      <c r="G20" s="2424">
        <v>49971.210570273201</v>
      </c>
      <c r="H20" s="2317">
        <v>167.56708223249666</v>
      </c>
      <c r="I20" s="1032">
        <v>5623.61</v>
      </c>
      <c r="J20" s="2946">
        <v>983.5</v>
      </c>
      <c r="K20" s="2021">
        <v>3</v>
      </c>
      <c r="L20" s="1032">
        <v>23938.81</v>
      </c>
      <c r="M20" s="2318"/>
      <c r="N20" s="3001">
        <v>21.2</v>
      </c>
      <c r="O20" s="1032">
        <v>111849.88</v>
      </c>
      <c r="P20" s="2320"/>
      <c r="Q20" s="2316">
        <v>2.8</v>
      </c>
      <c r="R20" s="2205">
        <v>3</v>
      </c>
      <c r="T20" s="3002"/>
    </row>
    <row r="21" spans="1:20" outlineLevel="1">
      <c r="A21" s="2313">
        <v>4</v>
      </c>
      <c r="B21" s="2314" t="s">
        <v>1018</v>
      </c>
      <c r="C21" s="1032">
        <v>25055858.399999999</v>
      </c>
      <c r="D21" s="2426">
        <v>4122129.3642902737</v>
      </c>
      <c r="E21" s="2316">
        <v>40553.04434767153</v>
      </c>
      <c r="F21" s="2315">
        <v>3706797.06</v>
      </c>
      <c r="G21" s="2424">
        <v>741606.94422385085</v>
      </c>
      <c r="H21" s="2317">
        <v>2783</v>
      </c>
      <c r="I21" s="1032">
        <v>305393.73</v>
      </c>
      <c r="J21" s="2946">
        <v>75256.710000000006</v>
      </c>
      <c r="K21" s="2021">
        <v>15</v>
      </c>
      <c r="L21" s="1032">
        <v>735371.19</v>
      </c>
      <c r="M21" s="2318"/>
      <c r="N21" s="3001">
        <f>423.8+3</f>
        <v>426.8</v>
      </c>
      <c r="O21" s="1032">
        <v>1814587.74</v>
      </c>
      <c r="P21" s="2320"/>
      <c r="Q21" s="2316">
        <v>55</v>
      </c>
      <c r="R21" s="2205">
        <v>4</v>
      </c>
      <c r="T21" s="3002"/>
    </row>
    <row r="22" spans="1:20" outlineLevel="1">
      <c r="A22" s="2313">
        <v>5</v>
      </c>
      <c r="B22" s="2314" t="s">
        <v>111</v>
      </c>
      <c r="C22" s="1032">
        <v>257868.45</v>
      </c>
      <c r="D22" s="2426">
        <v>44840.911261942754</v>
      </c>
      <c r="E22" s="2316">
        <v>139.6856114468539</v>
      </c>
      <c r="F22" s="2315">
        <v>5633.25</v>
      </c>
      <c r="G22" s="2424">
        <v>1089.2023836207491</v>
      </c>
      <c r="H22" s="2317">
        <v>1</v>
      </c>
      <c r="I22" s="1032"/>
      <c r="J22" s="2946"/>
      <c r="K22" s="2021"/>
      <c r="L22" s="1032">
        <v>1715.48</v>
      </c>
      <c r="M22" s="2318"/>
      <c r="N22" s="3001">
        <v>1.7</v>
      </c>
      <c r="O22" s="1032">
        <v>151923.53</v>
      </c>
      <c r="P22" s="2320"/>
      <c r="Q22" s="2316">
        <v>1.4</v>
      </c>
      <c r="R22" s="2321">
        <v>5</v>
      </c>
      <c r="T22" s="3002"/>
    </row>
    <row r="23" spans="1:20" outlineLevel="1">
      <c r="A23" s="2313">
        <v>6</v>
      </c>
      <c r="B23" s="2314" t="s">
        <v>112</v>
      </c>
      <c r="C23" s="1032">
        <v>690408.78</v>
      </c>
      <c r="D23" s="2426">
        <v>118745.69297169591</v>
      </c>
      <c r="E23" s="2316">
        <v>434.13082118734445</v>
      </c>
      <c r="F23" s="2315">
        <v>27157.56</v>
      </c>
      <c r="G23" s="2424">
        <v>6104.2573152432842</v>
      </c>
      <c r="H23" s="2317">
        <v>21.611831241743726</v>
      </c>
      <c r="I23" s="1032"/>
      <c r="J23" s="2946"/>
      <c r="K23" s="2021"/>
      <c r="L23" s="1032">
        <v>3430.96</v>
      </c>
      <c r="M23" s="2318"/>
      <c r="N23" s="3001">
        <v>2.7</v>
      </c>
      <c r="O23" s="1032"/>
      <c r="P23" s="2320"/>
      <c r="Q23" s="2316">
        <v>0</v>
      </c>
      <c r="R23" s="2321">
        <v>6</v>
      </c>
      <c r="T23" s="3002"/>
    </row>
    <row r="24" spans="1:20" outlineLevel="1">
      <c r="A24" s="2313">
        <v>7</v>
      </c>
      <c r="B24" s="2314" t="s">
        <v>114</v>
      </c>
      <c r="C24" s="1032">
        <v>506737.98</v>
      </c>
      <c r="D24" s="2426">
        <v>78050.678880831445</v>
      </c>
      <c r="E24" s="2316">
        <v>1049.1494845360826</v>
      </c>
      <c r="F24" s="2315">
        <v>105458.86</v>
      </c>
      <c r="G24" s="2424">
        <v>20168.958966117869</v>
      </c>
      <c r="H24" s="2317">
        <v>89.563449471598418</v>
      </c>
      <c r="I24" s="1032">
        <v>8536.52</v>
      </c>
      <c r="J24" s="2946">
        <v>1933.3</v>
      </c>
      <c r="K24" s="2021">
        <v>3</v>
      </c>
      <c r="L24" s="1032">
        <v>4900.22</v>
      </c>
      <c r="M24" s="2318"/>
      <c r="N24" s="3001">
        <v>2.7</v>
      </c>
      <c r="O24" s="1032">
        <v>54509.15</v>
      </c>
      <c r="P24" s="2320"/>
      <c r="Q24" s="2316">
        <v>1.5</v>
      </c>
      <c r="R24" s="2321">
        <v>7</v>
      </c>
      <c r="T24" s="3002"/>
    </row>
    <row r="25" spans="1:20" outlineLevel="1">
      <c r="A25" s="2313">
        <v>8</v>
      </c>
      <c r="B25" s="2314" t="s">
        <v>115</v>
      </c>
      <c r="C25" s="1032">
        <v>1521006.19</v>
      </c>
      <c r="D25" s="2426">
        <v>257354.67360623661</v>
      </c>
      <c r="E25" s="2316">
        <v>1580.7587539992892</v>
      </c>
      <c r="F25" s="2315">
        <v>378013.52</v>
      </c>
      <c r="G25" s="2424">
        <v>83714.11461894025</v>
      </c>
      <c r="H25" s="2317">
        <v>243</v>
      </c>
      <c r="I25" s="1032"/>
      <c r="J25" s="2946"/>
      <c r="K25" s="2021"/>
      <c r="L25" s="1032">
        <v>43626.33</v>
      </c>
      <c r="M25" s="2318"/>
      <c r="N25" s="3001">
        <v>30.9</v>
      </c>
      <c r="O25" s="1032">
        <v>148677.44</v>
      </c>
      <c r="P25" s="2320"/>
      <c r="Q25" s="2316">
        <v>2.7</v>
      </c>
      <c r="R25" s="2321">
        <v>8</v>
      </c>
      <c r="T25" s="3002"/>
    </row>
    <row r="26" spans="1:20" outlineLevel="1">
      <c r="A26" s="2313">
        <v>9</v>
      </c>
      <c r="B26" s="2314" t="s">
        <v>116</v>
      </c>
      <c r="C26" s="1032">
        <v>3101655.57</v>
      </c>
      <c r="D26" s="2426">
        <v>507396.11980476143</v>
      </c>
      <c r="E26" s="2316">
        <v>5428.645129754711</v>
      </c>
      <c r="F26" s="2315">
        <v>781977.85</v>
      </c>
      <c r="G26" s="2424">
        <v>153227.48853827539</v>
      </c>
      <c r="H26" s="2317">
        <v>546</v>
      </c>
      <c r="I26" s="1032"/>
      <c r="J26" s="2946"/>
      <c r="K26" s="2021"/>
      <c r="L26" s="1032">
        <v>134478.06</v>
      </c>
      <c r="M26" s="2318"/>
      <c r="N26" s="3001">
        <f>95.5+1</f>
        <v>96.5</v>
      </c>
      <c r="O26" s="1032">
        <v>275377.32</v>
      </c>
      <c r="P26" s="2320"/>
      <c r="Q26" s="2316">
        <v>1.4</v>
      </c>
      <c r="R26" s="2321">
        <v>9</v>
      </c>
      <c r="T26" s="3002"/>
    </row>
    <row r="27" spans="1:20" outlineLevel="1">
      <c r="A27" s="2313">
        <v>10</v>
      </c>
      <c r="B27" s="2314" t="s">
        <v>117</v>
      </c>
      <c r="C27" s="1032">
        <v>1773489.28</v>
      </c>
      <c r="D27" s="2426">
        <v>286208.67919751175</v>
      </c>
      <c r="E27" s="2316">
        <v>3061.0242623533595</v>
      </c>
      <c r="F27" s="2315">
        <v>76331.320000000007</v>
      </c>
      <c r="G27" s="2424">
        <v>12980.489232360904</v>
      </c>
      <c r="H27" s="2317">
        <v>59</v>
      </c>
      <c r="I27" s="1032"/>
      <c r="J27" s="2946"/>
      <c r="K27" s="2021"/>
      <c r="L27" s="1032">
        <v>9778.26</v>
      </c>
      <c r="M27" s="2318"/>
      <c r="N27" s="3001">
        <v>10.6</v>
      </c>
      <c r="O27" s="1032">
        <v>129042.5</v>
      </c>
      <c r="P27" s="2320"/>
      <c r="Q27" s="2316">
        <v>1.4</v>
      </c>
      <c r="R27" s="2321">
        <v>10</v>
      </c>
      <c r="T27" s="3002"/>
    </row>
    <row r="28" spans="1:20" outlineLevel="1">
      <c r="A28" s="2313">
        <v>11</v>
      </c>
      <c r="B28" s="2314" t="s">
        <v>118</v>
      </c>
      <c r="C28" s="1032">
        <v>5605739.29</v>
      </c>
      <c r="D28" s="2426">
        <v>906333.95989443141</v>
      </c>
      <c r="E28" s="2316">
        <v>10146.803012797725</v>
      </c>
      <c r="F28" s="2315">
        <v>791321.17</v>
      </c>
      <c r="G28" s="2424">
        <v>150696.8962337478</v>
      </c>
      <c r="H28" s="2317">
        <v>589</v>
      </c>
      <c r="I28" s="1032">
        <v>24409.23</v>
      </c>
      <c r="J28" s="2946">
        <v>5641.9</v>
      </c>
      <c r="K28" s="2021">
        <v>4</v>
      </c>
      <c r="L28" s="1032">
        <v>146281.73000000001</v>
      </c>
      <c r="M28" s="2318"/>
      <c r="N28" s="3001">
        <f>108.8+1</f>
        <v>109.8</v>
      </c>
      <c r="O28" s="1032">
        <v>358910.79</v>
      </c>
      <c r="P28" s="2320"/>
      <c r="Q28" s="2316">
        <v>1.4</v>
      </c>
      <c r="R28" s="2321">
        <v>11</v>
      </c>
      <c r="T28" s="3002"/>
    </row>
    <row r="29" spans="1:20" outlineLevel="1">
      <c r="A29" s="2313">
        <v>12</v>
      </c>
      <c r="B29" s="2314" t="s">
        <v>113</v>
      </c>
      <c r="C29" s="1032">
        <v>196923.59</v>
      </c>
      <c r="D29" s="2426">
        <v>31695.16682642567</v>
      </c>
      <c r="E29" s="2316">
        <v>162.79905794525419</v>
      </c>
      <c r="F29" s="2315">
        <v>3796.5</v>
      </c>
      <c r="G29" s="2424">
        <v>802.1943905588131</v>
      </c>
      <c r="H29" s="2317">
        <v>1.8093626155878466</v>
      </c>
      <c r="I29" s="1032"/>
      <c r="J29" s="2427"/>
      <c r="K29" s="2021"/>
      <c r="L29" s="1032">
        <v>171.56</v>
      </c>
      <c r="M29" s="2318"/>
      <c r="N29" s="3001">
        <v>1</v>
      </c>
      <c r="O29" s="1032"/>
      <c r="P29" s="2320"/>
      <c r="Q29" s="2316">
        <v>0</v>
      </c>
      <c r="R29" s="2321">
        <v>12</v>
      </c>
      <c r="T29" s="3002"/>
    </row>
    <row r="30" spans="1:20" outlineLevel="1">
      <c r="A30" s="2313">
        <v>13</v>
      </c>
      <c r="B30" s="2314" t="s">
        <v>119</v>
      </c>
      <c r="C30" s="1032">
        <v>262654.46999999997</v>
      </c>
      <c r="D30" s="2426">
        <v>45082.339249535646</v>
      </c>
      <c r="E30" s="2316">
        <v>223.09500533238537</v>
      </c>
      <c r="F30" s="2315">
        <v>23436.49</v>
      </c>
      <c r="G30" s="2424">
        <v>4802.3764188027289</v>
      </c>
      <c r="H30" s="2317">
        <v>18.596226882430646</v>
      </c>
      <c r="I30" s="1032"/>
      <c r="J30" s="2427"/>
      <c r="K30" s="2021"/>
      <c r="L30" s="1032">
        <v>2058.6</v>
      </c>
      <c r="M30" s="2318"/>
      <c r="N30" s="3001">
        <v>2.7</v>
      </c>
      <c r="O30" s="1032">
        <v>21945.22</v>
      </c>
      <c r="P30" s="2320"/>
      <c r="Q30" s="2316">
        <v>1.4</v>
      </c>
      <c r="R30" s="2321">
        <v>13</v>
      </c>
      <c r="T30" s="3002"/>
    </row>
    <row r="31" spans="1:20" outlineLevel="1">
      <c r="A31" s="2322">
        <v>14</v>
      </c>
      <c r="B31" s="2019"/>
      <c r="C31" s="2021"/>
      <c r="D31" s="2021"/>
      <c r="E31" s="2021"/>
      <c r="F31" s="2021"/>
      <c r="G31" s="2021"/>
      <c r="H31" s="2022"/>
      <c r="I31" s="2020"/>
      <c r="J31" s="2021"/>
      <c r="K31" s="2021"/>
      <c r="L31" s="2021"/>
      <c r="M31" s="2021"/>
      <c r="N31" s="2021"/>
      <c r="O31" s="2021"/>
      <c r="P31" s="2021"/>
      <c r="Q31" s="2021"/>
      <c r="R31" s="2321">
        <v>14</v>
      </c>
    </row>
    <row r="32" spans="1:20" outlineLevel="1">
      <c r="A32" s="2322">
        <v>15</v>
      </c>
      <c r="B32" s="2019"/>
      <c r="C32" s="2023"/>
      <c r="D32" s="2023"/>
      <c r="E32" s="2023"/>
      <c r="F32" s="2023"/>
      <c r="G32" s="2023"/>
      <c r="H32" s="2024"/>
      <c r="I32" s="2054"/>
      <c r="J32" s="2055"/>
      <c r="K32" s="2023"/>
      <c r="L32" s="2023"/>
      <c r="M32" s="2023"/>
      <c r="N32" s="2023"/>
      <c r="O32" s="2023"/>
      <c r="P32" s="2023"/>
      <c r="Q32" s="2023"/>
      <c r="R32" s="2321">
        <v>15</v>
      </c>
    </row>
    <row r="33" spans="1:18" outlineLevel="1">
      <c r="A33" s="2322">
        <v>16</v>
      </c>
      <c r="B33" s="2019" t="s">
        <v>625</v>
      </c>
      <c r="C33" s="2023"/>
      <c r="D33" s="2023"/>
      <c r="E33" s="2023"/>
      <c r="F33" s="2023"/>
      <c r="G33" s="2023"/>
      <c r="H33" s="2024"/>
      <c r="I33" s="2056"/>
      <c r="J33" s="2055"/>
      <c r="K33" s="2023"/>
      <c r="L33" s="2023"/>
      <c r="M33" s="2023"/>
      <c r="N33" s="2023"/>
      <c r="O33" s="2023"/>
      <c r="P33" s="2023"/>
      <c r="Q33" s="2023"/>
      <c r="R33" s="2321">
        <v>16</v>
      </c>
    </row>
    <row r="34" spans="1:18" outlineLevel="1">
      <c r="A34" s="2322">
        <v>17</v>
      </c>
      <c r="B34" s="2019" t="s">
        <v>626</v>
      </c>
      <c r="C34" s="2023"/>
      <c r="D34" s="2023"/>
      <c r="E34" s="2023"/>
      <c r="F34" s="2023"/>
      <c r="G34" s="2023"/>
      <c r="H34" s="2024"/>
      <c r="I34" s="2056"/>
      <c r="J34" s="2055"/>
      <c r="K34" s="2023"/>
      <c r="L34" s="2023"/>
      <c r="M34" s="2023"/>
      <c r="N34" s="2023"/>
      <c r="O34" s="2023"/>
      <c r="P34" s="2023"/>
      <c r="Q34" s="2023"/>
      <c r="R34" s="2321">
        <v>17</v>
      </c>
    </row>
    <row r="35" spans="1:18" outlineLevel="1">
      <c r="A35" s="2322">
        <v>18</v>
      </c>
      <c r="B35" s="2019" t="s">
        <v>627</v>
      </c>
      <c r="C35" s="2023"/>
      <c r="D35" s="2023"/>
      <c r="E35" s="2023"/>
      <c r="F35" s="2023"/>
      <c r="G35" s="2023"/>
      <c r="H35" s="2024"/>
      <c r="I35" s="2056"/>
      <c r="J35" s="2055"/>
      <c r="K35" s="2023"/>
      <c r="L35" s="2023"/>
      <c r="M35" s="2023"/>
      <c r="N35" s="2023"/>
      <c r="O35" s="2023"/>
      <c r="P35" s="2023"/>
      <c r="Q35" s="2023"/>
      <c r="R35" s="2321">
        <v>18</v>
      </c>
    </row>
    <row r="36" spans="1:18" outlineLevel="1">
      <c r="A36" s="2322">
        <v>19</v>
      </c>
      <c r="B36" s="2019"/>
      <c r="C36" s="2023"/>
      <c r="D36" s="2023"/>
      <c r="E36" s="2023"/>
      <c r="F36" s="2023"/>
      <c r="G36" s="2023"/>
      <c r="H36" s="2024"/>
      <c r="I36" s="2056"/>
      <c r="J36" s="2055"/>
      <c r="K36" s="2023"/>
      <c r="L36" s="2023"/>
      <c r="M36" s="2023"/>
      <c r="N36" s="2023"/>
      <c r="O36" s="2023"/>
      <c r="P36" s="2023"/>
      <c r="Q36" s="2023"/>
      <c r="R36" s="2321">
        <v>19</v>
      </c>
    </row>
    <row r="37" spans="1:18" outlineLevel="1">
      <c r="A37" s="2322">
        <v>20</v>
      </c>
      <c r="B37" s="2019" t="s">
        <v>628</v>
      </c>
      <c r="C37" s="2023"/>
      <c r="D37" s="2023"/>
      <c r="E37" s="2023"/>
      <c r="F37" s="2023"/>
      <c r="G37" s="2023"/>
      <c r="H37" s="2024"/>
      <c r="I37" s="2056"/>
      <c r="J37" s="2055"/>
      <c r="K37" s="2023"/>
      <c r="L37" s="2023"/>
      <c r="M37" s="2023"/>
      <c r="N37" s="2023"/>
      <c r="O37" s="2023"/>
      <c r="P37" s="2023"/>
      <c r="Q37" s="2023"/>
      <c r="R37" s="2205">
        <v>20</v>
      </c>
    </row>
    <row r="38" spans="1:18" outlineLevel="1">
      <c r="A38" s="2322">
        <v>21</v>
      </c>
      <c r="B38" s="2019" t="s">
        <v>538</v>
      </c>
      <c r="C38" s="2023"/>
      <c r="D38" s="2023"/>
      <c r="E38" s="2023"/>
      <c r="F38" s="2023"/>
      <c r="G38" s="2023"/>
      <c r="H38" s="2024"/>
      <c r="I38" s="2056"/>
      <c r="J38" s="2055"/>
      <c r="K38" s="2023"/>
      <c r="L38" s="2023"/>
      <c r="M38" s="2023"/>
      <c r="N38" s="2023"/>
      <c r="O38" s="2023"/>
      <c r="P38" s="2023"/>
      <c r="Q38" s="2023"/>
      <c r="R38" s="2205">
        <v>21</v>
      </c>
    </row>
    <row r="39" spans="1:18" outlineLevel="1">
      <c r="A39" s="2322">
        <v>22</v>
      </c>
      <c r="B39" s="2025" t="s">
        <v>1163</v>
      </c>
      <c r="C39" s="2023"/>
      <c r="D39" s="2023"/>
      <c r="E39" s="2023"/>
      <c r="F39" s="2023"/>
      <c r="G39" s="2023"/>
      <c r="H39" s="2024"/>
      <c r="I39" s="2056"/>
      <c r="J39" s="2055"/>
      <c r="K39" s="2023"/>
      <c r="L39" s="2023"/>
      <c r="M39" s="2023"/>
      <c r="N39" s="2023"/>
      <c r="O39" s="2023"/>
      <c r="P39" s="2023"/>
      <c r="Q39" s="2023"/>
      <c r="R39" s="2205">
        <v>22</v>
      </c>
    </row>
    <row r="40" spans="1:18" outlineLevel="1">
      <c r="A40" s="2322">
        <v>23</v>
      </c>
      <c r="B40" s="2019"/>
      <c r="C40" s="2023"/>
      <c r="D40" s="2023"/>
      <c r="E40" s="2023"/>
      <c r="F40" s="2023"/>
      <c r="G40" s="2023"/>
      <c r="H40" s="2024"/>
      <c r="I40" s="2056"/>
      <c r="J40" s="2055"/>
      <c r="K40" s="2023"/>
      <c r="L40" s="2023"/>
      <c r="M40" s="2023"/>
      <c r="N40" s="2023"/>
      <c r="O40" s="2023"/>
      <c r="P40" s="2023"/>
      <c r="Q40" s="2023"/>
      <c r="R40" s="2205">
        <v>23</v>
      </c>
    </row>
    <row r="41" spans="1:18" outlineLevel="1">
      <c r="A41" s="2322">
        <v>24</v>
      </c>
      <c r="B41" s="2019"/>
      <c r="C41" s="2023"/>
      <c r="D41" s="2023"/>
      <c r="E41" s="2023"/>
      <c r="F41" s="2023"/>
      <c r="G41" s="2023"/>
      <c r="H41" s="2024"/>
      <c r="I41" s="2056"/>
      <c r="J41" s="2055"/>
      <c r="K41" s="2023"/>
      <c r="L41" s="2023"/>
      <c r="M41" s="2023"/>
      <c r="N41" s="2023"/>
      <c r="O41" s="2023"/>
      <c r="P41" s="2023"/>
      <c r="Q41" s="2023"/>
      <c r="R41" s="2205">
        <v>24</v>
      </c>
    </row>
    <row r="42" spans="1:18" outlineLevel="1">
      <c r="A42" s="2289">
        <v>25</v>
      </c>
      <c r="B42" s="2019"/>
      <c r="C42" s="2023"/>
      <c r="D42" s="2023"/>
      <c r="E42" s="2023"/>
      <c r="F42" s="2023"/>
      <c r="G42" s="2023"/>
      <c r="H42" s="2024"/>
      <c r="I42" s="2056"/>
      <c r="J42" s="2055"/>
      <c r="K42" s="2023"/>
      <c r="L42" s="2023"/>
      <c r="M42" s="2023"/>
      <c r="N42" s="2023"/>
      <c r="O42" s="2023"/>
      <c r="P42" s="2023"/>
      <c r="Q42" s="2023"/>
      <c r="R42" s="2205">
        <v>25</v>
      </c>
    </row>
    <row r="43" spans="1:18" outlineLevel="1">
      <c r="A43" s="2289">
        <v>26</v>
      </c>
      <c r="B43" s="2019"/>
      <c r="C43" s="2023"/>
      <c r="D43" s="2023"/>
      <c r="E43" s="2023"/>
      <c r="F43" s="2023"/>
      <c r="G43" s="2023"/>
      <c r="H43" s="2024"/>
      <c r="I43" s="2056"/>
      <c r="J43" s="2055"/>
      <c r="K43" s="2023"/>
      <c r="L43" s="2023"/>
      <c r="M43" s="2023"/>
      <c r="N43" s="2023"/>
      <c r="O43" s="2023"/>
      <c r="P43" s="2023"/>
      <c r="Q43" s="2023"/>
      <c r="R43" s="2205">
        <v>26</v>
      </c>
    </row>
    <row r="44" spans="1:18" outlineLevel="1">
      <c r="A44" s="2322">
        <v>27</v>
      </c>
      <c r="B44" s="2019"/>
      <c r="C44" s="2023"/>
      <c r="D44" s="2023"/>
      <c r="E44" s="2023"/>
      <c r="F44" s="2023"/>
      <c r="G44" s="2023"/>
      <c r="H44" s="2024"/>
      <c r="I44" s="2056"/>
      <c r="J44" s="2055"/>
      <c r="K44" s="2023"/>
      <c r="L44" s="2023"/>
      <c r="M44" s="2023"/>
      <c r="N44" s="2023"/>
      <c r="O44" s="2023"/>
      <c r="P44" s="2023"/>
      <c r="Q44" s="2023"/>
      <c r="R44" s="2205">
        <v>27</v>
      </c>
    </row>
    <row r="45" spans="1:18" outlineLevel="1">
      <c r="A45" s="2322">
        <v>28</v>
      </c>
      <c r="B45" s="2019"/>
      <c r="C45" s="2023"/>
      <c r="D45" s="2023"/>
      <c r="E45" s="2023"/>
      <c r="F45" s="2023"/>
      <c r="G45" s="2023"/>
      <c r="H45" s="2024"/>
      <c r="I45" s="2056"/>
      <c r="J45" s="2055"/>
      <c r="K45" s="2023"/>
      <c r="L45" s="2023"/>
      <c r="M45" s="2023"/>
      <c r="N45" s="2023"/>
      <c r="O45" s="2023"/>
      <c r="P45" s="2023"/>
      <c r="Q45" s="2023"/>
      <c r="R45" s="2205">
        <v>28</v>
      </c>
    </row>
    <row r="46" spans="1:18" outlineLevel="1">
      <c r="A46" s="2322">
        <v>29</v>
      </c>
      <c r="B46" s="2019"/>
      <c r="C46" s="2023"/>
      <c r="D46" s="2023"/>
      <c r="E46" s="2023"/>
      <c r="F46" s="2023"/>
      <c r="G46" s="2023"/>
      <c r="H46" s="2024"/>
      <c r="I46" s="2056"/>
      <c r="J46" s="2055"/>
      <c r="K46" s="2023"/>
      <c r="L46" s="2023"/>
      <c r="M46" s="2023"/>
      <c r="N46" s="2023"/>
      <c r="O46" s="2023"/>
      <c r="P46" s="2023"/>
      <c r="Q46" s="2023"/>
      <c r="R46" s="2205">
        <v>29</v>
      </c>
    </row>
    <row r="47" spans="1:18" outlineLevel="1">
      <c r="A47" s="2322">
        <v>30</v>
      </c>
      <c r="B47" s="2019"/>
      <c r="C47" s="2023"/>
      <c r="D47" s="2023"/>
      <c r="E47" s="2023"/>
      <c r="F47" s="2023"/>
      <c r="G47" s="2023"/>
      <c r="H47" s="2024"/>
      <c r="I47" s="2056"/>
      <c r="J47" s="2055"/>
      <c r="K47" s="2023"/>
      <c r="L47" s="2023"/>
      <c r="M47" s="2023"/>
      <c r="N47" s="2023"/>
      <c r="O47" s="2023"/>
      <c r="P47" s="2023"/>
      <c r="Q47" s="2023"/>
      <c r="R47" s="2205">
        <v>30</v>
      </c>
    </row>
    <row r="48" spans="1:18" outlineLevel="1">
      <c r="A48" s="2322">
        <v>31</v>
      </c>
      <c r="B48" s="2019"/>
      <c r="C48" s="2023"/>
      <c r="D48" s="2023"/>
      <c r="E48" s="2023"/>
      <c r="F48" s="2023"/>
      <c r="G48" s="2023"/>
      <c r="H48" s="2024"/>
      <c r="I48" s="2056"/>
      <c r="J48" s="2055"/>
      <c r="K48" s="2023"/>
      <c r="L48" s="2023"/>
      <c r="M48" s="2023"/>
      <c r="N48" s="2023"/>
      <c r="O48" s="2023"/>
      <c r="P48" s="2023"/>
      <c r="Q48" s="2023"/>
      <c r="R48" s="2205">
        <v>31</v>
      </c>
    </row>
    <row r="49" spans="1:19" outlineLevel="1">
      <c r="A49" s="2322">
        <v>32</v>
      </c>
      <c r="B49" s="2019"/>
      <c r="C49" s="2023"/>
      <c r="D49" s="2023"/>
      <c r="E49" s="2023"/>
      <c r="F49" s="2023"/>
      <c r="G49" s="2023"/>
      <c r="H49" s="2024"/>
      <c r="I49" s="2056"/>
      <c r="J49" s="2055"/>
      <c r="K49" s="2023"/>
      <c r="L49" s="2023"/>
      <c r="M49" s="2023"/>
      <c r="N49" s="2023"/>
      <c r="O49" s="2023"/>
      <c r="P49" s="2023"/>
      <c r="Q49" s="2023"/>
      <c r="R49" s="2205">
        <v>32</v>
      </c>
    </row>
    <row r="50" spans="1:19" outlineLevel="1">
      <c r="A50" s="2322">
        <v>33</v>
      </c>
      <c r="B50" s="2019"/>
      <c r="C50" s="2023"/>
      <c r="D50" s="2023"/>
      <c r="E50" s="2023"/>
      <c r="F50" s="2023"/>
      <c r="G50" s="2023"/>
      <c r="H50" s="2024"/>
      <c r="I50" s="2056"/>
      <c r="J50" s="2055"/>
      <c r="K50" s="2023"/>
      <c r="L50" s="2023"/>
      <c r="M50" s="2023"/>
      <c r="N50" s="2023"/>
      <c r="O50" s="2023"/>
      <c r="P50" s="2023"/>
      <c r="Q50" s="2023"/>
      <c r="R50" s="2205">
        <v>33</v>
      </c>
    </row>
    <row r="51" spans="1:19" outlineLevel="1">
      <c r="A51" s="2322">
        <v>34</v>
      </c>
      <c r="B51" s="2019"/>
      <c r="C51" s="2023"/>
      <c r="D51" s="2023"/>
      <c r="E51" s="2023"/>
      <c r="F51" s="2023"/>
      <c r="G51" s="2023"/>
      <c r="H51" s="2024"/>
      <c r="I51" s="2056"/>
      <c r="J51" s="2055"/>
      <c r="K51" s="2023"/>
      <c r="L51" s="2023"/>
      <c r="M51" s="2023"/>
      <c r="N51" s="2023"/>
      <c r="O51" s="2023"/>
      <c r="P51" s="2023"/>
      <c r="Q51" s="2023"/>
      <c r="R51" s="2205">
        <v>34</v>
      </c>
    </row>
    <row r="52" spans="1:19" outlineLevel="1">
      <c r="A52" s="2322">
        <v>35</v>
      </c>
      <c r="B52" s="2019"/>
      <c r="C52" s="2023"/>
      <c r="D52" s="2023"/>
      <c r="E52" s="2023"/>
      <c r="F52" s="2023"/>
      <c r="G52" s="2023"/>
      <c r="H52" s="2024"/>
      <c r="I52" s="2056"/>
      <c r="J52" s="2055"/>
      <c r="K52" s="2023"/>
      <c r="L52" s="2023"/>
      <c r="M52" s="2023"/>
      <c r="N52" s="2023"/>
      <c r="O52" s="2023"/>
      <c r="P52" s="2023"/>
      <c r="Q52" s="2023"/>
      <c r="R52" s="2205">
        <v>35</v>
      </c>
    </row>
    <row r="53" spans="1:19" outlineLevel="1">
      <c r="A53" s="2322">
        <v>36</v>
      </c>
      <c r="B53" s="2019"/>
      <c r="C53" s="2023"/>
      <c r="D53" s="2023"/>
      <c r="E53" s="2023"/>
      <c r="F53" s="2023"/>
      <c r="G53" s="2023"/>
      <c r="H53" s="2024"/>
      <c r="I53" s="2056"/>
      <c r="J53" s="2055"/>
      <c r="K53" s="2023"/>
      <c r="L53" s="2023"/>
      <c r="M53" s="2023"/>
      <c r="N53" s="2023"/>
      <c r="O53" s="2023"/>
      <c r="P53" s="2023"/>
      <c r="Q53" s="2023"/>
      <c r="R53" s="2205">
        <v>36</v>
      </c>
    </row>
    <row r="54" spans="1:19" outlineLevel="1">
      <c r="A54" s="2322">
        <v>37</v>
      </c>
      <c r="B54" s="2019"/>
      <c r="C54" s="2023"/>
      <c r="D54" s="2023"/>
      <c r="E54" s="2023"/>
      <c r="F54" s="2023"/>
      <c r="G54" s="2023"/>
      <c r="H54" s="2024"/>
      <c r="I54" s="2056"/>
      <c r="J54" s="2055"/>
      <c r="K54" s="2023"/>
      <c r="L54" s="2023"/>
      <c r="M54" s="2023"/>
      <c r="N54" s="2023"/>
      <c r="O54" s="2023"/>
      <c r="P54" s="2023"/>
      <c r="Q54" s="2023"/>
      <c r="R54" s="2205">
        <v>37</v>
      </c>
    </row>
    <row r="55" spans="1:19" outlineLevel="1">
      <c r="A55" s="2322">
        <v>38</v>
      </c>
      <c r="B55" s="2019"/>
      <c r="C55" s="2023"/>
      <c r="D55" s="2023"/>
      <c r="E55" s="2023"/>
      <c r="F55" s="2023"/>
      <c r="G55" s="2023"/>
      <c r="H55" s="2024"/>
      <c r="I55" s="2056"/>
      <c r="J55" s="2055"/>
      <c r="K55" s="2023"/>
      <c r="L55" s="2023"/>
      <c r="M55" s="2023"/>
      <c r="N55" s="2023"/>
      <c r="O55" s="2023"/>
      <c r="P55" s="2023"/>
      <c r="Q55" s="2023"/>
      <c r="R55" s="2205">
        <v>38</v>
      </c>
    </row>
    <row r="56" spans="1:19" outlineLevel="1">
      <c r="A56" s="2322">
        <v>39</v>
      </c>
      <c r="B56" s="2019"/>
      <c r="C56" s="2023"/>
      <c r="D56" s="2023"/>
      <c r="E56" s="2023"/>
      <c r="F56" s="2023"/>
      <c r="G56" s="2023"/>
      <c r="H56" s="2024"/>
      <c r="I56" s="2056"/>
      <c r="J56" s="2055"/>
      <c r="K56" s="2023"/>
      <c r="L56" s="2023"/>
      <c r="M56" s="2023"/>
      <c r="N56" s="2023"/>
      <c r="O56" s="2023"/>
      <c r="P56" s="2023"/>
      <c r="Q56" s="2023"/>
      <c r="R56" s="2205">
        <v>39</v>
      </c>
    </row>
    <row r="57" spans="1:19" outlineLevel="1">
      <c r="A57" s="2322">
        <v>40</v>
      </c>
      <c r="B57" s="2019"/>
      <c r="C57" s="2023"/>
      <c r="D57" s="2023"/>
      <c r="E57" s="2023"/>
      <c r="F57" s="2023"/>
      <c r="G57" s="2023"/>
      <c r="H57" s="2024"/>
      <c r="I57" s="2056"/>
      <c r="J57" s="2055"/>
      <c r="K57" s="2023"/>
      <c r="L57" s="2023"/>
      <c r="M57" s="2023"/>
      <c r="N57" s="2023"/>
      <c r="O57" s="2023"/>
      <c r="P57" s="2023"/>
      <c r="Q57" s="2023"/>
      <c r="R57" s="2205">
        <v>40</v>
      </c>
    </row>
    <row r="58" spans="1:19" outlineLevel="1">
      <c r="A58" s="2322">
        <v>41</v>
      </c>
      <c r="B58" s="2019"/>
      <c r="C58" s="2023"/>
      <c r="D58" s="2023"/>
      <c r="E58" s="2023"/>
      <c r="F58" s="2023"/>
      <c r="G58" s="2023"/>
      <c r="H58" s="2024"/>
      <c r="I58" s="2056"/>
      <c r="J58" s="2055"/>
      <c r="K58" s="2023"/>
      <c r="L58" s="2023"/>
      <c r="M58" s="2023"/>
      <c r="N58" s="2023"/>
      <c r="O58" s="2023"/>
      <c r="P58" s="2023"/>
      <c r="Q58" s="2023"/>
      <c r="R58" s="2205">
        <v>41</v>
      </c>
    </row>
    <row r="59" spans="1:19" outlineLevel="1">
      <c r="A59" s="2322">
        <v>42</v>
      </c>
      <c r="B59" s="2019"/>
      <c r="C59" s="2023"/>
      <c r="D59" s="2023"/>
      <c r="E59" s="2023"/>
      <c r="F59" s="2023"/>
      <c r="G59" s="2023"/>
      <c r="H59" s="2024"/>
      <c r="I59" s="2056"/>
      <c r="J59" s="2055"/>
      <c r="K59" s="2023"/>
      <c r="L59" s="2023"/>
      <c r="M59" s="2023"/>
      <c r="N59" s="2023"/>
      <c r="O59" s="2023"/>
      <c r="P59" s="2023"/>
      <c r="Q59" s="2023"/>
      <c r="R59" s="2205">
        <v>42</v>
      </c>
    </row>
    <row r="60" spans="1:19" outlineLevel="1">
      <c r="A60" s="2322">
        <v>43</v>
      </c>
      <c r="B60" s="2019"/>
      <c r="C60" s="2023"/>
      <c r="D60" s="2023"/>
      <c r="E60" s="2023"/>
      <c r="F60" s="2023"/>
      <c r="G60" s="2023"/>
      <c r="H60" s="2024"/>
      <c r="I60" s="2056"/>
      <c r="J60" s="2055"/>
      <c r="K60" s="2023"/>
      <c r="L60" s="2023"/>
      <c r="M60" s="2023"/>
      <c r="N60" s="2023"/>
      <c r="O60" s="2023"/>
      <c r="P60" s="2023"/>
      <c r="Q60" s="2023"/>
      <c r="R60" s="2205">
        <v>43</v>
      </c>
    </row>
    <row r="61" spans="1:19" outlineLevel="1">
      <c r="A61" s="2322">
        <v>44</v>
      </c>
      <c r="B61" s="2019"/>
      <c r="C61" s="2023"/>
      <c r="D61" s="2023"/>
      <c r="E61" s="2023"/>
      <c r="F61" s="2023"/>
      <c r="G61" s="2023"/>
      <c r="H61" s="2024"/>
      <c r="I61" s="2056"/>
      <c r="J61" s="2055"/>
      <c r="K61" s="2023"/>
      <c r="L61" s="2023"/>
      <c r="M61" s="2023"/>
      <c r="N61" s="2023"/>
      <c r="O61" s="2023"/>
      <c r="P61" s="2023"/>
      <c r="Q61" s="2023"/>
      <c r="R61" s="2205">
        <v>44</v>
      </c>
      <c r="S61" s="2329"/>
    </row>
    <row r="62" spans="1:19" outlineLevel="1">
      <c r="A62" s="2322">
        <v>45</v>
      </c>
      <c r="B62" s="2019"/>
      <c r="C62" s="2023"/>
      <c r="D62" s="2023"/>
      <c r="E62" s="2023"/>
      <c r="F62" s="2023"/>
      <c r="G62" s="2023"/>
      <c r="H62" s="2024"/>
      <c r="I62" s="2056"/>
      <c r="J62" s="2055"/>
      <c r="K62" s="2023"/>
      <c r="L62" s="2023"/>
      <c r="M62" s="2023"/>
      <c r="N62" s="2023"/>
      <c r="O62" s="2023"/>
      <c r="P62" s="2023"/>
      <c r="Q62" s="2023"/>
      <c r="R62" s="2205">
        <v>45</v>
      </c>
    </row>
    <row r="63" spans="1:19" outlineLevel="1">
      <c r="A63" s="2322">
        <v>46</v>
      </c>
      <c r="B63" s="2019"/>
      <c r="C63" s="2023"/>
      <c r="D63" s="2023"/>
      <c r="E63" s="2023"/>
      <c r="F63" s="2023"/>
      <c r="G63" s="2023"/>
      <c r="H63" s="2024"/>
      <c r="I63" s="2056"/>
      <c r="J63" s="2055"/>
      <c r="K63" s="2023"/>
      <c r="L63" s="2023"/>
      <c r="M63" s="2023"/>
      <c r="N63" s="2023"/>
      <c r="O63" s="2023"/>
      <c r="P63" s="2023"/>
      <c r="Q63" s="2023"/>
      <c r="R63" s="2205">
        <v>46</v>
      </c>
    </row>
    <row r="64" spans="1:19" ht="15.75" thickBot="1">
      <c r="A64" s="2323">
        <v>47</v>
      </c>
      <c r="B64" s="2026" t="s">
        <v>539</v>
      </c>
      <c r="C64" s="2027">
        <f t="shared" ref="C64:Q64" si="0">SUM(C18:C63)</f>
        <v>42278760.240000002</v>
      </c>
      <c r="D64" s="2028">
        <f t="shared" si="0"/>
        <v>6941203</v>
      </c>
      <c r="E64" s="2028">
        <f t="shared" si="0"/>
        <v>67845.000000000015</v>
      </c>
      <c r="F64" s="2027">
        <f t="shared" si="0"/>
        <v>6715871.25</v>
      </c>
      <c r="G64" s="2028">
        <f t="shared" si="0"/>
        <v>1339983.9999999998</v>
      </c>
      <c r="H64" s="2029">
        <f t="shared" si="0"/>
        <v>4869.8673216644647</v>
      </c>
      <c r="I64" s="2324">
        <f t="shared" si="0"/>
        <v>343963.08999999997</v>
      </c>
      <c r="J64" s="2325">
        <f t="shared" si="0"/>
        <v>83815.41</v>
      </c>
      <c r="K64" s="2028">
        <f t="shared" si="0"/>
        <v>25</v>
      </c>
      <c r="L64" s="2027">
        <f t="shared" si="0"/>
        <v>1164409.8399999999</v>
      </c>
      <c r="M64" s="2028">
        <f t="shared" si="0"/>
        <v>0</v>
      </c>
      <c r="N64" s="2028">
        <f t="shared" si="0"/>
        <v>758</v>
      </c>
      <c r="O64" s="2027">
        <f t="shared" si="0"/>
        <v>3203046.11</v>
      </c>
      <c r="P64" s="2028">
        <f t="shared" si="0"/>
        <v>0</v>
      </c>
      <c r="Q64" s="2028">
        <f t="shared" si="0"/>
        <v>74.800000000000026</v>
      </c>
      <c r="R64" s="2326">
        <v>47</v>
      </c>
      <c r="S64" s="2329"/>
    </row>
    <row r="65" spans="1:18">
      <c r="A65" s="2327" t="s">
        <v>4066</v>
      </c>
      <c r="C65" s="2328"/>
      <c r="D65" s="2329"/>
      <c r="E65" s="2328"/>
      <c r="F65" s="2328"/>
      <c r="G65" s="2329"/>
      <c r="I65" s="2328"/>
      <c r="J65" s="2330"/>
      <c r="K65" s="2331"/>
      <c r="L65" s="2428"/>
      <c r="M65" s="2429"/>
      <c r="N65" s="2429"/>
      <c r="O65" s="2429"/>
      <c r="P65" s="2331"/>
      <c r="Q65" s="2030" t="s">
        <v>4066</v>
      </c>
    </row>
    <row r="66" spans="1:18">
      <c r="A66" s="2270" t="s">
        <v>540</v>
      </c>
      <c r="B66" s="2270"/>
      <c r="C66" s="2270"/>
      <c r="D66" s="2270"/>
      <c r="E66" s="2270"/>
      <c r="F66" s="2270"/>
      <c r="G66" s="2270"/>
      <c r="H66" s="2270"/>
      <c r="I66" s="2270" t="s">
        <v>541</v>
      </c>
      <c r="J66" s="2270"/>
      <c r="K66" s="2270"/>
      <c r="L66" s="2332"/>
      <c r="M66" s="2270"/>
      <c r="N66" s="2270"/>
      <c r="O66" s="2270"/>
      <c r="P66" s="2270"/>
      <c r="Q66" s="2270"/>
      <c r="R66" s="2270"/>
    </row>
    <row r="67" spans="1:18" ht="15.75" thickBot="1">
      <c r="A67" s="2267" t="str">
        <f>+A1</f>
        <v>Annual Report of New York American Water Company, Inc. (f/k/a Long Island Water Corp)                                   Year Ended  December 31, 2013</v>
      </c>
      <c r="H67" s="2268"/>
    </row>
    <row r="68" spans="1:18">
      <c r="A68" s="2271"/>
      <c r="B68" s="2272"/>
      <c r="C68" s="2272"/>
      <c r="D68" s="2272"/>
      <c r="E68" s="2272"/>
      <c r="F68" s="2272"/>
      <c r="G68" s="2272"/>
      <c r="H68" s="2273"/>
    </row>
    <row r="69" spans="1:18" ht="15.75">
      <c r="A69" s="2274" t="s">
        <v>3255</v>
      </c>
      <c r="B69" s="2275"/>
      <c r="C69" s="2275"/>
      <c r="D69" s="2275"/>
      <c r="E69" s="2275"/>
      <c r="F69" s="2275"/>
      <c r="G69" s="2275"/>
      <c r="H69" s="2276"/>
    </row>
    <row r="70" spans="1:18" ht="15.75">
      <c r="A70" s="2280"/>
      <c r="B70" s="2281"/>
      <c r="C70" s="2281"/>
      <c r="D70" s="2278" t="s">
        <v>3608</v>
      </c>
      <c r="E70" s="2281"/>
      <c r="F70" s="2281"/>
      <c r="G70" s="2281"/>
      <c r="H70" s="2282"/>
    </row>
    <row r="71" spans="1:18">
      <c r="A71" s="2283"/>
      <c r="B71" s="2284"/>
      <c r="C71" s="2285"/>
      <c r="D71" s="2285"/>
      <c r="E71" s="2284"/>
      <c r="F71" s="2285"/>
      <c r="G71" s="2285"/>
      <c r="H71" s="2286"/>
    </row>
    <row r="72" spans="1:18">
      <c r="A72" s="2289"/>
      <c r="B72" s="2019"/>
      <c r="C72" s="2270" t="s">
        <v>4304</v>
      </c>
      <c r="D72" s="2270"/>
      <c r="E72" s="2290"/>
      <c r="F72" s="2270" t="s">
        <v>4306</v>
      </c>
      <c r="G72" s="2270"/>
      <c r="H72" s="2291"/>
    </row>
    <row r="73" spans="1:18">
      <c r="A73" s="2289"/>
      <c r="B73" s="2019"/>
      <c r="C73" s="2293"/>
      <c r="D73" s="2293"/>
      <c r="E73" s="2294"/>
      <c r="F73" s="2293"/>
      <c r="G73" s="2293"/>
      <c r="H73" s="2295"/>
    </row>
    <row r="74" spans="1:18">
      <c r="A74" s="2289"/>
      <c r="B74" s="2019"/>
      <c r="C74" s="2019"/>
      <c r="D74" s="2019"/>
      <c r="E74" s="2298" t="s">
        <v>2989</v>
      </c>
      <c r="F74" s="2019"/>
      <c r="G74" s="2019"/>
      <c r="H74" s="2205" t="s">
        <v>2989</v>
      </c>
    </row>
    <row r="75" spans="1:18">
      <c r="A75" s="2289" t="s">
        <v>1129</v>
      </c>
      <c r="B75" s="2298" t="s">
        <v>1558</v>
      </c>
      <c r="C75" s="2298" t="s">
        <v>1559</v>
      </c>
      <c r="D75" s="2298" t="s">
        <v>2988</v>
      </c>
      <c r="E75" s="2298" t="s">
        <v>1560</v>
      </c>
      <c r="F75" s="2298" t="s">
        <v>1559</v>
      </c>
      <c r="G75" s="2298" t="s">
        <v>2988</v>
      </c>
      <c r="H75" s="2205" t="s">
        <v>1560</v>
      </c>
    </row>
    <row r="76" spans="1:18">
      <c r="A76" s="2289" t="s">
        <v>3324</v>
      </c>
      <c r="B76" s="2298" t="s">
        <v>1561</v>
      </c>
      <c r="C76" s="2298" t="s">
        <v>2013</v>
      </c>
      <c r="D76" s="2298" t="s">
        <v>2419</v>
      </c>
      <c r="E76" s="2298" t="s">
        <v>2381</v>
      </c>
      <c r="F76" s="2298" t="s">
        <v>2013</v>
      </c>
      <c r="G76" s="2298" t="s">
        <v>2419</v>
      </c>
      <c r="H76" s="2205" t="s">
        <v>2381</v>
      </c>
    </row>
    <row r="77" spans="1:18">
      <c r="A77" s="2289"/>
      <c r="B77" s="2298" t="s">
        <v>4032</v>
      </c>
      <c r="C77" s="2298" t="s">
        <v>4033</v>
      </c>
      <c r="D77" s="2298" t="s">
        <v>4034</v>
      </c>
      <c r="E77" s="2298" t="s">
        <v>1562</v>
      </c>
      <c r="F77" s="2298" t="s">
        <v>2277</v>
      </c>
      <c r="G77" s="2298" t="s">
        <v>2278</v>
      </c>
      <c r="H77" s="2205" t="s">
        <v>1563</v>
      </c>
    </row>
    <row r="78" spans="1:18">
      <c r="A78" s="2300"/>
      <c r="B78" s="2301"/>
      <c r="C78" s="2297"/>
      <c r="D78" s="2297"/>
      <c r="E78" s="2297"/>
      <c r="F78" s="2297"/>
      <c r="G78" s="2297"/>
      <c r="H78" s="2282"/>
    </row>
    <row r="79" spans="1:18" outlineLevel="1">
      <c r="A79" s="2289">
        <v>1</v>
      </c>
      <c r="B79" s="2306" t="s">
        <v>108</v>
      </c>
      <c r="C79" s="2333">
        <v>14923.85</v>
      </c>
      <c r="D79" s="2423">
        <v>2552.8000000000002</v>
      </c>
      <c r="E79" s="2311">
        <v>15</v>
      </c>
      <c r="F79" s="2054"/>
      <c r="G79" s="2023"/>
      <c r="H79" s="2024"/>
    </row>
    <row r="80" spans="1:18" outlineLevel="1">
      <c r="A80" s="2322">
        <v>2</v>
      </c>
      <c r="B80" s="2314" t="s">
        <v>109</v>
      </c>
      <c r="C80" s="2333">
        <v>59240.38</v>
      </c>
      <c r="D80" s="2426">
        <v>12583.43</v>
      </c>
      <c r="E80" s="2319">
        <v>12</v>
      </c>
      <c r="F80" s="2023"/>
      <c r="G80" s="2023"/>
      <c r="H80" s="2024"/>
    </row>
    <row r="81" spans="1:8" outlineLevel="1">
      <c r="A81" s="2322">
        <v>3</v>
      </c>
      <c r="B81" s="2314" t="s">
        <v>110</v>
      </c>
      <c r="C81" s="2333">
        <v>653762.27</v>
      </c>
      <c r="D81" s="2426">
        <v>165560.62</v>
      </c>
      <c r="E81" s="2319">
        <v>21</v>
      </c>
      <c r="F81" s="2023"/>
      <c r="G81" s="2023"/>
      <c r="H81" s="2024"/>
    </row>
    <row r="82" spans="1:8" outlineLevel="1">
      <c r="A82" s="2322">
        <v>4</v>
      </c>
      <c r="B82" s="2314" t="s">
        <v>1018</v>
      </c>
      <c r="C82" s="2333">
        <v>1812481.6</v>
      </c>
      <c r="D82" s="2426">
        <v>423016.6</v>
      </c>
      <c r="E82" s="2319">
        <v>199</v>
      </c>
      <c r="F82" s="2023"/>
      <c r="G82" s="2023"/>
      <c r="H82" s="2024"/>
    </row>
    <row r="83" spans="1:8" outlineLevel="1">
      <c r="A83" s="2322">
        <v>5</v>
      </c>
      <c r="B83" s="2314" t="s">
        <v>111</v>
      </c>
      <c r="C83" s="2333">
        <v>1270.03</v>
      </c>
      <c r="D83" s="2426">
        <v>138.69999999999999</v>
      </c>
      <c r="E83" s="2319">
        <v>2</v>
      </c>
      <c r="F83" s="2023"/>
      <c r="G83" s="2023"/>
      <c r="H83" s="2024"/>
    </row>
    <row r="84" spans="1:8" outlineLevel="1">
      <c r="A84" s="2322">
        <v>6</v>
      </c>
      <c r="B84" s="2314" t="s">
        <v>112</v>
      </c>
      <c r="C84" s="2333">
        <v>195.75</v>
      </c>
      <c r="D84" s="2426">
        <v>9.8000000000000007</v>
      </c>
      <c r="E84" s="2319">
        <v>1</v>
      </c>
      <c r="F84" s="2023"/>
      <c r="G84" s="2023"/>
      <c r="H84" s="2024"/>
    </row>
    <row r="85" spans="1:8" outlineLevel="1">
      <c r="A85" s="2322">
        <v>7</v>
      </c>
      <c r="B85" s="2314" t="s">
        <v>114</v>
      </c>
      <c r="C85" s="2333">
        <v>3911.38</v>
      </c>
      <c r="D85" s="2426">
        <v>543.1</v>
      </c>
      <c r="E85" s="2319">
        <v>5</v>
      </c>
      <c r="F85" s="2023"/>
      <c r="G85" s="2023"/>
      <c r="H85" s="2024"/>
    </row>
    <row r="86" spans="1:8" outlineLevel="1">
      <c r="A86" s="2322">
        <v>8</v>
      </c>
      <c r="B86" s="2314" t="s">
        <v>115</v>
      </c>
      <c r="C86" s="2333">
        <v>30842.75</v>
      </c>
      <c r="D86" s="2426">
        <v>6467.01</v>
      </c>
      <c r="E86" s="2319">
        <v>11</v>
      </c>
      <c r="F86" s="2023"/>
      <c r="G86" s="2023"/>
      <c r="H86" s="2024"/>
    </row>
    <row r="87" spans="1:8" outlineLevel="1">
      <c r="A87" s="2322">
        <v>9</v>
      </c>
      <c r="B87" s="2314" t="s">
        <v>116</v>
      </c>
      <c r="C87" s="2333">
        <v>45827.21</v>
      </c>
      <c r="D87" s="2426">
        <v>7889.03</v>
      </c>
      <c r="E87" s="2319">
        <v>29</v>
      </c>
      <c r="F87" s="2023"/>
      <c r="G87" s="2023"/>
      <c r="H87" s="2024"/>
    </row>
    <row r="88" spans="1:8" outlineLevel="1">
      <c r="A88" s="2322">
        <v>10</v>
      </c>
      <c r="B88" s="2314" t="s">
        <v>117</v>
      </c>
      <c r="C88" s="2333">
        <v>67630.34</v>
      </c>
      <c r="D88" s="2426">
        <v>14127.43</v>
      </c>
      <c r="E88" s="2319">
        <v>21</v>
      </c>
      <c r="F88" s="2023"/>
      <c r="G88" s="2023"/>
      <c r="H88" s="2024"/>
    </row>
    <row r="89" spans="1:8" outlineLevel="1">
      <c r="A89" s="2322">
        <v>11</v>
      </c>
      <c r="B89" s="2314" t="s">
        <v>118</v>
      </c>
      <c r="C89" s="2333">
        <v>92207.61</v>
      </c>
      <c r="D89" s="2426">
        <v>16423</v>
      </c>
      <c r="E89" s="2319">
        <v>36</v>
      </c>
      <c r="F89" s="2023"/>
      <c r="G89" s="2023"/>
      <c r="H89" s="2024"/>
    </row>
    <row r="90" spans="1:8" outlineLevel="1">
      <c r="A90" s="2322">
        <v>12</v>
      </c>
      <c r="B90" s="2314" t="s">
        <v>113</v>
      </c>
      <c r="C90" s="2333">
        <v>437.24</v>
      </c>
      <c r="D90" s="2426">
        <v>64</v>
      </c>
      <c r="E90" s="2319">
        <v>1</v>
      </c>
      <c r="F90" s="2023"/>
      <c r="G90" s="2023"/>
      <c r="H90" s="2024"/>
    </row>
    <row r="91" spans="1:8" outlineLevel="1">
      <c r="A91" s="2322">
        <v>13</v>
      </c>
      <c r="B91" s="2314" t="s">
        <v>119</v>
      </c>
      <c r="C91" s="2335"/>
      <c r="D91" s="2334"/>
      <c r="E91" s="2336"/>
      <c r="F91" s="2023"/>
      <c r="G91" s="2023"/>
      <c r="H91" s="2024"/>
    </row>
    <row r="92" spans="1:8" outlineLevel="1">
      <c r="A92" s="2322">
        <v>14</v>
      </c>
      <c r="B92" s="2019"/>
      <c r="C92" s="2023"/>
      <c r="D92" s="2023"/>
      <c r="E92" s="2023"/>
      <c r="F92" s="2023"/>
      <c r="G92" s="2023"/>
      <c r="H92" s="2024"/>
    </row>
    <row r="93" spans="1:8" outlineLevel="1">
      <c r="A93" s="2322">
        <v>15</v>
      </c>
      <c r="B93" s="2019"/>
      <c r="C93" s="2023"/>
      <c r="D93" s="2023"/>
      <c r="E93" s="2023"/>
      <c r="F93" s="2023"/>
      <c r="G93" s="2023"/>
      <c r="H93" s="2024"/>
    </row>
    <row r="94" spans="1:8" outlineLevel="1">
      <c r="A94" s="2322">
        <v>16</v>
      </c>
      <c r="B94" s="2019" t="s">
        <v>625</v>
      </c>
      <c r="C94" s="2023"/>
      <c r="D94" s="2023"/>
      <c r="E94" s="2023"/>
      <c r="F94" s="2023"/>
      <c r="G94" s="2023"/>
      <c r="H94" s="2024"/>
    </row>
    <row r="95" spans="1:8" outlineLevel="1">
      <c r="A95" s="2322">
        <v>17</v>
      </c>
      <c r="B95" s="2019" t="s">
        <v>626</v>
      </c>
      <c r="C95" s="2023"/>
      <c r="D95" s="2023"/>
      <c r="E95" s="2023"/>
      <c r="F95" s="2023"/>
      <c r="G95" s="2023"/>
      <c r="H95" s="2024"/>
    </row>
    <row r="96" spans="1:8" outlineLevel="1">
      <c r="A96" s="2322">
        <v>18</v>
      </c>
      <c r="B96" s="2019" t="s">
        <v>627</v>
      </c>
      <c r="C96" s="2023"/>
      <c r="D96" s="2023"/>
      <c r="E96" s="2023"/>
      <c r="F96" s="2023"/>
      <c r="G96" s="2023"/>
      <c r="H96" s="2024"/>
    </row>
    <row r="97" spans="1:8" outlineLevel="1">
      <c r="A97" s="2322">
        <v>19</v>
      </c>
      <c r="B97" s="2019"/>
      <c r="C97" s="2023"/>
      <c r="D97" s="2023"/>
      <c r="E97" s="2023"/>
      <c r="F97" s="2023"/>
      <c r="G97" s="2023"/>
      <c r="H97" s="2024"/>
    </row>
    <row r="98" spans="1:8" outlineLevel="1">
      <c r="A98" s="2322">
        <v>20</v>
      </c>
      <c r="B98" s="2019" t="s">
        <v>628</v>
      </c>
      <c r="C98" s="2023"/>
      <c r="D98" s="2023"/>
      <c r="E98" s="2023"/>
      <c r="F98" s="2023"/>
      <c r="G98" s="2023"/>
      <c r="H98" s="2024"/>
    </row>
    <row r="99" spans="1:8" outlineLevel="1">
      <c r="A99" s="2322">
        <v>21</v>
      </c>
      <c r="B99" s="2019" t="s">
        <v>538</v>
      </c>
      <c r="C99" s="2023"/>
      <c r="D99" s="2023"/>
      <c r="E99" s="2023"/>
      <c r="F99" s="2023"/>
      <c r="G99" s="2023"/>
      <c r="H99" s="2024"/>
    </row>
    <row r="100" spans="1:8" outlineLevel="1">
      <c r="A100" s="2322">
        <v>22</v>
      </c>
      <c r="B100" s="2025" t="s">
        <v>1163</v>
      </c>
      <c r="C100" s="2023"/>
      <c r="D100" s="2023"/>
      <c r="E100" s="2023"/>
      <c r="F100" s="2023"/>
      <c r="G100" s="2023"/>
      <c r="H100" s="2024"/>
    </row>
    <row r="101" spans="1:8" outlineLevel="1">
      <c r="A101" s="2322">
        <v>23</v>
      </c>
      <c r="B101" s="2019"/>
      <c r="C101" s="2023"/>
      <c r="D101" s="2023"/>
      <c r="E101" s="2023"/>
      <c r="F101" s="2023"/>
      <c r="G101" s="2023"/>
      <c r="H101" s="2024"/>
    </row>
    <row r="102" spans="1:8" outlineLevel="1">
      <c r="A102" s="2322">
        <v>24</v>
      </c>
      <c r="B102" s="2019"/>
      <c r="C102" s="2023"/>
      <c r="D102" s="2023"/>
      <c r="E102" s="2023"/>
      <c r="F102" s="2023"/>
      <c r="G102" s="2023"/>
      <c r="H102" s="2024"/>
    </row>
    <row r="103" spans="1:8" outlineLevel="1">
      <c r="A103" s="2289">
        <v>25</v>
      </c>
      <c r="B103" s="2019"/>
      <c r="C103" s="2023"/>
      <c r="D103" s="2023"/>
      <c r="E103" s="2023"/>
      <c r="F103" s="2023"/>
      <c r="G103" s="2023"/>
      <c r="H103" s="2024"/>
    </row>
    <row r="104" spans="1:8" outlineLevel="1">
      <c r="A104" s="2289">
        <v>26</v>
      </c>
      <c r="B104" s="2019"/>
      <c r="C104" s="2023"/>
      <c r="D104" s="2023"/>
      <c r="E104" s="2023"/>
      <c r="F104" s="2023"/>
      <c r="G104" s="2023"/>
      <c r="H104" s="2024"/>
    </row>
    <row r="105" spans="1:8" outlineLevel="1">
      <c r="A105" s="2322">
        <v>27</v>
      </c>
      <c r="B105" s="2019"/>
      <c r="C105" s="2023"/>
      <c r="D105" s="2023"/>
      <c r="E105" s="2023"/>
      <c r="F105" s="2023"/>
      <c r="G105" s="2023"/>
      <c r="H105" s="2024"/>
    </row>
    <row r="106" spans="1:8" outlineLevel="1">
      <c r="A106" s="2322">
        <v>28</v>
      </c>
      <c r="B106" s="2019"/>
      <c r="C106" s="2023"/>
      <c r="D106" s="2023"/>
      <c r="E106" s="2023"/>
      <c r="F106" s="2023"/>
      <c r="G106" s="2023"/>
      <c r="H106" s="2024"/>
    </row>
    <row r="107" spans="1:8" outlineLevel="1">
      <c r="A107" s="2322">
        <v>29</v>
      </c>
      <c r="B107" s="2019"/>
      <c r="C107" s="2023"/>
      <c r="D107" s="2023"/>
      <c r="E107" s="2023"/>
      <c r="F107" s="2023"/>
      <c r="G107" s="2023"/>
      <c r="H107" s="2024"/>
    </row>
    <row r="108" spans="1:8" outlineLevel="1">
      <c r="A108" s="2322">
        <v>30</v>
      </c>
      <c r="B108" s="2019"/>
      <c r="C108" s="2023"/>
      <c r="D108" s="2023"/>
      <c r="E108" s="2023"/>
      <c r="F108" s="2023"/>
      <c r="G108" s="2023"/>
      <c r="H108" s="2024"/>
    </row>
    <row r="109" spans="1:8" outlineLevel="1">
      <c r="A109" s="2322">
        <v>31</v>
      </c>
      <c r="B109" s="2019"/>
      <c r="C109" s="2023"/>
      <c r="D109" s="2023"/>
      <c r="E109" s="2023"/>
      <c r="F109" s="2023"/>
      <c r="G109" s="2023"/>
      <c r="H109" s="2024"/>
    </row>
    <row r="110" spans="1:8" outlineLevel="1">
      <c r="A110" s="2322">
        <v>32</v>
      </c>
      <c r="B110" s="2019"/>
      <c r="C110" s="2023"/>
      <c r="D110" s="2023"/>
      <c r="E110" s="2023"/>
      <c r="F110" s="2023"/>
      <c r="G110" s="2023"/>
      <c r="H110" s="2024"/>
    </row>
    <row r="111" spans="1:8" outlineLevel="1">
      <c r="A111" s="2322">
        <v>33</v>
      </c>
      <c r="B111" s="2019"/>
      <c r="C111" s="2023"/>
      <c r="D111" s="2023"/>
      <c r="E111" s="2023"/>
      <c r="F111" s="2023"/>
      <c r="G111" s="2023"/>
      <c r="H111" s="2024"/>
    </row>
    <row r="112" spans="1:8" outlineLevel="1">
      <c r="A112" s="2322">
        <v>34</v>
      </c>
      <c r="B112" s="2019"/>
      <c r="C112" s="2023"/>
      <c r="D112" s="2023"/>
      <c r="E112" s="2023"/>
      <c r="F112" s="2023"/>
      <c r="G112" s="2023"/>
      <c r="H112" s="2024"/>
    </row>
    <row r="113" spans="1:8" outlineLevel="1">
      <c r="A113" s="2322">
        <v>35</v>
      </c>
      <c r="B113" s="2019"/>
      <c r="C113" s="2023"/>
      <c r="D113" s="2023"/>
      <c r="E113" s="2023"/>
      <c r="F113" s="2023"/>
      <c r="G113" s="2023"/>
      <c r="H113" s="2024"/>
    </row>
    <row r="114" spans="1:8" outlineLevel="1">
      <c r="A114" s="2322">
        <v>36</v>
      </c>
      <c r="B114" s="2019"/>
      <c r="C114" s="2023"/>
      <c r="D114" s="2023"/>
      <c r="E114" s="2023"/>
      <c r="F114" s="2023"/>
      <c r="G114" s="2023"/>
      <c r="H114" s="2024"/>
    </row>
    <row r="115" spans="1:8" outlineLevel="1">
      <c r="A115" s="2322">
        <v>37</v>
      </c>
      <c r="B115" s="2019"/>
      <c r="C115" s="2023"/>
      <c r="D115" s="2023"/>
      <c r="E115" s="2023"/>
      <c r="F115" s="2023"/>
      <c r="G115" s="2023"/>
      <c r="H115" s="2024"/>
    </row>
    <row r="116" spans="1:8" outlineLevel="1">
      <c r="A116" s="2322">
        <v>38</v>
      </c>
      <c r="B116" s="2019"/>
      <c r="C116" s="2023"/>
      <c r="D116" s="2023"/>
      <c r="E116" s="2023"/>
      <c r="F116" s="2023"/>
      <c r="G116" s="2023"/>
      <c r="H116" s="2024"/>
    </row>
    <row r="117" spans="1:8" outlineLevel="1">
      <c r="A117" s="2322">
        <v>39</v>
      </c>
      <c r="B117" s="2019"/>
      <c r="C117" s="2023"/>
      <c r="D117" s="2023"/>
      <c r="E117" s="2023"/>
      <c r="F117" s="2023"/>
      <c r="G117" s="2023"/>
      <c r="H117" s="2024"/>
    </row>
    <row r="118" spans="1:8" outlineLevel="1">
      <c r="A118" s="2322">
        <v>40</v>
      </c>
      <c r="B118" s="2019"/>
      <c r="C118" s="2023"/>
      <c r="D118" s="2023"/>
      <c r="E118" s="2023"/>
      <c r="F118" s="2023"/>
      <c r="G118" s="2023"/>
      <c r="H118" s="2024"/>
    </row>
    <row r="119" spans="1:8" outlineLevel="1">
      <c r="A119" s="2322">
        <v>41</v>
      </c>
      <c r="B119" s="2019"/>
      <c r="C119" s="2023"/>
      <c r="D119" s="2023"/>
      <c r="E119" s="2023"/>
      <c r="F119" s="2023"/>
      <c r="G119" s="2023"/>
      <c r="H119" s="2024"/>
    </row>
    <row r="120" spans="1:8" outlineLevel="1">
      <c r="A120" s="2322">
        <v>42</v>
      </c>
      <c r="B120" s="2019"/>
      <c r="C120" s="2023"/>
      <c r="D120" s="2023"/>
      <c r="E120" s="2023"/>
      <c r="F120" s="2023"/>
      <c r="G120" s="2023"/>
      <c r="H120" s="2024"/>
    </row>
    <row r="121" spans="1:8" outlineLevel="1">
      <c r="A121" s="2322">
        <v>43</v>
      </c>
      <c r="B121" s="2019"/>
      <c r="C121" s="2023"/>
      <c r="D121" s="2023"/>
      <c r="E121" s="2023"/>
      <c r="F121" s="2023"/>
      <c r="G121" s="2023"/>
      <c r="H121" s="2024"/>
    </row>
    <row r="122" spans="1:8" outlineLevel="1">
      <c r="A122" s="2322">
        <v>44</v>
      </c>
      <c r="B122" s="2019"/>
      <c r="C122" s="2023"/>
      <c r="D122" s="2023"/>
      <c r="E122" s="2023"/>
      <c r="F122" s="2023"/>
      <c r="G122" s="2023"/>
      <c r="H122" s="2024"/>
    </row>
    <row r="123" spans="1:8" outlineLevel="1">
      <c r="A123" s="2322">
        <v>45</v>
      </c>
      <c r="B123" s="2019"/>
      <c r="C123" s="2023"/>
      <c r="D123" s="2023"/>
      <c r="E123" s="2023"/>
      <c r="F123" s="2023"/>
      <c r="G123" s="2023"/>
      <c r="H123" s="2024"/>
    </row>
    <row r="124" spans="1:8" outlineLevel="1">
      <c r="A124" s="2322">
        <v>46</v>
      </c>
      <c r="B124" s="2019"/>
      <c r="C124" s="2023"/>
      <c r="D124" s="2023"/>
      <c r="E124" s="2023"/>
      <c r="F124" s="2023"/>
      <c r="G124" s="2023"/>
      <c r="H124" s="2024"/>
    </row>
    <row r="125" spans="1:8" ht="15.75" thickBot="1">
      <c r="A125" s="2323">
        <v>47</v>
      </c>
      <c r="B125" s="2026" t="s">
        <v>539</v>
      </c>
      <c r="C125" s="2027">
        <f t="shared" ref="C125:H125" si="1">SUM(C79:C124)</f>
        <v>2782730.4099999997</v>
      </c>
      <c r="D125" s="2028">
        <f t="shared" si="1"/>
        <v>649375.52</v>
      </c>
      <c r="E125" s="2028">
        <f t="shared" si="1"/>
        <v>353</v>
      </c>
      <c r="F125" s="2027">
        <f t="shared" si="1"/>
        <v>0</v>
      </c>
      <c r="G125" s="2028">
        <f t="shared" si="1"/>
        <v>0</v>
      </c>
      <c r="H125" s="2029">
        <f t="shared" si="1"/>
        <v>0</v>
      </c>
    </row>
    <row r="126" spans="1:8">
      <c r="A126" s="2327" t="s">
        <v>4066</v>
      </c>
      <c r="C126" s="2328"/>
      <c r="D126" s="2329"/>
    </row>
    <row r="127" spans="1:8">
      <c r="A127" s="2270" t="s">
        <v>542</v>
      </c>
      <c r="B127" s="2270"/>
      <c r="C127" s="2270"/>
      <c r="D127" s="2270"/>
      <c r="E127" s="2270"/>
      <c r="F127" s="2270"/>
      <c r="G127" s="2270"/>
      <c r="H127" s="2270"/>
    </row>
    <row r="129" spans="2:4">
      <c r="C129" s="2328"/>
      <c r="D129" s="2430"/>
    </row>
    <row r="130" spans="2:4">
      <c r="C130" s="2328"/>
      <c r="D130" s="2430"/>
    </row>
    <row r="131" spans="2:4">
      <c r="B131" s="2337"/>
      <c r="C131" s="2337"/>
    </row>
    <row r="134" spans="2:4">
      <c r="C134" s="2328"/>
    </row>
    <row r="135" spans="2:4">
      <c r="C135" s="2431"/>
    </row>
    <row r="136" spans="2:4">
      <c r="C136" s="2328"/>
    </row>
    <row r="137" spans="2:4">
      <c r="C137" s="2328"/>
    </row>
    <row r="138" spans="2:4">
      <c r="C138" s="2328"/>
    </row>
  </sheetData>
  <customSheetViews>
    <customSheetView guid="{1BA452AD-1A45-4D9C-9666-ADFFA6F2F567}" scale="80" colorId="22" showPageBreaks="1" printArea="1" view="pageBreakPreview">
      <pane ySplit="17" topLeftCell="A39" activePane="bottomLeft" state="frozen"/>
      <selection pane="bottomLeft"/>
      <rowBreaks count="1" manualBreakCount="1">
        <brk id="66" max="17" man="1"/>
      </rowBreaks>
      <colBreaks count="1" manualBreakCount="1">
        <brk id="8" max="126" man="1"/>
      </colBreaks>
      <pageMargins left="0.4" right="0.4" top="0.3" bottom="0.3" header="0.5" footer="0.5"/>
      <printOptions horizontalCentered="1"/>
      <pageSetup scale="61" fitToWidth="4" fitToHeight="4" pageOrder="overThenDown" orientation="portrait" r:id="rId1"/>
      <headerFooter alignWithMargins="0"/>
    </customSheetView>
    <customSheetView guid="{EEF7ABD6-0F96-4791-B749-C06F707E7673}" scale="60" colorId="22" showPageBreaks="1" printArea="1" view="pageBreakPreview" showRuler="0">
      <pane ySplit="17" topLeftCell="A18" activePane="bottomLeft" state="frozen"/>
      <selection pane="bottomLeft" activeCell="E38" sqref="E38"/>
      <rowBreaks count="1" manualBreakCount="1">
        <brk id="67" max="17" man="1"/>
      </rowBreaks>
      <colBreaks count="1" manualBreakCount="1">
        <brk id="8" max="126" man="1"/>
      </colBreaks>
      <pageMargins left="0.4" right="0.4" top="0.3" bottom="0.3" header="0.5" footer="0.5"/>
      <printOptions horizontalCentered="1"/>
      <pageSetup scale="61" fitToWidth="4" fitToHeight="4" pageOrder="overThenDown" orientation="portrait" r:id="rId2"/>
      <headerFooter alignWithMargins="0"/>
    </customSheetView>
    <customSheetView guid="{A7D7DB3C-AFE6-468E-8C6B-9531F6711497}" scale="60" colorId="22" showPageBreaks="1" view="pageBreakPreview" showRuler="0">
      <pane ySplit="17" topLeftCell="A18" activePane="bottomLeft" state="frozen"/>
      <selection pane="bottomLeft" activeCell="A5" sqref="A5:H5"/>
      <rowBreaks count="1" manualBreakCount="1">
        <brk id="66" max="16383" man="1"/>
      </rowBreaks>
      <colBreaks count="1" manualBreakCount="1">
        <brk id="8" max="1048575" man="1"/>
      </colBreaks>
      <pageMargins left="0.4" right="0.4" top="0.3" bottom="0.3" header="0.5" footer="0.5"/>
      <printOptions horizontalCentered="1"/>
      <pageSetup scale="66" fitToWidth="3" pageOrder="overThenDown" orientation="portrait" r:id="rId3"/>
      <headerFooter alignWithMargins="0"/>
    </customSheetView>
    <customSheetView guid="{4436FEB5-BFEC-4348-9286-CB706802873E}" scale="60" colorId="22" showPageBreaks="1" view="pageBreakPreview" showRuler="0">
      <pane ySplit="17" topLeftCell="A18" activePane="bottomLeft" state="frozen"/>
      <selection pane="bottomLeft" activeCell="A5" sqref="A5:H5"/>
      <rowBreaks count="1" manualBreakCount="1">
        <brk id="66" max="16383" man="1"/>
      </rowBreaks>
      <colBreaks count="1" manualBreakCount="1">
        <brk id="8" max="1048575" man="1"/>
      </colBreaks>
      <pageMargins left="0.4" right="0.4" top="0.3" bottom="0.3" header="0.5" footer="0.5"/>
      <printOptions horizontalCentered="1"/>
      <pageSetup scale="66" fitToWidth="3" pageOrder="overThenDown" orientation="portrait" r:id="rId4"/>
      <headerFooter alignWithMargins="0"/>
    </customSheetView>
    <customSheetView guid="{044CF00C-469F-44B3-B2C4-9B4049CE70CB}" scale="75" colorId="22" showRuler="0">
      <selection activeCell="Q30" sqref="Q30"/>
      <rowBreaks count="1" manualBreakCount="1">
        <brk id="66" max="16383" man="1"/>
      </rowBreaks>
      <colBreaks count="1" manualBreakCount="1">
        <brk id="8" max="1048575" man="1"/>
      </colBreaks>
      <pageMargins left="0.4" right="0.4" top="0.3" bottom="0.3" header="0.5" footer="0.5"/>
      <printOptions horizontalCentered="1"/>
      <pageSetup scale="66" fitToWidth="3" pageOrder="overThenDown" orientation="portrait" r:id="rId5"/>
      <headerFooter alignWithMargins="0"/>
    </customSheetView>
    <customSheetView guid="{4826FCC0-BDD6-4B2C-ACC6-ACE271DDF0E3}" scale="60" colorId="22" showPageBreaks="1" printArea="1" view="pageBreakPreview" showRuler="0">
      <pane ySplit="17" topLeftCell="A18" activePane="bottomLeft" state="frozen"/>
      <selection pane="bottomLeft" activeCell="E38" sqref="E38"/>
      <rowBreaks count="1" manualBreakCount="1">
        <brk id="67" max="17" man="1"/>
      </rowBreaks>
      <colBreaks count="1" manualBreakCount="1">
        <brk id="8" max="126" man="1"/>
      </colBreaks>
      <pageMargins left="0.4" right="0.4" top="0.3" bottom="0.3" header="0.5" footer="0.5"/>
      <printOptions horizontalCentered="1"/>
      <pageSetup scale="61" fitToWidth="4" fitToHeight="4" pageOrder="overThenDown" orientation="portrait" r:id="rId6"/>
      <headerFooter alignWithMargins="0"/>
    </customSheetView>
    <customSheetView guid="{EF376D10-23D6-4FE2-AB5B-4460D52CC93F}" scale="60" colorId="22" showPageBreaks="1" printArea="1" view="pageBreakPreview" showRuler="0">
      <pane ySplit="17" topLeftCell="A18" activePane="bottomLeft" state="frozen"/>
      <selection pane="bottomLeft" activeCell="E38" sqref="E38"/>
      <rowBreaks count="1" manualBreakCount="1">
        <brk id="67" max="17" man="1"/>
      </rowBreaks>
      <colBreaks count="1" manualBreakCount="1">
        <brk id="8" max="126" man="1"/>
      </colBreaks>
      <pageMargins left="0.4" right="0.4" top="0.3" bottom="0.3" header="0.5" footer="0.5"/>
      <printOptions horizontalCentered="1"/>
      <pageSetup scale="61" fitToWidth="4" fitToHeight="4" pageOrder="overThenDown" orientation="portrait" r:id="rId7"/>
      <headerFooter alignWithMargins="0"/>
    </customSheetView>
    <customSheetView guid="{1C046605-15CE-44F1-BFCD-2CA8588E7ACF}" scale="60" colorId="22" showPageBreaks="1" printArea="1" view="pageBreakPreview" showRuler="0">
      <pane ySplit="17" topLeftCell="A18" activePane="bottomLeft" state="frozen"/>
      <selection pane="bottomLeft" activeCell="E38" sqref="E38"/>
      <rowBreaks count="1" manualBreakCount="1">
        <brk id="67" max="17" man="1"/>
      </rowBreaks>
      <colBreaks count="1" manualBreakCount="1">
        <brk id="8" max="126" man="1"/>
      </colBreaks>
      <pageMargins left="0.4" right="0.4" top="0.3" bottom="0.3" header="0.5" footer="0.5"/>
      <printOptions horizontalCentered="1"/>
      <pageSetup scale="61" fitToWidth="4" fitToHeight="4" pageOrder="overThenDown" orientation="portrait" r:id="rId8"/>
      <headerFooter alignWithMargins="0"/>
    </customSheetView>
    <customSheetView guid="{3911D713-188C-46A1-A299-F21DD3B7A146}" scale="60" colorId="22" showPageBreaks="1" printArea="1" view="pageBreakPreview" showRuler="0">
      <pane ySplit="17" topLeftCell="A18" activePane="bottomLeft" state="frozen"/>
      <selection pane="bottomLeft" activeCell="E38" sqref="E38"/>
      <rowBreaks count="1" manualBreakCount="1">
        <brk id="67" max="17" man="1"/>
      </rowBreaks>
      <colBreaks count="1" manualBreakCount="1">
        <brk id="8" max="126" man="1"/>
      </colBreaks>
      <pageMargins left="0.4" right="0.4" top="0.3" bottom="0.3" header="0.5" footer="0.5"/>
      <printOptions horizontalCentered="1"/>
      <pageSetup scale="61" fitToWidth="4" fitToHeight="4" pageOrder="overThenDown" orientation="portrait" r:id="rId9"/>
      <headerFooter alignWithMargins="0"/>
    </customSheetView>
    <customSheetView guid="{78BB1E60-60BE-4F56-9763-075185EFEFAB}" scale="80" colorId="22" showPageBreaks="1" printArea="1" view="pageBreakPreview">
      <pane ySplit="17" topLeftCell="A39" activePane="bottomLeft" state="frozen"/>
      <selection pane="bottomLeft"/>
      <rowBreaks count="1" manualBreakCount="1">
        <brk id="66" max="17" man="1"/>
      </rowBreaks>
      <colBreaks count="1" manualBreakCount="1">
        <brk id="8" max="126" man="1"/>
      </colBreaks>
      <pageMargins left="0.4" right="0.4" top="0.3" bottom="0.3" header="0.5" footer="0.5"/>
      <printOptions horizontalCentered="1"/>
      <pageSetup scale="61" fitToWidth="4" fitToHeight="4" pageOrder="overThenDown" orientation="portrait" r:id="rId10"/>
      <headerFooter alignWithMargins="0"/>
    </customSheetView>
    <customSheetView guid="{9C30803E-1E2D-4850-B0A5-591CA6F246A1}" scale="80" colorId="22" showPageBreaks="1" printArea="1" view="pageBreakPreview">
      <pane ySplit="17" topLeftCell="A39" activePane="bottomLeft" state="frozen"/>
      <selection pane="bottomLeft"/>
      <rowBreaks count="1" manualBreakCount="1">
        <brk id="66" max="17" man="1"/>
      </rowBreaks>
      <colBreaks count="1" manualBreakCount="1">
        <brk id="8" max="126" man="1"/>
      </colBreaks>
      <pageMargins left="0.4" right="0.4" top="0.3" bottom="0.3" header="0.5" footer="0.5"/>
      <printOptions horizontalCentered="1"/>
      <pageSetup scale="61" fitToWidth="4" fitToHeight="4" pageOrder="overThenDown" orientation="portrait" r:id="rId11"/>
      <headerFooter alignWithMargins="0"/>
    </customSheetView>
    <customSheetView guid="{3B1006FF-A2CA-49E7-9B25-DAC8815279AF}" scale="80" colorId="22" showPageBreaks="1" printArea="1" view="pageBreakPreview">
      <pane ySplit="17" topLeftCell="A39" activePane="bottomLeft" state="frozen"/>
      <selection pane="bottomLeft"/>
      <rowBreaks count="1" manualBreakCount="1">
        <brk id="66" max="17" man="1"/>
      </rowBreaks>
      <colBreaks count="1" manualBreakCount="1">
        <brk id="8" max="126" man="1"/>
      </colBreaks>
      <pageMargins left="0.4" right="0.4" top="0.3" bottom="0.3" header="0.5" footer="0.5"/>
      <printOptions horizontalCentered="1"/>
      <pageSetup scale="61" fitToWidth="4" fitToHeight="4" pageOrder="overThenDown" orientation="portrait" r:id="rId12"/>
      <headerFooter alignWithMargins="0"/>
    </customSheetView>
    <customSheetView guid="{FB1A60C8-E1F9-4DF0-8E0E-1C965F86027F}" scale="80" colorId="22" showPageBreaks="1" printArea="1" view="pageBreakPreview">
      <pane ySplit="17" topLeftCell="A39" activePane="bottomLeft" state="frozen"/>
      <selection pane="bottomLeft"/>
      <rowBreaks count="1" manualBreakCount="1">
        <brk id="66" max="17" man="1"/>
      </rowBreaks>
      <colBreaks count="1" manualBreakCount="1">
        <brk id="8" max="126" man="1"/>
      </colBreaks>
      <pageMargins left="0.4" right="0.4" top="0.3" bottom="0.3" header="0.5" footer="0.5"/>
      <printOptions horizontalCentered="1"/>
      <pageSetup scale="61" fitToWidth="4" fitToHeight="4" pageOrder="overThenDown" orientation="portrait" r:id="rId13"/>
      <headerFooter alignWithMargins="0"/>
    </customSheetView>
    <customSheetView guid="{C5B6D812-CBE6-46AA-99F7-02494E9802B4}" scale="70" colorId="22" showPageBreaks="1" printArea="1" view="pageBreakPreview">
      <pane ySplit="17" topLeftCell="A18" activePane="bottomLeft" state="frozen"/>
      <selection pane="bottomLeft" activeCell="E18" sqref="E18"/>
      <rowBreaks count="1" manualBreakCount="1">
        <brk id="66" max="17" man="1"/>
      </rowBreaks>
      <colBreaks count="1" manualBreakCount="1">
        <brk id="8" max="126" man="1"/>
      </colBreaks>
      <pageMargins left="0.4" right="0.4" top="0.3" bottom="0.3" header="0.5" footer="0.5"/>
      <printOptions horizontalCentered="1"/>
      <pageSetup scale="61" fitToWidth="4" fitToHeight="4" pageOrder="overThenDown" orientation="portrait" r:id="rId14"/>
      <headerFooter alignWithMargins="0"/>
    </customSheetView>
  </customSheetViews>
  <phoneticPr fontId="0" type="noConversion"/>
  <printOptions horizontalCentered="1"/>
  <pageMargins left="0.4" right="0.4" top="0.3" bottom="0.3" header="0.5" footer="0.5"/>
  <pageSetup scale="61" fitToWidth="4" fitToHeight="4" pageOrder="overThenDown" orientation="portrait" r:id="rId15"/>
  <headerFooter alignWithMargins="0"/>
  <rowBreaks count="1" manualBreakCount="1">
    <brk id="66" max="17" man="1"/>
  </rowBreaks>
  <colBreaks count="1" manualBreakCount="1">
    <brk id="8" max="126" man="1"/>
  </colBreaks>
  <customProperties>
    <customPr name="_pios_id" r:id="rId16"/>
  </customProperties>
</worksheet>
</file>

<file path=xl/worksheets/sheet48.xml><?xml version="1.0" encoding="utf-8"?>
<worksheet xmlns="http://schemas.openxmlformats.org/spreadsheetml/2006/main" xmlns:r="http://schemas.openxmlformats.org/officeDocument/2006/relationships">
  <sheetPr transitionEvaluation="1" codeName="Sheet48" enableFormatConditionsCalculation="0">
    <pageSetUpPr fitToPage="1"/>
  </sheetPr>
  <dimension ref="A1:K66"/>
  <sheetViews>
    <sheetView defaultGridColor="0" colorId="22" zoomScale="50" zoomScaleNormal="50" zoomScaleSheetLayoutView="70" workbookViewId="0"/>
  </sheetViews>
  <sheetFormatPr defaultColWidth="9.77734375" defaultRowHeight="15"/>
  <cols>
    <col min="1" max="1" width="4.77734375" customWidth="1"/>
    <col min="2" max="2" width="25.77734375" customWidth="1"/>
    <col min="3" max="3" width="12.77734375" customWidth="1"/>
    <col min="4" max="4" width="14.77734375" customWidth="1"/>
    <col min="5" max="5" width="13.5546875" customWidth="1"/>
    <col min="6" max="6" width="25.77734375" customWidth="1"/>
    <col min="7" max="7" width="12.77734375" customWidth="1"/>
    <col min="8" max="8" width="14.77734375" customWidth="1"/>
    <col min="9" max="9" width="14.109375" customWidth="1"/>
  </cols>
  <sheetData>
    <row r="1" spans="1:11" ht="15.75" thickBot="1">
      <c r="A1" s="186" t="str">
        <f>'Data sheet'!$A$63</f>
        <v>Annual Report of New York American Water Company, Inc. (f/k/a Long Island Water Corp)                                    Year Ended  December 31, 2013</v>
      </c>
      <c r="H1" s="24"/>
      <c r="I1" s="8"/>
    </row>
    <row r="2" spans="1:11">
      <c r="A2" s="232"/>
      <c r="B2" s="245"/>
      <c r="C2" s="245"/>
      <c r="D2" s="245"/>
      <c r="E2" s="245"/>
      <c r="F2" s="245"/>
      <c r="G2" s="245"/>
      <c r="H2" s="245"/>
      <c r="I2" s="234"/>
    </row>
    <row r="3" spans="1:11" ht="15.75">
      <c r="A3" s="1136" t="s">
        <v>543</v>
      </c>
      <c r="B3" s="1137"/>
      <c r="C3" s="1137"/>
      <c r="D3" s="1137"/>
      <c r="E3" s="1137"/>
      <c r="F3" s="1137"/>
      <c r="G3" s="1137"/>
      <c r="H3" s="1137"/>
      <c r="I3" s="1138"/>
    </row>
    <row r="4" spans="1:11">
      <c r="A4" s="748"/>
      <c r="B4" s="249"/>
      <c r="C4" s="249"/>
      <c r="D4" s="249"/>
      <c r="E4" s="249"/>
      <c r="F4" s="249"/>
      <c r="G4" s="249"/>
      <c r="H4" s="249"/>
      <c r="I4" s="250"/>
    </row>
    <row r="5" spans="1:11">
      <c r="A5" s="240"/>
      <c r="I5" s="237"/>
    </row>
    <row r="6" spans="1:11">
      <c r="A6" s="240"/>
      <c r="B6" t="s">
        <v>544</v>
      </c>
      <c r="I6" s="237"/>
    </row>
    <row r="7" spans="1:11">
      <c r="A7" s="748"/>
      <c r="B7" s="249"/>
      <c r="C7" s="249"/>
      <c r="D7" s="249"/>
      <c r="E7" s="249"/>
      <c r="F7" s="249"/>
      <c r="G7" s="249"/>
      <c r="H7" s="249"/>
      <c r="I7" s="250"/>
    </row>
    <row r="8" spans="1:11">
      <c r="A8" s="635"/>
      <c r="B8" s="275"/>
      <c r="C8" s="776" t="s">
        <v>2988</v>
      </c>
      <c r="D8" s="254"/>
      <c r="E8" s="776" t="s">
        <v>545</v>
      </c>
      <c r="F8" s="265"/>
      <c r="G8" s="776" t="s">
        <v>2988</v>
      </c>
      <c r="H8" s="254"/>
      <c r="I8" s="777" t="s">
        <v>545</v>
      </c>
    </row>
    <row r="9" spans="1:11">
      <c r="A9" s="635"/>
      <c r="B9" s="275"/>
      <c r="C9" s="776" t="s">
        <v>2419</v>
      </c>
      <c r="D9" s="776" t="s">
        <v>1931</v>
      </c>
      <c r="E9" s="776" t="s">
        <v>546</v>
      </c>
      <c r="F9" s="265"/>
      <c r="G9" s="776" t="s">
        <v>2419</v>
      </c>
      <c r="H9" s="776" t="s">
        <v>2422</v>
      </c>
      <c r="I9" s="777" t="s">
        <v>546</v>
      </c>
    </row>
    <row r="10" spans="1:11">
      <c r="A10" s="635" t="s">
        <v>1129</v>
      </c>
      <c r="B10" s="834" t="s">
        <v>338</v>
      </c>
      <c r="C10" s="776" t="s">
        <v>339</v>
      </c>
      <c r="D10" s="254"/>
      <c r="E10" s="776" t="s">
        <v>340</v>
      </c>
      <c r="F10" s="752" t="s">
        <v>341</v>
      </c>
      <c r="G10" s="776" t="s">
        <v>342</v>
      </c>
      <c r="H10" s="254"/>
      <c r="I10" s="777" t="s">
        <v>340</v>
      </c>
    </row>
    <row r="11" spans="1:11">
      <c r="A11" s="636" t="s">
        <v>3324</v>
      </c>
      <c r="B11" s="836" t="s">
        <v>4032</v>
      </c>
      <c r="C11" s="789" t="s">
        <v>4033</v>
      </c>
      <c r="D11" s="789" t="s">
        <v>4034</v>
      </c>
      <c r="E11" s="789" t="s">
        <v>4035</v>
      </c>
      <c r="F11" s="764" t="s">
        <v>2277</v>
      </c>
      <c r="G11" s="789" t="s">
        <v>2278</v>
      </c>
      <c r="H11" s="789" t="s">
        <v>2279</v>
      </c>
      <c r="I11" s="807" t="s">
        <v>2280</v>
      </c>
      <c r="K11" s="1939"/>
    </row>
    <row r="12" spans="1:11">
      <c r="A12" s="635">
        <v>1</v>
      </c>
      <c r="B12" s="1139" t="s">
        <v>177</v>
      </c>
      <c r="C12" s="1140"/>
      <c r="D12" s="1141"/>
      <c r="E12" s="1142" t="str">
        <f t="shared" ref="E12:E43" si="0">IF(ISERR(D12/C12)," ",D12/C12)</f>
        <v xml:space="preserve"> </v>
      </c>
      <c r="F12" s="1143"/>
      <c r="G12" s="1140"/>
      <c r="H12" s="1141"/>
      <c r="I12" s="1144" t="str">
        <f t="shared" ref="I12:I43" si="1">IF(ISERR(H12/G12)," ",H12/G12)</f>
        <v xml:space="preserve"> </v>
      </c>
    </row>
    <row r="13" spans="1:11">
      <c r="A13" s="635">
        <v>2</v>
      </c>
      <c r="B13" s="1139"/>
      <c r="C13" s="1140"/>
      <c r="D13" s="1140"/>
      <c r="E13" s="1142" t="str">
        <f t="shared" si="0"/>
        <v xml:space="preserve"> </v>
      </c>
      <c r="F13" s="1143"/>
      <c r="G13" s="1140"/>
      <c r="H13" s="1140"/>
      <c r="I13" s="1144" t="str">
        <f t="shared" si="1"/>
        <v xml:space="preserve"> </v>
      </c>
    </row>
    <row r="14" spans="1:11">
      <c r="A14" s="635">
        <v>3</v>
      </c>
      <c r="B14" s="1139"/>
      <c r="C14" s="1140"/>
      <c r="D14" s="1140"/>
      <c r="E14" s="1142" t="str">
        <f t="shared" si="0"/>
        <v xml:space="preserve"> </v>
      </c>
      <c r="F14" s="1143"/>
      <c r="G14" s="1140"/>
      <c r="H14" s="1140"/>
      <c r="I14" s="1144" t="str">
        <f t="shared" si="1"/>
        <v xml:space="preserve"> </v>
      </c>
    </row>
    <row r="15" spans="1:11">
      <c r="A15" s="635">
        <v>4</v>
      </c>
      <c r="B15" s="1139"/>
      <c r="C15" s="1140"/>
      <c r="D15" s="1140"/>
      <c r="E15" s="1142" t="str">
        <f t="shared" si="0"/>
        <v xml:space="preserve"> </v>
      </c>
      <c r="F15" s="1143"/>
      <c r="G15" s="1140"/>
      <c r="H15" s="1140"/>
      <c r="I15" s="1144" t="str">
        <f t="shared" si="1"/>
        <v xml:space="preserve"> </v>
      </c>
    </row>
    <row r="16" spans="1:11">
      <c r="A16" s="635">
        <v>5</v>
      </c>
      <c r="B16" s="1139"/>
      <c r="C16" s="1140"/>
      <c r="D16" s="1140"/>
      <c r="E16" s="1142" t="str">
        <f t="shared" si="0"/>
        <v xml:space="preserve"> </v>
      </c>
      <c r="F16" s="1143"/>
      <c r="G16" s="1140"/>
      <c r="H16" s="1140"/>
      <c r="I16" s="1144" t="str">
        <f t="shared" si="1"/>
        <v xml:space="preserve"> </v>
      </c>
    </row>
    <row r="17" spans="1:9">
      <c r="A17" s="635">
        <v>6</v>
      </c>
      <c r="B17" s="1139"/>
      <c r="C17" s="1140"/>
      <c r="D17" s="1140"/>
      <c r="E17" s="1142" t="str">
        <f t="shared" si="0"/>
        <v xml:space="preserve"> </v>
      </c>
      <c r="F17" s="1143"/>
      <c r="G17" s="1140"/>
      <c r="H17" s="1140"/>
      <c r="I17" s="1144" t="str">
        <f t="shared" si="1"/>
        <v xml:space="preserve"> </v>
      </c>
    </row>
    <row r="18" spans="1:9">
      <c r="A18" s="635">
        <v>7</v>
      </c>
      <c r="B18" s="1139"/>
      <c r="C18" s="1140"/>
      <c r="D18" s="1140"/>
      <c r="E18" s="1142" t="str">
        <f t="shared" si="0"/>
        <v xml:space="preserve"> </v>
      </c>
      <c r="F18" s="1143"/>
      <c r="G18" s="1140"/>
      <c r="H18" s="1140"/>
      <c r="I18" s="1144" t="str">
        <f t="shared" si="1"/>
        <v xml:space="preserve"> </v>
      </c>
    </row>
    <row r="19" spans="1:9">
      <c r="A19" s="635">
        <v>8</v>
      </c>
      <c r="B19" s="1139"/>
      <c r="C19" s="1140"/>
      <c r="D19" s="1140"/>
      <c r="E19" s="1142" t="str">
        <f t="shared" si="0"/>
        <v xml:space="preserve"> </v>
      </c>
      <c r="F19" s="1143"/>
      <c r="G19" s="1140"/>
      <c r="H19" s="1140"/>
      <c r="I19" s="1144" t="str">
        <f t="shared" si="1"/>
        <v xml:space="preserve"> </v>
      </c>
    </row>
    <row r="20" spans="1:9">
      <c r="A20" s="635">
        <v>9</v>
      </c>
      <c r="B20" s="1139"/>
      <c r="C20" s="1140"/>
      <c r="D20" s="1140"/>
      <c r="E20" s="1142" t="str">
        <f t="shared" si="0"/>
        <v xml:space="preserve"> </v>
      </c>
      <c r="F20" s="1143"/>
      <c r="G20" s="1140"/>
      <c r="H20" s="1140"/>
      <c r="I20" s="1144" t="str">
        <f t="shared" si="1"/>
        <v xml:space="preserve"> </v>
      </c>
    </row>
    <row r="21" spans="1:9">
      <c r="A21" s="635">
        <v>10</v>
      </c>
      <c r="B21" s="1139"/>
      <c r="C21" s="1140"/>
      <c r="D21" s="1140"/>
      <c r="E21" s="1142" t="str">
        <f t="shared" si="0"/>
        <v xml:space="preserve"> </v>
      </c>
      <c r="F21" s="1143"/>
      <c r="G21" s="1140"/>
      <c r="H21" s="1140"/>
      <c r="I21" s="1144" t="str">
        <f t="shared" si="1"/>
        <v xml:space="preserve"> </v>
      </c>
    </row>
    <row r="22" spans="1:9">
      <c r="A22" s="635">
        <v>11</v>
      </c>
      <c r="B22" s="1139"/>
      <c r="C22" s="1140"/>
      <c r="D22" s="1140"/>
      <c r="E22" s="1142" t="str">
        <f t="shared" si="0"/>
        <v xml:space="preserve"> </v>
      </c>
      <c r="F22" s="1145"/>
      <c r="G22" s="288"/>
      <c r="H22" s="288"/>
      <c r="I22" s="1144" t="str">
        <f t="shared" si="1"/>
        <v xml:space="preserve"> </v>
      </c>
    </row>
    <row r="23" spans="1:9">
      <c r="A23" s="635">
        <v>12</v>
      </c>
      <c r="B23" s="1139"/>
      <c r="C23" s="1140"/>
      <c r="D23" s="1140"/>
      <c r="E23" s="1142" t="str">
        <f t="shared" si="0"/>
        <v xml:space="preserve"> </v>
      </c>
      <c r="F23" s="1143"/>
      <c r="G23" s="1140"/>
      <c r="H23" s="1140"/>
      <c r="I23" s="1144" t="str">
        <f t="shared" si="1"/>
        <v xml:space="preserve"> </v>
      </c>
    </row>
    <row r="24" spans="1:9">
      <c r="A24" s="635">
        <v>13</v>
      </c>
      <c r="B24" s="1139"/>
      <c r="C24" s="1140"/>
      <c r="D24" s="1140"/>
      <c r="E24" s="1142" t="str">
        <f t="shared" si="0"/>
        <v xml:space="preserve"> </v>
      </c>
      <c r="F24" s="1143"/>
      <c r="G24" s="1140"/>
      <c r="H24" s="1140"/>
      <c r="I24" s="1144" t="str">
        <f t="shared" si="1"/>
        <v xml:space="preserve"> </v>
      </c>
    </row>
    <row r="25" spans="1:9">
      <c r="A25" s="635">
        <v>14</v>
      </c>
      <c r="B25" s="1139"/>
      <c r="C25" s="1140"/>
      <c r="D25" s="1140"/>
      <c r="E25" s="1142" t="str">
        <f t="shared" si="0"/>
        <v xml:space="preserve"> </v>
      </c>
      <c r="F25" s="1143"/>
      <c r="G25" s="1140"/>
      <c r="H25" s="1140"/>
      <c r="I25" s="1144" t="str">
        <f t="shared" si="1"/>
        <v xml:space="preserve"> </v>
      </c>
    </row>
    <row r="26" spans="1:9">
      <c r="A26" s="635">
        <v>15</v>
      </c>
      <c r="B26" s="1139"/>
      <c r="C26" s="1140"/>
      <c r="D26" s="1140"/>
      <c r="E26" s="1142" t="str">
        <f t="shared" si="0"/>
        <v xml:space="preserve"> </v>
      </c>
      <c r="F26" s="1143"/>
      <c r="G26" s="1140"/>
      <c r="H26" s="1140"/>
      <c r="I26" s="1144" t="str">
        <f t="shared" si="1"/>
        <v xml:space="preserve"> </v>
      </c>
    </row>
    <row r="27" spans="1:9">
      <c r="A27" s="635">
        <v>16</v>
      </c>
      <c r="B27" s="1139"/>
      <c r="C27" s="1140"/>
      <c r="D27" s="1140"/>
      <c r="E27" s="1142" t="str">
        <f t="shared" si="0"/>
        <v xml:space="preserve"> </v>
      </c>
      <c r="F27" s="1143"/>
      <c r="G27" s="1140"/>
      <c r="H27" s="1140"/>
      <c r="I27" s="1144" t="str">
        <f t="shared" si="1"/>
        <v xml:space="preserve"> </v>
      </c>
    </row>
    <row r="28" spans="1:9">
      <c r="A28" s="635">
        <v>17</v>
      </c>
      <c r="B28" s="1139"/>
      <c r="C28" s="1140"/>
      <c r="D28" s="1140"/>
      <c r="E28" s="1142" t="str">
        <f t="shared" si="0"/>
        <v xml:space="preserve"> </v>
      </c>
      <c r="F28" s="1143"/>
      <c r="G28" s="1140"/>
      <c r="H28" s="1140"/>
      <c r="I28" s="1144" t="str">
        <f t="shared" si="1"/>
        <v xml:space="preserve"> </v>
      </c>
    </row>
    <row r="29" spans="1:9">
      <c r="A29" s="635">
        <v>18</v>
      </c>
      <c r="B29" s="1139"/>
      <c r="C29" s="1140"/>
      <c r="D29" s="1140"/>
      <c r="E29" s="1142" t="str">
        <f t="shared" si="0"/>
        <v xml:space="preserve"> </v>
      </c>
      <c r="F29" s="1143"/>
      <c r="G29" s="1140"/>
      <c r="H29" s="1140"/>
      <c r="I29" s="1144" t="str">
        <f t="shared" si="1"/>
        <v xml:space="preserve"> </v>
      </c>
    </row>
    <row r="30" spans="1:9">
      <c r="A30" s="635">
        <v>19</v>
      </c>
      <c r="B30" s="1139"/>
      <c r="C30" s="1140"/>
      <c r="D30" s="1140"/>
      <c r="E30" s="1142" t="str">
        <f t="shared" si="0"/>
        <v xml:space="preserve"> </v>
      </c>
      <c r="F30" s="1143"/>
      <c r="G30" s="1140"/>
      <c r="H30" s="1140"/>
      <c r="I30" s="1144" t="str">
        <f t="shared" si="1"/>
        <v xml:space="preserve"> </v>
      </c>
    </row>
    <row r="31" spans="1:9">
      <c r="A31" s="635">
        <v>20</v>
      </c>
      <c r="B31" s="1139"/>
      <c r="C31" s="1140"/>
      <c r="D31" s="1140"/>
      <c r="E31" s="1142" t="str">
        <f t="shared" si="0"/>
        <v xml:space="preserve"> </v>
      </c>
      <c r="F31" s="1143"/>
      <c r="G31" s="1140"/>
      <c r="H31" s="1140"/>
      <c r="I31" s="1144" t="str">
        <f t="shared" si="1"/>
        <v xml:space="preserve"> </v>
      </c>
    </row>
    <row r="32" spans="1:9">
      <c r="A32" s="635">
        <v>21</v>
      </c>
      <c r="B32" s="1139"/>
      <c r="C32" s="1140"/>
      <c r="D32" s="1140"/>
      <c r="E32" s="1142" t="str">
        <f t="shared" si="0"/>
        <v xml:space="preserve"> </v>
      </c>
      <c r="F32" s="1143"/>
      <c r="G32" s="1140"/>
      <c r="H32" s="1140"/>
      <c r="I32" s="1144" t="str">
        <f t="shared" si="1"/>
        <v xml:space="preserve"> </v>
      </c>
    </row>
    <row r="33" spans="1:9">
      <c r="A33" s="635">
        <v>22</v>
      </c>
      <c r="B33" s="1139"/>
      <c r="C33" s="1140"/>
      <c r="D33" s="1140"/>
      <c r="E33" s="1142" t="str">
        <f t="shared" si="0"/>
        <v xml:space="preserve"> </v>
      </c>
      <c r="F33" s="1145"/>
      <c r="G33" s="288"/>
      <c r="H33" s="288"/>
      <c r="I33" s="1144" t="str">
        <f t="shared" si="1"/>
        <v xml:space="preserve"> </v>
      </c>
    </row>
    <row r="34" spans="1:9">
      <c r="A34" s="635">
        <v>23</v>
      </c>
      <c r="B34" s="1139"/>
      <c r="C34" s="1140"/>
      <c r="D34" s="1140"/>
      <c r="E34" s="1142" t="str">
        <f t="shared" si="0"/>
        <v xml:space="preserve"> </v>
      </c>
      <c r="F34" s="1143"/>
      <c r="G34" s="1140"/>
      <c r="H34" s="1140"/>
      <c r="I34" s="1144" t="str">
        <f t="shared" si="1"/>
        <v xml:space="preserve"> </v>
      </c>
    </row>
    <row r="35" spans="1:9">
      <c r="A35" s="635">
        <v>24</v>
      </c>
      <c r="B35" s="1139"/>
      <c r="C35" s="1140"/>
      <c r="D35" s="1140"/>
      <c r="E35" s="1142" t="str">
        <f t="shared" si="0"/>
        <v xml:space="preserve"> </v>
      </c>
      <c r="F35" s="1143"/>
      <c r="G35" s="1140"/>
      <c r="H35" s="1140"/>
      <c r="I35" s="1144" t="str">
        <f t="shared" si="1"/>
        <v xml:space="preserve"> </v>
      </c>
    </row>
    <row r="36" spans="1:9">
      <c r="A36" s="635">
        <v>25</v>
      </c>
      <c r="B36" s="1139"/>
      <c r="C36" s="1140"/>
      <c r="D36" s="1140"/>
      <c r="E36" s="1142" t="str">
        <f t="shared" si="0"/>
        <v xml:space="preserve"> </v>
      </c>
      <c r="F36" s="1143"/>
      <c r="G36" s="1140"/>
      <c r="H36" s="1140"/>
      <c r="I36" s="1144" t="str">
        <f t="shared" si="1"/>
        <v xml:space="preserve"> </v>
      </c>
    </row>
    <row r="37" spans="1:9">
      <c r="A37" s="635">
        <v>26</v>
      </c>
      <c r="B37" s="1139"/>
      <c r="C37" s="1140"/>
      <c r="D37" s="1140"/>
      <c r="E37" s="1142" t="str">
        <f t="shared" si="0"/>
        <v xml:space="preserve"> </v>
      </c>
      <c r="F37" s="1143"/>
      <c r="G37" s="1140"/>
      <c r="H37" s="1140"/>
      <c r="I37" s="1144" t="str">
        <f t="shared" si="1"/>
        <v xml:space="preserve"> </v>
      </c>
    </row>
    <row r="38" spans="1:9">
      <c r="A38" s="635">
        <v>27</v>
      </c>
      <c r="B38" s="1139"/>
      <c r="C38" s="1140"/>
      <c r="D38" s="1140"/>
      <c r="E38" s="1142" t="str">
        <f t="shared" si="0"/>
        <v xml:space="preserve"> </v>
      </c>
      <c r="F38" s="1143"/>
      <c r="G38" s="1140"/>
      <c r="H38" s="1140"/>
      <c r="I38" s="1144" t="str">
        <f t="shared" si="1"/>
        <v xml:space="preserve"> </v>
      </c>
    </row>
    <row r="39" spans="1:9">
      <c r="A39" s="635">
        <v>28</v>
      </c>
      <c r="B39" s="1139"/>
      <c r="C39" s="1140"/>
      <c r="D39" s="1140"/>
      <c r="E39" s="1142" t="str">
        <f t="shared" si="0"/>
        <v xml:space="preserve"> </v>
      </c>
      <c r="F39" s="1143"/>
      <c r="G39" s="1140"/>
      <c r="H39" s="1140"/>
      <c r="I39" s="1144" t="str">
        <f t="shared" si="1"/>
        <v xml:space="preserve"> </v>
      </c>
    </row>
    <row r="40" spans="1:9">
      <c r="A40" s="635">
        <v>29</v>
      </c>
      <c r="B40" s="1139"/>
      <c r="C40" s="1140"/>
      <c r="D40" s="1140"/>
      <c r="E40" s="1142" t="str">
        <f t="shared" si="0"/>
        <v xml:space="preserve"> </v>
      </c>
      <c r="F40" s="1143"/>
      <c r="G40" s="1140"/>
      <c r="H40" s="1140"/>
      <c r="I40" s="1144" t="str">
        <f t="shared" si="1"/>
        <v xml:space="preserve"> </v>
      </c>
    </row>
    <row r="41" spans="1:9">
      <c r="A41" s="635">
        <v>30</v>
      </c>
      <c r="B41" s="1139"/>
      <c r="C41" s="1140"/>
      <c r="D41" s="1140"/>
      <c r="E41" s="1142" t="str">
        <f t="shared" si="0"/>
        <v xml:space="preserve"> </v>
      </c>
      <c r="F41" s="1143"/>
      <c r="G41" s="1140"/>
      <c r="H41" s="1140"/>
      <c r="I41" s="1144" t="str">
        <f t="shared" si="1"/>
        <v xml:space="preserve"> </v>
      </c>
    </row>
    <row r="42" spans="1:9">
      <c r="A42" s="635">
        <v>31</v>
      </c>
      <c r="B42" s="1139"/>
      <c r="C42" s="1140"/>
      <c r="D42" s="1140"/>
      <c r="E42" s="1142" t="str">
        <f t="shared" si="0"/>
        <v xml:space="preserve"> </v>
      </c>
      <c r="F42" s="1143"/>
      <c r="G42" s="1140"/>
      <c r="H42" s="1140"/>
      <c r="I42" s="1144" t="str">
        <f t="shared" si="1"/>
        <v xml:space="preserve"> </v>
      </c>
    </row>
    <row r="43" spans="1:9">
      <c r="A43" s="635">
        <v>32</v>
      </c>
      <c r="B43" s="1139"/>
      <c r="C43" s="1140"/>
      <c r="D43" s="1140"/>
      <c r="E43" s="1142" t="str">
        <f t="shared" si="0"/>
        <v xml:space="preserve"> </v>
      </c>
      <c r="F43" s="1143"/>
      <c r="G43" s="1140"/>
      <c r="H43" s="1140"/>
      <c r="I43" s="1144" t="str">
        <f t="shared" si="1"/>
        <v xml:space="preserve"> </v>
      </c>
    </row>
    <row r="44" spans="1:9" ht="15.75" thickBot="1">
      <c r="A44" s="645">
        <v>33</v>
      </c>
      <c r="B44" s="1146" t="s">
        <v>2951</v>
      </c>
      <c r="C44" s="1147">
        <f>SUM(C12:C43)</f>
        <v>0</v>
      </c>
      <c r="D44" s="1148">
        <f>SUM(D12:D43)</f>
        <v>0</v>
      </c>
      <c r="E44" s="1149">
        <f>SUM(E12:E43)</f>
        <v>0</v>
      </c>
      <c r="F44" s="1150" t="s">
        <v>2951</v>
      </c>
      <c r="G44" s="1147">
        <f>SUM(G12:G43)</f>
        <v>0</v>
      </c>
      <c r="H44" s="1148">
        <f>SUM(H12:H43)</f>
        <v>0</v>
      </c>
      <c r="I44" s="1151">
        <f>SUM(I12:I43)</f>
        <v>0</v>
      </c>
    </row>
    <row r="45" spans="1:9">
      <c r="A45" t="s">
        <v>4066</v>
      </c>
      <c r="F45" s="158"/>
      <c r="G45" s="158"/>
      <c r="H45" s="158"/>
      <c r="I45" s="1152"/>
    </row>
    <row r="46" spans="1:9">
      <c r="A46" s="8" t="s">
        <v>343</v>
      </c>
      <c r="B46" s="8"/>
      <c r="C46" s="8"/>
      <c r="D46" s="8"/>
      <c r="E46" s="8"/>
      <c r="F46" s="1153"/>
      <c r="G46" s="1153"/>
      <c r="H46" s="1153"/>
      <c r="I46" s="1154"/>
    </row>
    <row r="50" spans="2:2">
      <c r="B50" s="260"/>
    </row>
    <row r="53" spans="2:2">
      <c r="B53" s="260"/>
    </row>
    <row r="54" spans="2:2">
      <c r="B54" s="260"/>
    </row>
    <row r="55" spans="2:2">
      <c r="B55" s="260"/>
    </row>
    <row r="56" spans="2:2">
      <c r="B56" s="260"/>
    </row>
    <row r="57" spans="2:2">
      <c r="B57" s="22"/>
    </row>
    <row r="58" spans="2:2">
      <c r="B58" s="260"/>
    </row>
    <row r="59" spans="2:2">
      <c r="B59" s="260"/>
    </row>
    <row r="62" spans="2:2">
      <c r="B62" s="260"/>
    </row>
    <row r="63" spans="2:2">
      <c r="B63" s="260"/>
    </row>
    <row r="64" spans="2:2">
      <c r="B64" s="260"/>
    </row>
    <row r="65" spans="2:2">
      <c r="B65" s="260"/>
    </row>
    <row r="66" spans="2:2">
      <c r="B66" s="260"/>
    </row>
  </sheetData>
  <customSheetViews>
    <customSheetView guid="{1BA452AD-1A45-4D9C-9666-ADFFA6F2F567}" scale="60" colorId="22" showPageBreaks="1" fitToPage="1" printArea="1" view="pageBreakPreview">
      <selection activeCell="B12" sqref="B12"/>
      <pageMargins left="0.4" right="0.4" top="1" bottom="0.3" header="0.5" footer="0.5"/>
      <printOptions horizontalCentered="1"/>
      <pageSetup scale="73" orientation="landscape" r:id="rId1"/>
      <headerFooter alignWithMargins="0"/>
    </customSheetView>
    <customSheetView guid="{EEF7ABD6-0F96-4791-B749-C06F707E7673}" scale="60" colorId="22" showPageBreaks="1" fitToPage="1" printArea="1" view="pageBreakPreview" showRuler="0">
      <selection activeCell="C104" sqref="C104"/>
      <pageMargins left="0.4" right="0.4" top="1" bottom="0.3" header="0.5" footer="0.5"/>
      <printOptions horizontalCentered="1"/>
      <pageSetup scale="73" orientation="landscape" r:id="rId2"/>
      <headerFooter alignWithMargins="0"/>
    </customSheetView>
    <customSheetView guid="{A7D7DB3C-AFE6-468E-8C6B-9531F6711497}" scale="60" colorId="22" showPageBreaks="1" fitToPage="1" view="pageBreakPreview" showRuler="0">
      <selection activeCell="H5" sqref="H5"/>
      <pageMargins left="0.4" right="0.4" top="1" bottom="0.3" header="0.5" footer="0.5"/>
      <printOptions horizontalCentered="1"/>
      <pageSetup scale="76" orientation="landscape" r:id="rId3"/>
      <headerFooter alignWithMargins="0"/>
    </customSheetView>
    <customSheetView guid="{4436FEB5-BFEC-4348-9286-CB706802873E}" scale="60" colorId="22" showPageBreaks="1" fitToPage="1" view="pageBreakPreview" showRuler="0">
      <selection activeCell="H5" sqref="H5"/>
      <pageMargins left="0.4" right="0.4" top="1" bottom="0.3" header="0.5" footer="0.5"/>
      <printOptions horizontalCentered="1"/>
      <pageSetup scale="76" orientation="landscape" r:id="rId4"/>
      <headerFooter alignWithMargins="0"/>
    </customSheetView>
    <customSheetView guid="{044CF00C-469F-44B3-B2C4-9B4049CE70CB}" scale="50" colorId="22" fitToPage="1" showRuler="0">
      <selection activeCell="E8" sqref="E8"/>
      <pageMargins left="0.4" right="0.4" top="1" bottom="0.3" header="0.5" footer="0.5"/>
      <printOptions horizontalCentered="1"/>
      <pageSetup scale="76" orientation="landscape" r:id="rId5"/>
      <headerFooter alignWithMargins="0"/>
    </customSheetView>
    <customSheetView guid="{4826FCC0-BDD6-4B2C-ACC6-ACE271DDF0E3}" scale="60" colorId="22" showPageBreaks="1" fitToPage="1" printArea="1" view="pageBreakPreview" showRuler="0">
      <selection activeCell="C104" sqref="C104"/>
      <pageMargins left="0.4" right="0.4" top="1" bottom="0.3" header="0.5" footer="0.5"/>
      <printOptions horizontalCentered="1"/>
      <pageSetup scale="73" orientation="landscape" r:id="rId6"/>
      <headerFooter alignWithMargins="0"/>
    </customSheetView>
    <customSheetView guid="{EF376D10-23D6-4FE2-AB5B-4460D52CC93F}" scale="60" colorId="22" showPageBreaks="1" fitToPage="1" printArea="1" view="pageBreakPreview" showRuler="0">
      <selection activeCell="C104" sqref="C104"/>
      <pageMargins left="0.4" right="0.4" top="1" bottom="0.3" header="0.5" footer="0.5"/>
      <printOptions horizontalCentered="1"/>
      <pageSetup scale="73" orientation="landscape" r:id="rId7"/>
      <headerFooter alignWithMargins="0"/>
    </customSheetView>
    <customSheetView guid="{1C046605-15CE-44F1-BFCD-2CA8588E7ACF}" scale="60" colorId="22" showPageBreaks="1" fitToPage="1" printArea="1" view="pageBreakPreview" showRuler="0">
      <selection activeCell="F30" sqref="F30"/>
      <pageMargins left="0.4" right="0.4" top="1" bottom="0.3" header="0.5" footer="0.5"/>
      <printOptions horizontalCentered="1"/>
      <pageSetup scale="73" orientation="landscape" r:id="rId8"/>
      <headerFooter alignWithMargins="0"/>
    </customSheetView>
    <customSheetView guid="{3911D713-188C-46A1-A299-F21DD3B7A146}" scale="60" colorId="22" showPageBreaks="1" fitToPage="1" printArea="1" view="pageBreakPreview" showRuler="0">
      <selection activeCell="F30" sqref="F30"/>
      <pageMargins left="0.4" right="0.4" top="1" bottom="0.3" header="0.5" footer="0.5"/>
      <printOptions horizontalCentered="1"/>
      <pageSetup scale="73" orientation="landscape" r:id="rId9"/>
      <headerFooter alignWithMargins="0"/>
    </customSheetView>
    <customSheetView guid="{78BB1E60-60BE-4F56-9763-075185EFEFAB}" scale="60" colorId="22" showPageBreaks="1" fitToPage="1" printArea="1" view="pageBreakPreview">
      <selection activeCell="B12" sqref="B12"/>
      <pageMargins left="0.4" right="0.4" top="1" bottom="0.3" header="0.5" footer="0.5"/>
      <printOptions horizontalCentered="1"/>
      <pageSetup scale="73" orientation="landscape" r:id="rId10"/>
      <headerFooter alignWithMargins="0"/>
    </customSheetView>
    <customSheetView guid="{9C30803E-1E2D-4850-B0A5-591CA6F246A1}" scale="60" colorId="22" showPageBreaks="1" fitToPage="1" printArea="1" view="pageBreakPreview">
      <selection activeCell="B12" sqref="B12"/>
      <pageMargins left="0.4" right="0.4" top="1" bottom="0.3" header="0.5" footer="0.5"/>
      <printOptions horizontalCentered="1"/>
      <pageSetup scale="73" orientation="landscape" r:id="rId11"/>
      <headerFooter alignWithMargins="0"/>
    </customSheetView>
    <customSheetView guid="{3B1006FF-A2CA-49E7-9B25-DAC8815279AF}" scale="60" colorId="22" showPageBreaks="1" fitToPage="1" printArea="1" view="pageBreakPreview">
      <selection activeCell="B12" sqref="B12"/>
      <pageMargins left="0.4" right="0.4" top="1" bottom="0.3" header="0.5" footer="0.5"/>
      <printOptions horizontalCentered="1"/>
      <pageSetup scale="73" orientation="landscape" r:id="rId12"/>
      <headerFooter alignWithMargins="0"/>
    </customSheetView>
    <customSheetView guid="{FB1A60C8-E1F9-4DF0-8E0E-1C965F86027F}" scale="60" colorId="22" showPageBreaks="1" fitToPage="1" printArea="1" view="pageBreakPreview">
      <selection activeCell="B12" sqref="B12"/>
      <pageMargins left="0.4" right="0.4" top="1" bottom="0.3" header="0.5" footer="0.5"/>
      <printOptions horizontalCentered="1"/>
      <pageSetup scale="73" orientation="landscape" r:id="rId13"/>
      <headerFooter alignWithMargins="0"/>
    </customSheetView>
    <customSheetView guid="{C5B6D812-CBE6-46AA-99F7-02494E9802B4}" scale="70" colorId="22" showPageBreaks="1" fitToPage="1" printArea="1" view="pageBreakPreview">
      <selection activeCell="C10" sqref="C10"/>
      <pageMargins left="0.4" right="0.4" top="1" bottom="0.3" header="0.5" footer="0.5"/>
      <printOptions horizontalCentered="1"/>
      <pageSetup scale="73" orientation="landscape" r:id="rId14"/>
      <headerFooter alignWithMargins="0"/>
    </customSheetView>
  </customSheetViews>
  <phoneticPr fontId="0" type="noConversion"/>
  <printOptions horizontalCentered="1"/>
  <pageMargins left="0.4" right="0.4" top="1" bottom="0.3" header="0.5" footer="0.5"/>
  <pageSetup scale="73" orientation="landscape" r:id="rId15"/>
  <headerFooter alignWithMargins="0"/>
  <customProperties>
    <customPr name="_pios_id" r:id="rId16"/>
  </customProperties>
</worksheet>
</file>

<file path=xl/worksheets/sheet49.xml><?xml version="1.0" encoding="utf-8"?>
<worksheet xmlns="http://schemas.openxmlformats.org/spreadsheetml/2006/main" xmlns:r="http://schemas.openxmlformats.org/officeDocument/2006/relationships">
  <sheetPr transitionEvaluation="1" codeName="Sheet49" enableFormatConditionsCalculation="0">
    <pageSetUpPr fitToPage="1"/>
  </sheetPr>
  <dimension ref="A1:F176"/>
  <sheetViews>
    <sheetView defaultGridColor="0" colorId="22" zoomScale="70" zoomScaleNormal="70" workbookViewId="0"/>
  </sheetViews>
  <sheetFormatPr defaultColWidth="9.77734375" defaultRowHeight="15"/>
  <cols>
    <col min="1" max="1" width="4.77734375" customWidth="1"/>
    <col min="2" max="3" width="30.77734375" customWidth="1"/>
    <col min="4" max="4" width="12.77734375" customWidth="1"/>
    <col min="5" max="5" width="23.88671875" customWidth="1"/>
    <col min="9" max="9" width="17.77734375" customWidth="1"/>
  </cols>
  <sheetData>
    <row r="1" spans="1:5" ht="15.75" thickBot="1">
      <c r="A1" s="186" t="str">
        <f>'Data sheet'!$A$59</f>
        <v>Annual Report of New York American Water Company, Inc. (f/k/a Long Island Water Corp)                                   Year Ended  December 31, 2013</v>
      </c>
      <c r="D1" s="1672"/>
      <c r="E1" s="1676"/>
    </row>
    <row r="2" spans="1:5">
      <c r="A2" s="1155"/>
      <c r="B2" s="1156"/>
      <c r="C2" s="1156"/>
      <c r="D2" s="1156"/>
      <c r="E2" s="1157"/>
    </row>
    <row r="3" spans="1:5" ht="15.75">
      <c r="A3" s="1136" t="s">
        <v>2036</v>
      </c>
      <c r="B3" s="1137"/>
      <c r="C3" s="1137"/>
      <c r="D3" s="1137"/>
      <c r="E3" s="1138"/>
    </row>
    <row r="4" spans="1:5">
      <c r="A4" s="1158"/>
      <c r="B4" s="1159"/>
      <c r="C4" s="1159"/>
      <c r="D4" s="1159"/>
      <c r="E4" s="1160"/>
    </row>
    <row r="5" spans="1:5">
      <c r="A5" s="1161"/>
      <c r="B5" s="22"/>
      <c r="C5" s="22"/>
      <c r="D5" s="22"/>
      <c r="E5" s="1162"/>
    </row>
    <row r="6" spans="1:5">
      <c r="A6" s="1161"/>
      <c r="B6" s="22" t="s">
        <v>2037</v>
      </c>
      <c r="C6" s="22"/>
      <c r="D6" s="22"/>
      <c r="E6" s="1162"/>
    </row>
    <row r="7" spans="1:5">
      <c r="A7" s="1161"/>
      <c r="B7" s="22" t="s">
        <v>2038</v>
      </c>
      <c r="C7" s="22"/>
      <c r="D7" s="22"/>
      <c r="E7" s="1162"/>
    </row>
    <row r="8" spans="1:5">
      <c r="A8" s="1161"/>
      <c r="B8" s="22"/>
      <c r="C8" s="22"/>
      <c r="D8" s="22"/>
      <c r="E8" s="1162"/>
    </row>
    <row r="9" spans="1:5">
      <c r="A9" s="1161"/>
      <c r="B9" s="22" t="s">
        <v>2039</v>
      </c>
      <c r="C9" s="22"/>
      <c r="D9" s="22"/>
      <c r="E9" s="1162"/>
    </row>
    <row r="10" spans="1:5">
      <c r="A10" s="1161"/>
      <c r="B10" s="22"/>
      <c r="C10" s="22"/>
      <c r="D10" s="22"/>
      <c r="E10" s="1162"/>
    </row>
    <row r="11" spans="1:5">
      <c r="A11" s="1161"/>
      <c r="B11" s="22" t="s">
        <v>2040</v>
      </c>
      <c r="C11" s="22"/>
      <c r="D11" s="22"/>
      <c r="E11" s="1162"/>
    </row>
    <row r="12" spans="1:5">
      <c r="A12" s="1161"/>
      <c r="B12" s="22"/>
      <c r="C12" s="22"/>
      <c r="D12" s="22"/>
      <c r="E12" s="1162"/>
    </row>
    <row r="13" spans="1:5">
      <c r="A13" s="1163"/>
      <c r="B13" s="1164"/>
      <c r="C13" s="1164"/>
      <c r="D13" s="1164"/>
      <c r="E13" s="1165"/>
    </row>
    <row r="14" spans="1:5">
      <c r="A14" s="1166"/>
      <c r="B14" s="22"/>
      <c r="C14" s="22"/>
      <c r="D14" s="22"/>
      <c r="E14" s="1167" t="s">
        <v>2966</v>
      </c>
    </row>
    <row r="15" spans="1:5">
      <c r="A15" s="1168" t="s">
        <v>1939</v>
      </c>
      <c r="B15" s="24" t="s">
        <v>2041</v>
      </c>
      <c r="C15" s="24"/>
      <c r="D15" s="24"/>
      <c r="E15" s="1167" t="s">
        <v>2311</v>
      </c>
    </row>
    <row r="16" spans="1:5">
      <c r="A16" s="1169" t="s">
        <v>1941</v>
      </c>
      <c r="B16" s="1170" t="s">
        <v>4032</v>
      </c>
      <c r="C16" s="1170"/>
      <c r="D16" s="1170"/>
      <c r="E16" s="1171" t="s">
        <v>4033</v>
      </c>
    </row>
    <row r="17" spans="1:5">
      <c r="A17" s="1168">
        <v>1</v>
      </c>
      <c r="B17" s="22" t="s">
        <v>5336</v>
      </c>
      <c r="C17" s="22"/>
      <c r="D17" s="22"/>
      <c r="E17" s="2036">
        <v>104</v>
      </c>
    </row>
    <row r="18" spans="1:5">
      <c r="A18" s="1168">
        <v>2</v>
      </c>
      <c r="B18" s="22" t="s">
        <v>2129</v>
      </c>
      <c r="C18" s="22"/>
      <c r="D18" s="22"/>
      <c r="E18" s="2036">
        <v>6178</v>
      </c>
    </row>
    <row r="19" spans="1:5">
      <c r="A19" s="1168">
        <v>3</v>
      </c>
      <c r="B19" s="22" t="s">
        <v>2130</v>
      </c>
      <c r="C19" s="22"/>
      <c r="D19" s="22"/>
      <c r="E19" s="2036">
        <v>29555</v>
      </c>
    </row>
    <row r="20" spans="1:5">
      <c r="A20" s="1168">
        <v>4</v>
      </c>
      <c r="B20" s="22" t="s">
        <v>5337</v>
      </c>
      <c r="C20" s="22"/>
      <c r="D20" s="22"/>
      <c r="E20" s="2036">
        <v>150462</v>
      </c>
    </row>
    <row r="21" spans="1:5">
      <c r="A21" s="1168">
        <v>5</v>
      </c>
      <c r="B21" s="22" t="s">
        <v>4903</v>
      </c>
      <c r="C21" s="22"/>
      <c r="D21" s="22"/>
      <c r="E21" s="2036">
        <v>500</v>
      </c>
    </row>
    <row r="22" spans="1:5">
      <c r="A22" s="1168">
        <v>6</v>
      </c>
      <c r="B22" s="22"/>
      <c r="C22" s="22"/>
      <c r="D22" s="22"/>
      <c r="E22" s="1173"/>
    </row>
    <row r="23" spans="1:5">
      <c r="A23" s="1168">
        <v>7</v>
      </c>
      <c r="B23" s="22"/>
      <c r="C23" s="22"/>
      <c r="D23" s="22"/>
      <c r="E23" s="1173"/>
    </row>
    <row r="24" spans="1:5">
      <c r="A24" s="1168">
        <v>8</v>
      </c>
      <c r="B24" s="22"/>
      <c r="C24" s="22"/>
      <c r="D24" s="22"/>
      <c r="E24" s="1173"/>
    </row>
    <row r="25" spans="1:5">
      <c r="A25" s="1168">
        <v>9</v>
      </c>
      <c r="B25" s="22"/>
      <c r="C25" s="22"/>
      <c r="D25" s="22"/>
      <c r="E25" s="1173"/>
    </row>
    <row r="26" spans="1:5">
      <c r="A26" s="1168">
        <v>10</v>
      </c>
      <c r="B26" s="22"/>
      <c r="C26" s="22"/>
      <c r="D26" s="22"/>
      <c r="E26" s="1173"/>
    </row>
    <row r="27" spans="1:5">
      <c r="A27" s="1168">
        <v>11</v>
      </c>
      <c r="B27" s="22"/>
      <c r="C27" s="22"/>
      <c r="D27" s="22"/>
      <c r="E27" s="1173"/>
    </row>
    <row r="28" spans="1:5">
      <c r="A28" s="1168">
        <v>12</v>
      </c>
      <c r="B28" s="22"/>
      <c r="C28" s="22"/>
      <c r="D28" s="22"/>
      <c r="E28" s="1173"/>
    </row>
    <row r="29" spans="1:5">
      <c r="A29" s="1168">
        <v>13</v>
      </c>
      <c r="B29" s="22"/>
      <c r="C29" s="22"/>
      <c r="D29" s="22"/>
      <c r="E29" s="1173"/>
    </row>
    <row r="30" spans="1:5">
      <c r="A30" s="1168">
        <v>14</v>
      </c>
      <c r="B30" s="22"/>
      <c r="C30" s="22"/>
      <c r="D30" s="22"/>
      <c r="E30" s="1173"/>
    </row>
    <row r="31" spans="1:5">
      <c r="A31" s="1168">
        <v>15</v>
      </c>
      <c r="B31" s="22"/>
      <c r="C31" s="22"/>
      <c r="D31" s="22"/>
      <c r="E31" s="1173"/>
    </row>
    <row r="32" spans="1:5">
      <c r="A32" s="1168">
        <v>16</v>
      </c>
      <c r="B32" s="22"/>
      <c r="C32" s="22"/>
      <c r="D32" s="22"/>
      <c r="E32" s="1173"/>
    </row>
    <row r="33" spans="1:5">
      <c r="A33" s="1168">
        <v>17</v>
      </c>
      <c r="B33" s="22"/>
      <c r="C33" s="22"/>
      <c r="D33" s="22"/>
      <c r="E33" s="1173"/>
    </row>
    <row r="34" spans="1:5">
      <c r="A34" s="1168">
        <v>18</v>
      </c>
      <c r="B34" s="22"/>
      <c r="C34" s="22"/>
      <c r="D34" s="22"/>
      <c r="E34" s="1173"/>
    </row>
    <row r="35" spans="1:5">
      <c r="A35" s="1168">
        <v>19</v>
      </c>
      <c r="B35" s="1174" t="s">
        <v>2128</v>
      </c>
      <c r="C35" s="1174"/>
      <c r="D35" s="1174"/>
      <c r="E35" s="1175">
        <f>SUM(E17:E34)</f>
        <v>186799</v>
      </c>
    </row>
    <row r="36" spans="1:5">
      <c r="A36" s="1168">
        <v>20</v>
      </c>
      <c r="B36" s="1176"/>
      <c r="C36" s="1176"/>
      <c r="D36" s="1176"/>
      <c r="E36" s="1177"/>
    </row>
    <row r="37" spans="1:5">
      <c r="A37" s="1168">
        <v>21</v>
      </c>
      <c r="B37" s="22"/>
      <c r="C37" s="22"/>
      <c r="D37" s="22"/>
      <c r="E37" s="1172"/>
    </row>
    <row r="38" spans="1:5">
      <c r="A38" s="1168">
        <v>22</v>
      </c>
      <c r="B38" s="22"/>
      <c r="C38" s="22"/>
      <c r="D38" s="22"/>
      <c r="E38" s="1173"/>
    </row>
    <row r="39" spans="1:5">
      <c r="A39" s="1168">
        <v>23</v>
      </c>
      <c r="B39" s="22"/>
      <c r="C39" s="22"/>
      <c r="D39" s="22"/>
      <c r="E39" s="1173"/>
    </row>
    <row r="40" spans="1:5">
      <c r="A40" s="1168">
        <v>24</v>
      </c>
      <c r="B40" s="22"/>
      <c r="C40" s="22"/>
      <c r="D40" s="22"/>
      <c r="E40" s="1173"/>
    </row>
    <row r="41" spans="1:5">
      <c r="A41" s="1168">
        <v>25</v>
      </c>
      <c r="B41" s="22"/>
      <c r="C41" s="22"/>
      <c r="D41" s="22"/>
      <c r="E41" s="1173"/>
    </row>
    <row r="42" spans="1:5">
      <c r="A42" s="1168">
        <v>26</v>
      </c>
      <c r="B42" s="22"/>
      <c r="C42" s="22"/>
      <c r="D42" s="22"/>
      <c r="E42" s="1173"/>
    </row>
    <row r="43" spans="1:5">
      <c r="A43" s="1168">
        <v>27</v>
      </c>
      <c r="B43" s="22"/>
      <c r="C43" s="22"/>
      <c r="D43" s="22"/>
      <c r="E43" s="1173"/>
    </row>
    <row r="44" spans="1:5">
      <c r="A44" s="1168">
        <v>28</v>
      </c>
      <c r="B44" s="22"/>
      <c r="C44" s="22"/>
      <c r="D44" s="22"/>
      <c r="E44" s="1173"/>
    </row>
    <row r="45" spans="1:5">
      <c r="A45" s="1168">
        <v>29</v>
      </c>
      <c r="B45" s="22"/>
      <c r="C45" s="22"/>
      <c r="D45" s="22"/>
      <c r="E45" s="1173"/>
    </row>
    <row r="46" spans="1:5">
      <c r="A46" s="1168">
        <v>30</v>
      </c>
      <c r="B46" s="22"/>
      <c r="C46" s="22"/>
      <c r="D46" s="22"/>
      <c r="E46" s="1173"/>
    </row>
    <row r="47" spans="1:5">
      <c r="A47" s="1168">
        <v>31</v>
      </c>
      <c r="B47" s="22"/>
      <c r="C47" s="22"/>
      <c r="D47" s="22"/>
      <c r="E47" s="1173"/>
    </row>
    <row r="48" spans="1:5">
      <c r="A48" s="1168">
        <v>32</v>
      </c>
      <c r="B48" s="22"/>
      <c r="C48" s="22"/>
      <c r="D48" s="22"/>
      <c r="E48" s="1173"/>
    </row>
    <row r="49" spans="1:5">
      <c r="A49" s="1168">
        <v>33</v>
      </c>
      <c r="B49" s="22"/>
      <c r="C49" s="22"/>
      <c r="D49" s="22"/>
      <c r="E49" s="1173"/>
    </row>
    <row r="50" spans="1:5">
      <c r="A50" s="1168">
        <v>34</v>
      </c>
      <c r="B50" s="22"/>
      <c r="C50" s="22"/>
      <c r="D50" s="22"/>
      <c r="E50" s="1173"/>
    </row>
    <row r="51" spans="1:5">
      <c r="A51" s="1168">
        <v>35</v>
      </c>
      <c r="B51" s="22"/>
      <c r="C51" s="22"/>
      <c r="D51" s="22"/>
      <c r="E51" s="1173"/>
    </row>
    <row r="52" spans="1:5">
      <c r="A52" s="1168">
        <v>36</v>
      </c>
      <c r="B52" s="22"/>
      <c r="C52" s="22"/>
      <c r="D52" s="22"/>
      <c r="E52" s="1173"/>
    </row>
    <row r="53" spans="1:5">
      <c r="A53" s="1168">
        <v>37</v>
      </c>
      <c r="B53" s="22"/>
      <c r="C53" s="22"/>
      <c r="D53" s="22"/>
      <c r="E53" s="1173"/>
    </row>
    <row r="54" spans="1:5">
      <c r="A54" s="1168">
        <v>38</v>
      </c>
      <c r="B54" s="22"/>
      <c r="C54" s="22"/>
      <c r="D54" s="22"/>
      <c r="E54" s="1173"/>
    </row>
    <row r="55" spans="1:5">
      <c r="A55" s="1168">
        <v>39</v>
      </c>
      <c r="B55" s="22"/>
      <c r="C55" s="22"/>
      <c r="D55" s="22"/>
      <c r="E55" s="1173"/>
    </row>
    <row r="56" spans="1:5">
      <c r="A56" s="1168">
        <v>40</v>
      </c>
      <c r="B56" s="22"/>
      <c r="C56" s="22"/>
      <c r="D56" s="22"/>
      <c r="E56" s="1173"/>
    </row>
    <row r="57" spans="1:5">
      <c r="A57" s="1168">
        <v>41</v>
      </c>
      <c r="B57" s="22"/>
      <c r="C57" s="22"/>
      <c r="D57" s="22"/>
      <c r="E57" s="1173"/>
    </row>
    <row r="58" spans="1:5">
      <c r="A58" s="1168">
        <v>42</v>
      </c>
      <c r="B58" s="22"/>
      <c r="C58" s="22"/>
      <c r="D58" s="22"/>
      <c r="E58" s="1173"/>
    </row>
    <row r="59" spans="1:5">
      <c r="A59" s="1168">
        <v>43</v>
      </c>
      <c r="B59" s="22"/>
      <c r="C59" s="22"/>
      <c r="D59" s="22"/>
      <c r="E59" s="1173"/>
    </row>
    <row r="60" spans="1:5">
      <c r="A60" s="1168">
        <v>44</v>
      </c>
      <c r="B60" s="22"/>
      <c r="C60" s="22"/>
      <c r="D60" s="22"/>
      <c r="E60" s="1173"/>
    </row>
    <row r="61" spans="1:5">
      <c r="A61" s="1168">
        <v>45</v>
      </c>
      <c r="B61" s="22"/>
      <c r="C61" s="22"/>
      <c r="D61" s="22"/>
      <c r="E61" s="1173"/>
    </row>
    <row r="62" spans="1:5">
      <c r="A62" s="1168">
        <v>46</v>
      </c>
      <c r="B62" s="22"/>
      <c r="C62" s="22"/>
      <c r="D62" s="22"/>
      <c r="E62" s="1173"/>
    </row>
    <row r="63" spans="1:5" ht="15.75" thickBot="1">
      <c r="A63" s="1178">
        <v>47</v>
      </c>
      <c r="B63" s="1179" t="s">
        <v>2131</v>
      </c>
      <c r="C63" s="1179"/>
      <c r="D63" s="1179"/>
      <c r="E63" s="1180">
        <f>SUM(E37:E62)</f>
        <v>0</v>
      </c>
    </row>
    <row r="64" spans="1:5">
      <c r="A64" s="22"/>
      <c r="B64" s="22"/>
      <c r="C64" s="22"/>
      <c r="D64" s="22"/>
      <c r="E64" s="22" t="s">
        <v>4066</v>
      </c>
    </row>
    <row r="65" spans="1:5">
      <c r="A65" s="24" t="s">
        <v>2132</v>
      </c>
      <c r="B65" s="24"/>
      <c r="C65" s="24"/>
      <c r="D65" s="24"/>
      <c r="E65" s="24"/>
    </row>
    <row r="72" spans="1:5">
      <c r="B72" s="260"/>
    </row>
    <row r="75" spans="1:5">
      <c r="B75" s="260"/>
    </row>
    <row r="76" spans="1:5">
      <c r="B76" s="260"/>
    </row>
    <row r="77" spans="1:5">
      <c r="B77" s="260"/>
    </row>
    <row r="78" spans="1:5">
      <c r="B78" s="260"/>
    </row>
    <row r="79" spans="1:5">
      <c r="B79" s="22"/>
    </row>
    <row r="80" spans="1:5">
      <c r="B80" s="260"/>
    </row>
    <row r="124" spans="1:6" ht="15.75" thickBot="1"/>
    <row r="125" spans="1:6">
      <c r="A125" s="2868"/>
      <c r="B125" s="2869"/>
      <c r="C125" s="2869"/>
      <c r="D125" s="2869"/>
      <c r="E125" s="2901"/>
    </row>
    <row r="126" spans="1:6">
      <c r="A126" s="3057"/>
      <c r="B126" s="3058"/>
      <c r="C126" s="3058"/>
      <c r="D126" s="3058"/>
      <c r="E126" s="3059"/>
      <c r="F126" s="1000"/>
    </row>
    <row r="127" spans="1:6">
      <c r="A127" s="2872"/>
      <c r="B127" s="952"/>
      <c r="C127" s="952"/>
      <c r="D127" s="952"/>
      <c r="E127" s="2817"/>
    </row>
    <row r="128" spans="1:6">
      <c r="A128" s="2872"/>
      <c r="B128" s="952"/>
      <c r="C128" s="952"/>
      <c r="D128" s="952"/>
      <c r="E128" s="2817"/>
    </row>
    <row r="129" spans="1:5">
      <c r="A129" s="2872"/>
      <c r="B129" s="952"/>
      <c r="C129" s="952"/>
      <c r="D129" s="952"/>
      <c r="E129" s="2817"/>
    </row>
    <row r="130" spans="1:5">
      <c r="A130" s="2872"/>
      <c r="B130" s="952"/>
      <c r="C130" s="952"/>
      <c r="D130" s="952"/>
      <c r="E130" s="2817"/>
    </row>
    <row r="131" spans="1:5">
      <c r="A131" s="2872"/>
      <c r="B131" s="952"/>
      <c r="C131" s="952"/>
      <c r="D131" s="952"/>
      <c r="E131" s="2817"/>
    </row>
    <row r="132" spans="1:5">
      <c r="A132" s="2872"/>
      <c r="B132" s="952"/>
      <c r="C132" s="952"/>
      <c r="D132" s="952"/>
      <c r="E132" s="2817"/>
    </row>
    <row r="133" spans="1:5">
      <c r="A133" s="2872"/>
      <c r="B133" s="952"/>
      <c r="C133" s="952"/>
      <c r="D133" s="952"/>
      <c r="E133" s="2817"/>
    </row>
    <row r="134" spans="1:5">
      <c r="A134" s="2872"/>
      <c r="B134" s="952"/>
      <c r="C134" s="952"/>
      <c r="D134" s="952"/>
      <c r="E134" s="2817"/>
    </row>
    <row r="135" spans="1:5">
      <c r="A135" s="2872"/>
      <c r="B135" s="952"/>
      <c r="C135" s="952"/>
      <c r="D135" s="952"/>
      <c r="E135" s="2817"/>
    </row>
    <row r="136" spans="1:5">
      <c r="A136" s="2872"/>
      <c r="B136" s="952"/>
      <c r="C136" s="952"/>
      <c r="D136" s="952"/>
      <c r="E136" s="2817"/>
    </row>
    <row r="137" spans="1:5">
      <c r="A137" s="2872"/>
      <c r="B137" s="952"/>
      <c r="C137" s="952"/>
      <c r="D137" s="952"/>
      <c r="E137" s="2817"/>
    </row>
    <row r="138" spans="1:5">
      <c r="A138" s="2872"/>
      <c r="B138" s="952"/>
      <c r="C138" s="952"/>
      <c r="D138" s="952"/>
      <c r="E138" s="2817"/>
    </row>
    <row r="139" spans="1:5">
      <c r="A139" s="2872"/>
      <c r="B139" s="952"/>
      <c r="C139" s="952"/>
      <c r="D139" s="952"/>
      <c r="E139" s="2817"/>
    </row>
    <row r="140" spans="1:5">
      <c r="A140" s="2872"/>
      <c r="B140" s="952"/>
      <c r="C140" s="952"/>
      <c r="D140" s="952"/>
      <c r="E140" s="2817"/>
    </row>
    <row r="141" spans="1:5">
      <c r="A141" s="2872"/>
      <c r="B141" s="952"/>
      <c r="C141" s="952"/>
      <c r="D141" s="952"/>
      <c r="E141" s="2817"/>
    </row>
    <row r="142" spans="1:5">
      <c r="A142" s="2872"/>
      <c r="B142" s="952"/>
      <c r="C142" s="952"/>
      <c r="D142" s="952"/>
      <c r="E142" s="2817"/>
    </row>
    <row r="143" spans="1:5">
      <c r="A143" s="2872"/>
      <c r="B143" s="952"/>
      <c r="C143" s="952"/>
      <c r="D143" s="952"/>
      <c r="E143" s="2817"/>
    </row>
    <row r="144" spans="1:5">
      <c r="A144" s="2872"/>
      <c r="B144" s="952"/>
      <c r="C144" s="952"/>
      <c r="D144" s="952"/>
      <c r="E144" s="2817"/>
    </row>
    <row r="145" spans="1:5">
      <c r="A145" s="2872"/>
      <c r="B145" s="952"/>
      <c r="C145" s="952"/>
      <c r="D145" s="952"/>
      <c r="E145" s="2817"/>
    </row>
    <row r="146" spans="1:5">
      <c r="A146" s="2872"/>
      <c r="B146" s="952"/>
      <c r="C146" s="952"/>
      <c r="D146" s="952"/>
      <c r="E146" s="2817"/>
    </row>
    <row r="147" spans="1:5">
      <c r="A147" s="2872"/>
      <c r="B147" s="952"/>
      <c r="C147" s="952"/>
      <c r="D147" s="952"/>
      <c r="E147" s="2817"/>
    </row>
    <row r="148" spans="1:5">
      <c r="A148" s="2872"/>
      <c r="B148" s="952"/>
      <c r="C148" s="952"/>
      <c r="D148" s="952"/>
      <c r="E148" s="2817"/>
    </row>
    <row r="149" spans="1:5">
      <c r="A149" s="2872"/>
      <c r="B149" s="952"/>
      <c r="C149" s="952"/>
      <c r="D149" s="952"/>
      <c r="E149" s="2817"/>
    </row>
    <row r="150" spans="1:5">
      <c r="A150" s="2872"/>
      <c r="B150" s="952"/>
      <c r="C150" s="952"/>
      <c r="D150" s="952"/>
      <c r="E150" s="2817"/>
    </row>
    <row r="151" spans="1:5">
      <c r="A151" s="2872"/>
      <c r="B151" s="952"/>
      <c r="C151" s="952"/>
      <c r="D151" s="952"/>
      <c r="E151" s="2817"/>
    </row>
    <row r="152" spans="1:5">
      <c r="A152" s="2872"/>
      <c r="B152" s="952"/>
      <c r="C152" s="952"/>
      <c r="D152" s="952"/>
      <c r="E152" s="2817"/>
    </row>
    <row r="153" spans="1:5">
      <c r="A153" s="2872"/>
      <c r="B153" s="952"/>
      <c r="C153" s="952"/>
      <c r="D153" s="952"/>
      <c r="E153" s="2817"/>
    </row>
    <row r="154" spans="1:5">
      <c r="A154" s="2872"/>
      <c r="B154" s="952"/>
      <c r="C154" s="952"/>
      <c r="D154" s="952"/>
      <c r="E154" s="2817"/>
    </row>
    <row r="155" spans="1:5">
      <c r="A155" s="2872"/>
      <c r="B155" s="952"/>
      <c r="C155" s="952"/>
      <c r="D155" s="952"/>
      <c r="E155" s="2817"/>
    </row>
    <row r="156" spans="1:5">
      <c r="A156" s="2872"/>
      <c r="B156" s="952"/>
      <c r="C156" s="952"/>
      <c r="D156" s="952"/>
      <c r="E156" s="2817"/>
    </row>
    <row r="157" spans="1:5">
      <c r="A157" s="2872"/>
      <c r="B157" s="952"/>
      <c r="C157" s="952"/>
      <c r="D157" s="952"/>
      <c r="E157" s="2817"/>
    </row>
    <row r="158" spans="1:5">
      <c r="A158" s="2872"/>
      <c r="B158" s="952"/>
      <c r="C158" s="952"/>
      <c r="D158" s="952"/>
      <c r="E158" s="2817"/>
    </row>
    <row r="159" spans="1:5">
      <c r="A159" s="2872"/>
      <c r="B159" s="952"/>
      <c r="C159" s="952"/>
      <c r="D159" s="952"/>
      <c r="E159" s="2817"/>
    </row>
    <row r="160" spans="1:5">
      <c r="A160" s="2872"/>
      <c r="B160" s="952"/>
      <c r="C160" s="952"/>
      <c r="D160" s="952"/>
      <c r="E160" s="2817"/>
    </row>
    <row r="161" spans="1:5">
      <c r="A161" s="2872"/>
      <c r="B161" s="952"/>
      <c r="C161" s="952"/>
      <c r="D161" s="952"/>
      <c r="E161" s="2817"/>
    </row>
    <row r="162" spans="1:5">
      <c r="A162" s="2872"/>
      <c r="B162" s="952"/>
      <c r="C162" s="952"/>
      <c r="D162" s="952"/>
      <c r="E162" s="2817"/>
    </row>
    <row r="163" spans="1:5">
      <c r="A163" s="2872"/>
      <c r="B163" s="952"/>
      <c r="C163" s="952"/>
      <c r="D163" s="952"/>
      <c r="E163" s="2817"/>
    </row>
    <row r="164" spans="1:5">
      <c r="A164" s="2872"/>
      <c r="B164" s="952"/>
      <c r="C164" s="952"/>
      <c r="D164" s="952"/>
      <c r="E164" s="2817"/>
    </row>
    <row r="165" spans="1:5">
      <c r="A165" s="2872"/>
      <c r="B165" s="952"/>
      <c r="C165" s="952"/>
      <c r="D165" s="952"/>
      <c r="E165" s="2817"/>
    </row>
    <row r="166" spans="1:5">
      <c r="A166" s="2872"/>
      <c r="B166" s="952"/>
      <c r="C166" s="952"/>
      <c r="D166" s="952"/>
      <c r="E166" s="2817"/>
    </row>
    <row r="167" spans="1:5">
      <c r="A167" s="2872"/>
      <c r="B167" s="952"/>
      <c r="C167" s="952"/>
      <c r="D167" s="952"/>
      <c r="E167" s="2817"/>
    </row>
    <row r="168" spans="1:5">
      <c r="A168" s="2872"/>
      <c r="B168" s="952"/>
      <c r="C168" s="952"/>
      <c r="D168" s="952"/>
      <c r="E168" s="2817"/>
    </row>
    <row r="169" spans="1:5">
      <c r="A169" s="2872"/>
      <c r="B169" s="952"/>
      <c r="C169" s="952"/>
      <c r="D169" s="952"/>
      <c r="E169" s="2817"/>
    </row>
    <row r="170" spans="1:5">
      <c r="A170" s="2872"/>
      <c r="B170" s="952"/>
      <c r="C170" s="952"/>
      <c r="D170" s="952"/>
      <c r="E170" s="2817"/>
    </row>
    <row r="171" spans="1:5">
      <c r="A171" s="2872"/>
      <c r="B171" s="952"/>
      <c r="C171" s="952"/>
      <c r="D171" s="952"/>
      <c r="E171" s="2817"/>
    </row>
    <row r="172" spans="1:5">
      <c r="A172" s="2872"/>
      <c r="B172" s="952"/>
      <c r="C172" s="952"/>
      <c r="D172" s="952"/>
      <c r="E172" s="2817"/>
    </row>
    <row r="173" spans="1:5">
      <c r="A173" s="2872"/>
      <c r="B173" s="952"/>
      <c r="C173" s="952"/>
      <c r="D173" s="952"/>
      <c r="E173" s="2817"/>
    </row>
    <row r="174" spans="1:5">
      <c r="A174" s="2872"/>
      <c r="B174" s="952"/>
      <c r="C174" s="952"/>
      <c r="D174" s="952"/>
      <c r="E174" s="2817"/>
    </row>
    <row r="175" spans="1:5">
      <c r="A175" s="2872"/>
      <c r="B175" s="952"/>
      <c r="C175" s="952"/>
      <c r="D175" s="952"/>
      <c r="E175" s="2817"/>
    </row>
    <row r="176" spans="1:5" ht="15.75" thickBot="1">
      <c r="A176" s="2897"/>
      <c r="B176" s="2902"/>
      <c r="C176" s="2902"/>
      <c r="D176" s="2902"/>
      <c r="E176" s="2903"/>
    </row>
  </sheetData>
  <customSheetViews>
    <customSheetView guid="{1BA452AD-1A45-4D9C-9666-ADFFA6F2F567}" scale="75" colorId="22" fitToPage="1">
      <selection activeCell="E20" sqref="E20"/>
      <pageMargins left="0.75" right="0.4" top="0.3" bottom="0.3" header="0" footer="0"/>
      <printOptions horizontalCentered="1" verticalCentered="1"/>
      <pageSetup scale="69" orientation="portrait" r:id="rId1"/>
      <headerFooter alignWithMargins="0"/>
    </customSheetView>
    <customSheetView guid="{EEF7ABD6-0F96-4791-B749-C06F707E7673}" scale="75" colorId="22" fitToPage="1" showRuler="0">
      <selection activeCell="F30" sqref="F30"/>
      <pageMargins left="0.75" right="0.4" top="0.3" bottom="0.3" header="0" footer="0"/>
      <printOptions horizontalCentered="1" verticalCentered="1"/>
      <pageSetup scale="69" orientation="portrait" r:id="rId2"/>
      <headerFooter alignWithMargins="0"/>
    </customSheetView>
    <customSheetView guid="{A7D7DB3C-AFE6-468E-8C6B-9531F6711497}" scale="60" colorId="22" showPageBreaks="1" fitToPage="1" view="pageBreakPreview" showRuler="0" topLeftCell="A28">
      <selection activeCell="E41" sqref="E41"/>
      <pageMargins left="0.75" right="0.4" top="0.3" bottom="0.3" header="0" footer="0"/>
      <printOptions horizontalCentered="1" verticalCentered="1"/>
      <pageSetup scale="76" orientation="portrait" r:id="rId3"/>
      <headerFooter alignWithMargins="0"/>
    </customSheetView>
    <customSheetView guid="{4436FEB5-BFEC-4348-9286-CB706802873E}" scale="60" colorId="22" showPageBreaks="1" fitToPage="1" view="pageBreakPreview" showRuler="0" topLeftCell="A28">
      <selection activeCell="E41" sqref="E41"/>
      <pageMargins left="0.75" right="0.4" top="0.3" bottom="0.3" header="0" footer="0"/>
      <printOptions horizontalCentered="1" verticalCentered="1"/>
      <pageSetup scale="69" orientation="portrait" r:id="rId4"/>
      <headerFooter alignWithMargins="0"/>
    </customSheetView>
    <customSheetView guid="{044CF00C-469F-44B3-B2C4-9B4049CE70CB}" scale="75" colorId="22" fitToPage="1" showRuler="0">
      <selection activeCell="E41" sqref="E41"/>
      <pageMargins left="0.75" right="0.4" top="0.3" bottom="0.3" header="0" footer="0"/>
      <printOptions horizontalCentered="1" verticalCentered="1"/>
      <pageSetup scale="69" orientation="portrait" r:id="rId5"/>
      <headerFooter alignWithMargins="0"/>
    </customSheetView>
    <customSheetView guid="{4826FCC0-BDD6-4B2C-ACC6-ACE271DDF0E3}" scale="75" colorId="22" fitToPage="1" showRuler="0">
      <selection activeCell="F30" sqref="F30"/>
      <pageMargins left="0.75" right="0.4" top="0.3" bottom="0.3" header="0" footer="0"/>
      <printOptions horizontalCentered="1" verticalCentered="1"/>
      <pageSetup scale="69" orientation="portrait" r:id="rId6"/>
      <headerFooter alignWithMargins="0"/>
    </customSheetView>
    <customSheetView guid="{EF376D10-23D6-4FE2-AB5B-4460D52CC93F}" scale="75" colorId="22" fitToPage="1" showRuler="0">
      <selection activeCell="F30" sqref="F30"/>
      <pageMargins left="0.75" right="0.4" top="0.3" bottom="0.3" header="0" footer="0"/>
      <printOptions horizontalCentered="1" verticalCentered="1"/>
      <pageSetup scale="69" orientation="portrait" r:id="rId7"/>
      <headerFooter alignWithMargins="0"/>
    </customSheetView>
    <customSheetView guid="{1C046605-15CE-44F1-BFCD-2CA8588E7ACF}" scale="75" colorId="22" fitToPage="1" showRuler="0">
      <selection activeCell="G28" sqref="G28"/>
      <pageMargins left="0.75" right="0.4" top="0.3" bottom="0.3" header="0" footer="0"/>
      <printOptions horizontalCentered="1" verticalCentered="1"/>
      <pageSetup scale="69" orientation="portrait" r:id="rId8"/>
      <headerFooter alignWithMargins="0"/>
    </customSheetView>
    <customSheetView guid="{3911D713-188C-46A1-A299-F21DD3B7A146}" scale="75" colorId="22" fitToPage="1" showRuler="0">
      <selection activeCell="G28" sqref="G28"/>
      <pageMargins left="0.75" right="0.4" top="0.3" bottom="0.3" header="0" footer="0"/>
      <printOptions horizontalCentered="1" verticalCentered="1"/>
      <pageSetup scale="69" orientation="portrait" r:id="rId9"/>
      <headerFooter alignWithMargins="0"/>
    </customSheetView>
    <customSheetView guid="{78BB1E60-60BE-4F56-9763-075185EFEFAB}" colorId="22" fitToPage="1">
      <selection activeCell="E34" sqref="E34"/>
      <pageMargins left="0.75" right="0.4" top="0.3" bottom="0.3" header="0" footer="0"/>
      <printOptions horizontalCentered="1" verticalCentered="1"/>
      <pageSetup scale="69" orientation="portrait" r:id="rId10"/>
      <headerFooter alignWithMargins="0"/>
    </customSheetView>
    <customSheetView guid="{9C30803E-1E2D-4850-B0A5-591CA6F246A1}" colorId="22" fitToPage="1">
      <selection activeCell="E34" sqref="E34"/>
      <pageMargins left="0.75" right="0.4" top="0.3" bottom="0.3" header="0" footer="0"/>
      <printOptions horizontalCentered="1" verticalCentered="1"/>
      <pageSetup scale="69" orientation="portrait" r:id="rId11"/>
      <headerFooter alignWithMargins="0"/>
    </customSheetView>
    <customSheetView guid="{3B1006FF-A2CA-49E7-9B25-DAC8815279AF}" colorId="22" fitToPage="1">
      <selection activeCell="E34" sqref="E34"/>
      <pageMargins left="0.75" right="0.4" top="0.3" bottom="0.3" header="0" footer="0"/>
      <printOptions horizontalCentered="1" verticalCentered="1"/>
      <pageSetup scale="69" orientation="portrait" r:id="rId12"/>
      <headerFooter alignWithMargins="0"/>
    </customSheetView>
    <customSheetView guid="{FB1A60C8-E1F9-4DF0-8E0E-1C965F86027F}" colorId="22" fitToPage="1">
      <selection activeCell="E34" sqref="E34"/>
      <pageMargins left="0.75" right="0.4" top="0.3" bottom="0.3" header="0" footer="0"/>
      <printOptions horizontalCentered="1" verticalCentered="1"/>
      <pageSetup scale="69" orientation="portrait" r:id="rId13"/>
      <headerFooter alignWithMargins="0"/>
    </customSheetView>
    <customSheetView guid="{C5B6D812-CBE6-46AA-99F7-02494E9802B4}" scale="70" colorId="22" fitToPage="1">
      <selection activeCell="E21" sqref="E21"/>
      <pageMargins left="0.75" right="0.4" top="0.3" bottom="0.3" header="0" footer="0"/>
      <printOptions horizontalCentered="1" verticalCentered="1"/>
      <pageSetup scale="69" orientation="portrait" r:id="rId14"/>
      <headerFooter alignWithMargins="0"/>
    </customSheetView>
  </customSheetViews>
  <mergeCells count="1">
    <mergeCell ref="A126:E126"/>
  </mergeCells>
  <phoneticPr fontId="0" type="noConversion"/>
  <printOptions horizontalCentered="1" verticalCentered="1"/>
  <pageMargins left="0.75" right="0.4" top="0.3" bottom="0.3" header="0" footer="0"/>
  <pageSetup scale="69" orientation="portrait" r:id="rId15"/>
  <headerFooter alignWithMargins="0"/>
  <customProperties>
    <customPr name="_pios_id" r:id="rId16"/>
  </customProperties>
</worksheet>
</file>

<file path=xl/worksheets/sheet5.xml><?xml version="1.0" encoding="utf-8"?>
<worksheet xmlns="http://schemas.openxmlformats.org/spreadsheetml/2006/main" xmlns:r="http://schemas.openxmlformats.org/officeDocument/2006/relationships">
  <sheetPr transitionEvaluation="1" codeName="Sheet4" enableFormatConditionsCalculation="0">
    <pageSetUpPr fitToPage="1"/>
  </sheetPr>
  <dimension ref="A1:E71"/>
  <sheetViews>
    <sheetView defaultGridColor="0" colorId="22" zoomScale="70" zoomScaleNormal="70" workbookViewId="0"/>
  </sheetViews>
  <sheetFormatPr defaultColWidth="9.77734375" defaultRowHeight="15"/>
  <cols>
    <col min="1" max="2" width="2.77734375" customWidth="1"/>
    <col min="3" max="3" width="69.6640625" customWidth="1"/>
  </cols>
  <sheetData>
    <row r="1" spans="1:5" ht="15.75" thickBot="1">
      <c r="B1" s="97"/>
      <c r="C1" s="442"/>
      <c r="D1" s="128"/>
      <c r="E1" s="230"/>
    </row>
    <row r="2" spans="1:5">
      <c r="B2" s="530"/>
      <c r="C2" s="233"/>
      <c r="D2" s="233"/>
      <c r="E2" s="531"/>
    </row>
    <row r="3" spans="1:5">
      <c r="A3" t="s">
        <v>4373</v>
      </c>
      <c r="B3" s="96" t="s">
        <v>4373</v>
      </c>
      <c r="C3" s="847" t="s">
        <v>4373</v>
      </c>
      <c r="D3" s="848"/>
      <c r="E3" s="532"/>
    </row>
    <row r="4" spans="1:5" ht="15.75">
      <c r="B4" s="3021" t="s">
        <v>4067</v>
      </c>
      <c r="C4" s="3022"/>
      <c r="D4" s="3022"/>
      <c r="E4" s="3023"/>
    </row>
    <row r="5" spans="1:5">
      <c r="B5" s="96"/>
      <c r="C5" s="847"/>
      <c r="D5" s="848"/>
      <c r="E5" s="532"/>
    </row>
    <row r="6" spans="1:5" ht="15.75" thickBot="1">
      <c r="B6" s="172"/>
      <c r="C6" s="124"/>
      <c r="D6" s="550"/>
      <c r="E6" s="564"/>
    </row>
    <row r="7" spans="1:5">
      <c r="B7" s="142"/>
      <c r="C7" s="143"/>
      <c r="D7" s="233"/>
      <c r="E7" s="531"/>
    </row>
    <row r="8" spans="1:5">
      <c r="A8" s="230"/>
      <c r="B8" s="238" t="s">
        <v>4163</v>
      </c>
      <c r="C8" s="849"/>
      <c r="D8" s="848"/>
      <c r="E8" s="532"/>
    </row>
    <row r="9" spans="1:5">
      <c r="A9" s="230"/>
      <c r="B9" s="238"/>
      <c r="C9" s="849" t="s">
        <v>2991</v>
      </c>
      <c r="D9" s="848"/>
      <c r="E9" s="532"/>
    </row>
    <row r="10" spans="1:5">
      <c r="A10" s="230"/>
      <c r="B10" s="238"/>
      <c r="C10" s="849" t="s">
        <v>4286</v>
      </c>
      <c r="D10" s="848"/>
      <c r="E10" s="532"/>
    </row>
    <row r="11" spans="1:5">
      <c r="A11" s="230"/>
      <c r="B11" s="238"/>
      <c r="C11" s="849" t="s">
        <v>4287</v>
      </c>
      <c r="D11" s="848"/>
      <c r="E11" s="532"/>
    </row>
    <row r="12" spans="1:5">
      <c r="A12" s="230"/>
      <c r="B12" s="238"/>
      <c r="C12" s="849"/>
      <c r="D12" s="848"/>
      <c r="E12" s="532"/>
    </row>
    <row r="13" spans="1:5">
      <c r="A13" s="230"/>
      <c r="B13" s="238" t="s">
        <v>4288</v>
      </c>
      <c r="C13" s="849"/>
      <c r="D13" s="848"/>
      <c r="E13" s="532"/>
    </row>
    <row r="14" spans="1:5">
      <c r="A14" s="230"/>
      <c r="B14" s="238"/>
      <c r="C14" s="849" t="s">
        <v>4289</v>
      </c>
      <c r="D14" s="848"/>
      <c r="E14" s="532"/>
    </row>
    <row r="15" spans="1:5">
      <c r="A15" s="230"/>
      <c r="B15" s="238"/>
      <c r="C15" s="849" t="s">
        <v>3663</v>
      </c>
      <c r="D15" s="848"/>
      <c r="E15" s="532"/>
    </row>
    <row r="16" spans="1:5">
      <c r="A16" s="230"/>
      <c r="B16" s="238"/>
      <c r="C16" s="849" t="s">
        <v>3664</v>
      </c>
      <c r="D16" s="848"/>
      <c r="E16" s="532"/>
    </row>
    <row r="17" spans="1:5">
      <c r="A17" s="230"/>
      <c r="B17" s="238"/>
      <c r="C17" s="848"/>
      <c r="D17" s="848"/>
      <c r="E17" s="532"/>
    </row>
    <row r="18" spans="1:5">
      <c r="A18" s="230"/>
      <c r="B18" s="238" t="s">
        <v>3665</v>
      </c>
      <c r="C18" s="848"/>
      <c r="D18" s="848"/>
      <c r="E18" s="532"/>
    </row>
    <row r="19" spans="1:5">
      <c r="A19" s="230"/>
      <c r="B19" s="238"/>
      <c r="C19" s="848" t="s">
        <v>139</v>
      </c>
      <c r="D19" s="848"/>
      <c r="E19" s="532"/>
    </row>
    <row r="20" spans="1:5">
      <c r="A20" s="230"/>
      <c r="B20" s="238"/>
      <c r="C20" s="848" t="s">
        <v>140</v>
      </c>
      <c r="D20" s="848"/>
      <c r="E20" s="532"/>
    </row>
    <row r="21" spans="1:5">
      <c r="A21" s="230"/>
      <c r="B21" s="238"/>
      <c r="C21" s="848"/>
      <c r="D21" s="848"/>
      <c r="E21" s="532"/>
    </row>
    <row r="22" spans="1:5">
      <c r="A22" s="230"/>
      <c r="B22" s="238" t="s">
        <v>3090</v>
      </c>
      <c r="C22" s="848"/>
      <c r="D22" s="848"/>
      <c r="E22" s="532"/>
    </row>
    <row r="23" spans="1:5">
      <c r="A23" s="230"/>
      <c r="B23" s="238"/>
      <c r="C23" s="848" t="s">
        <v>3091</v>
      </c>
      <c r="D23" s="848"/>
      <c r="E23" s="532"/>
    </row>
    <row r="24" spans="1:5">
      <c r="A24" s="230"/>
      <c r="B24" s="238"/>
      <c r="C24" s="848" t="s">
        <v>2631</v>
      </c>
      <c r="D24" s="848"/>
      <c r="E24" s="532"/>
    </row>
    <row r="25" spans="1:5">
      <c r="A25" s="230"/>
      <c r="B25" s="238"/>
      <c r="C25" s="848" t="s">
        <v>2254</v>
      </c>
      <c r="D25" s="848"/>
      <c r="E25" s="532"/>
    </row>
    <row r="26" spans="1:5">
      <c r="A26" s="230"/>
      <c r="B26" s="238"/>
      <c r="C26" s="848" t="s">
        <v>2420</v>
      </c>
      <c r="D26" s="848"/>
      <c r="E26" s="532"/>
    </row>
    <row r="27" spans="1:5">
      <c r="A27" s="230"/>
      <c r="B27" s="238"/>
      <c r="C27" s="848" t="s">
        <v>33</v>
      </c>
      <c r="D27" s="848"/>
      <c r="E27" s="532"/>
    </row>
    <row r="28" spans="1:5">
      <c r="A28" s="230"/>
      <c r="B28" s="238"/>
      <c r="C28" s="848" t="s">
        <v>34</v>
      </c>
      <c r="D28" s="848"/>
      <c r="E28" s="532"/>
    </row>
    <row r="29" spans="1:5">
      <c r="A29" s="230"/>
      <c r="B29" s="238"/>
      <c r="C29" s="848"/>
      <c r="D29" s="848"/>
      <c r="E29" s="532"/>
    </row>
    <row r="30" spans="1:5">
      <c r="A30" s="230"/>
      <c r="B30" s="238" t="s">
        <v>1898</v>
      </c>
      <c r="C30" s="848"/>
      <c r="D30" s="848"/>
      <c r="E30" s="532"/>
    </row>
    <row r="31" spans="1:5">
      <c r="A31" s="230"/>
      <c r="B31" s="238"/>
      <c r="C31" s="848" t="s">
        <v>2610</v>
      </c>
      <c r="D31" s="848"/>
      <c r="E31" s="532"/>
    </row>
    <row r="32" spans="1:5">
      <c r="A32" s="230"/>
      <c r="B32" s="238"/>
      <c r="C32" s="848" t="s">
        <v>2933</v>
      </c>
      <c r="D32" s="848"/>
      <c r="E32" s="532"/>
    </row>
    <row r="33" spans="1:5">
      <c r="A33" s="230"/>
      <c r="B33" s="238"/>
      <c r="C33" s="848" t="s">
        <v>2934</v>
      </c>
      <c r="D33" s="848"/>
      <c r="E33" s="532"/>
    </row>
    <row r="34" spans="1:5">
      <c r="A34" s="230"/>
      <c r="B34" s="238"/>
      <c r="C34" s="848"/>
      <c r="D34" s="848"/>
      <c r="E34" s="532"/>
    </row>
    <row r="35" spans="1:5">
      <c r="A35" s="230"/>
      <c r="B35" s="238" t="s">
        <v>3254</v>
      </c>
      <c r="C35" s="848"/>
      <c r="D35" s="848"/>
      <c r="E35" s="532"/>
    </row>
    <row r="36" spans="1:5">
      <c r="A36" s="230"/>
      <c r="B36" s="238"/>
      <c r="C36" s="848" t="s">
        <v>3571</v>
      </c>
      <c r="D36" s="848"/>
      <c r="E36" s="532"/>
    </row>
    <row r="37" spans="1:5">
      <c r="A37" s="230"/>
      <c r="B37" s="238"/>
      <c r="C37" s="848" t="s">
        <v>3572</v>
      </c>
      <c r="D37" s="848"/>
      <c r="E37" s="532"/>
    </row>
    <row r="38" spans="1:5">
      <c r="A38" s="230"/>
      <c r="B38" s="238"/>
      <c r="C38" s="848"/>
      <c r="D38" s="848"/>
      <c r="E38" s="532"/>
    </row>
    <row r="39" spans="1:5">
      <c r="A39" s="230"/>
      <c r="B39" s="238" t="s">
        <v>3493</v>
      </c>
      <c r="C39" s="848"/>
      <c r="D39" s="848"/>
      <c r="E39" s="532"/>
    </row>
    <row r="40" spans="1:5">
      <c r="A40" s="230"/>
      <c r="B40" s="238"/>
      <c r="C40" s="848" t="s">
        <v>3633</v>
      </c>
      <c r="D40" s="848"/>
      <c r="E40" s="532"/>
    </row>
    <row r="41" spans="1:5">
      <c r="A41" s="230"/>
      <c r="B41" s="238"/>
      <c r="C41" s="848" t="s">
        <v>1382</v>
      </c>
      <c r="D41" s="848"/>
      <c r="E41" s="532"/>
    </row>
    <row r="42" spans="1:5">
      <c r="A42" s="230"/>
      <c r="B42" s="238"/>
      <c r="C42" s="848" t="s">
        <v>1383</v>
      </c>
      <c r="D42" s="848"/>
      <c r="E42" s="532"/>
    </row>
    <row r="43" spans="1:5">
      <c r="A43" s="230"/>
      <c r="B43" s="238"/>
      <c r="C43" s="848"/>
      <c r="D43" s="848"/>
      <c r="E43" s="532"/>
    </row>
    <row r="44" spans="1:5">
      <c r="A44" s="230"/>
      <c r="B44" s="238" t="s">
        <v>765</v>
      </c>
      <c r="C44" s="848"/>
      <c r="D44" s="848"/>
      <c r="E44" s="532"/>
    </row>
    <row r="45" spans="1:5">
      <c r="A45" s="230"/>
      <c r="B45" s="238"/>
      <c r="C45" s="848" t="s">
        <v>766</v>
      </c>
      <c r="D45" s="848"/>
      <c r="E45" s="532"/>
    </row>
    <row r="46" spans="1:5">
      <c r="A46" s="230"/>
      <c r="B46" s="238"/>
      <c r="C46" s="848" t="s">
        <v>4332</v>
      </c>
      <c r="D46" s="848"/>
      <c r="E46" s="532"/>
    </row>
    <row r="47" spans="1:5">
      <c r="A47" s="230"/>
      <c r="B47" s="238"/>
      <c r="C47" s="848"/>
      <c r="D47" s="848"/>
      <c r="E47" s="532"/>
    </row>
    <row r="48" spans="1:5">
      <c r="A48" s="230"/>
      <c r="B48" s="238" t="s">
        <v>30</v>
      </c>
      <c r="C48" s="848"/>
      <c r="D48" s="848"/>
      <c r="E48" s="532"/>
    </row>
    <row r="49" spans="1:5">
      <c r="A49" s="230"/>
      <c r="B49" s="238"/>
      <c r="C49" s="848" t="s">
        <v>31</v>
      </c>
      <c r="D49" s="848"/>
      <c r="E49" s="532"/>
    </row>
    <row r="50" spans="1:5">
      <c r="A50" s="230"/>
      <c r="B50" s="238"/>
      <c r="C50" s="848"/>
      <c r="D50" s="848"/>
      <c r="E50" s="532"/>
    </row>
    <row r="51" spans="1:5">
      <c r="A51" s="230"/>
      <c r="B51" s="238" t="s">
        <v>32</v>
      </c>
      <c r="C51" s="848"/>
      <c r="D51" s="848"/>
      <c r="E51" s="532"/>
    </row>
    <row r="52" spans="1:5">
      <c r="A52" s="230"/>
      <c r="B52" s="238"/>
      <c r="C52" s="848" t="s">
        <v>2498</v>
      </c>
      <c r="D52" s="848"/>
      <c r="E52" s="532"/>
    </row>
    <row r="53" spans="1:5">
      <c r="A53" s="230"/>
      <c r="B53" s="238"/>
      <c r="C53" s="848" t="s">
        <v>2499</v>
      </c>
      <c r="D53" s="848"/>
      <c r="E53" s="532"/>
    </row>
    <row r="54" spans="1:5">
      <c r="A54" s="230"/>
      <c r="B54" s="238"/>
      <c r="C54" s="848"/>
      <c r="D54" s="848"/>
      <c r="E54" s="532"/>
    </row>
    <row r="55" spans="1:5">
      <c r="A55" s="230"/>
      <c r="B55" s="238"/>
      <c r="C55" s="848"/>
      <c r="D55" s="848"/>
      <c r="E55" s="532"/>
    </row>
    <row r="56" spans="1:5" ht="15.75" thickBot="1">
      <c r="A56" s="230"/>
      <c r="B56" s="766"/>
      <c r="C56" s="550"/>
      <c r="D56" s="550"/>
      <c r="E56" s="564"/>
    </row>
    <row r="57" spans="1:5">
      <c r="A57" s="97"/>
      <c r="B57" s="97"/>
      <c r="C57" s="230"/>
      <c r="D57" s="442" t="s">
        <v>2500</v>
      </c>
      <c r="E57" s="230"/>
    </row>
    <row r="58" spans="1:5">
      <c r="A58" s="88"/>
      <c r="B58" s="88"/>
      <c r="C58" s="88"/>
    </row>
    <row r="63" spans="1:5" ht="18">
      <c r="A63" s="11"/>
      <c r="B63" s="11"/>
      <c r="C63" s="89"/>
    </row>
    <row r="64" spans="1:5" ht="18">
      <c r="A64" s="11"/>
      <c r="B64" s="11"/>
      <c r="C64" s="89"/>
    </row>
    <row r="65" spans="1:3" ht="18">
      <c r="A65" s="11"/>
      <c r="B65" s="11"/>
      <c r="C65" s="89"/>
    </row>
    <row r="66" spans="1:3" ht="18">
      <c r="A66" s="11"/>
      <c r="B66" s="11"/>
      <c r="C66" s="89"/>
    </row>
    <row r="67" spans="1:3" ht="18">
      <c r="A67" s="11"/>
      <c r="B67" s="11"/>
      <c r="C67" s="89"/>
    </row>
    <row r="68" spans="1:3" ht="18">
      <c r="A68" s="11"/>
      <c r="B68" s="11"/>
      <c r="C68" s="89"/>
    </row>
    <row r="69" spans="1:3" ht="18">
      <c r="A69" s="11"/>
      <c r="B69" s="11"/>
      <c r="C69" s="89"/>
    </row>
    <row r="70" spans="1:3" ht="18">
      <c r="A70" s="11"/>
      <c r="B70" s="11"/>
      <c r="C70" s="89"/>
    </row>
    <row r="71" spans="1:3" ht="18">
      <c r="A71" s="11"/>
      <c r="B71" s="11"/>
      <c r="C71" s="89"/>
    </row>
  </sheetData>
  <customSheetViews>
    <customSheetView guid="{1BA452AD-1A45-4D9C-9666-ADFFA6F2F567}" colorId="22" fitToPage="1">
      <selection activeCell="Y24" sqref="Y24"/>
      <pageMargins left="0.75" right="0.4" top="0.3" bottom="0.3" header="0.5" footer="0.5"/>
      <pageSetup scale="82" orientation="portrait" r:id="rId1"/>
      <headerFooter alignWithMargins="0"/>
    </customSheetView>
    <customSheetView guid="{EEF7ABD6-0F96-4791-B749-C06F707E7673}" scale="60" colorId="22" showPageBreaks="1" fitToPage="1" printArea="1" view="pageBreakPreview" showRuler="0" topLeftCell="A4">
      <selection activeCell="C66" sqref="C66"/>
      <pageMargins left="0.75" right="0.4" top="0.3" bottom="0.3" header="0.5" footer="0.5"/>
      <pageSetup scale="82" orientation="portrait" r:id="rId2"/>
      <headerFooter alignWithMargins="0"/>
    </customSheetView>
    <customSheetView guid="{A7D7DB3C-AFE6-468E-8C6B-9531F6711497}" scale="75" colorId="22" fitToPage="1" showRuler="0" topLeftCell="A37">
      <selection activeCell="H5" sqref="H5"/>
      <pageMargins left="0.75" right="0.4" top="0.3" bottom="0.3" header="0.5" footer="0.5"/>
      <pageSetup scale="82" orientation="portrait" r:id="rId3"/>
      <headerFooter alignWithMargins="0"/>
    </customSheetView>
    <customSheetView guid="{4436FEB5-BFEC-4348-9286-CB706802873E}" scale="75" colorId="22" fitToPage="1" showRuler="0" topLeftCell="A37">
      <selection activeCell="H5" sqref="H5"/>
      <pageMargins left="0.75" right="0.4" top="0.3" bottom="0.3" header="0.5" footer="0.5"/>
      <pageSetup scale="82" orientation="portrait" r:id="rId4"/>
      <headerFooter alignWithMargins="0"/>
    </customSheetView>
    <customSheetView guid="{044CF00C-469F-44B3-B2C4-9B4049CE70CB}" scale="75" colorId="22" fitToPage="1" showRuler="0">
      <selection activeCell="A2" sqref="A2"/>
      <pageMargins left="0.75" right="0.4" top="0.3" bottom="0.3" header="0.5" footer="0.5"/>
      <pageSetup scale="82" orientation="portrait" r:id="rId5"/>
      <headerFooter alignWithMargins="0"/>
    </customSheetView>
    <customSheetView guid="{4826FCC0-BDD6-4B2C-ACC6-ACE271DDF0E3}" scale="60" colorId="22" showPageBreaks="1" fitToPage="1" printArea="1" view="pageBreakPreview" showRuler="0" topLeftCell="A4">
      <selection activeCell="C66" sqref="C66"/>
      <pageMargins left="0.75" right="0.4" top="0.3" bottom="0.3" header="0.5" footer="0.5"/>
      <pageSetup scale="82" orientation="portrait" r:id="rId6"/>
      <headerFooter alignWithMargins="0"/>
    </customSheetView>
    <customSheetView guid="{EF376D10-23D6-4FE2-AB5B-4460D52CC93F}" scale="60" colorId="22" showPageBreaks="1" fitToPage="1" printArea="1" view="pageBreakPreview" showRuler="0" topLeftCell="A4">
      <selection activeCell="C66" sqref="C66"/>
      <pageMargins left="0.75" right="0.4" top="0.3" bottom="0.3" header="0.5" footer="0.5"/>
      <pageSetup scale="82" orientation="portrait" r:id="rId7"/>
      <headerFooter alignWithMargins="0"/>
    </customSheetView>
    <customSheetView guid="{1C046605-15CE-44F1-BFCD-2CA8588E7ACF}" scale="60" colorId="22" showPageBreaks="1" fitToPage="1" printArea="1" view="pageBreakPreview" showRuler="0">
      <selection activeCell="P66" sqref="P66"/>
      <pageMargins left="0.75" right="0.4" top="0.3" bottom="0.3" header="0.5" footer="0.5"/>
      <pageSetup scale="82" orientation="portrait" r:id="rId8"/>
      <headerFooter alignWithMargins="0"/>
    </customSheetView>
    <customSheetView guid="{3911D713-188C-46A1-A299-F21DD3B7A146}" scale="60" colorId="22" showPageBreaks="1" fitToPage="1" printArea="1" view="pageBreakPreview" showRuler="0">
      <selection activeCell="P66" sqref="P66"/>
      <pageMargins left="0.75" right="0.4" top="0.3" bottom="0.3" header="0.5" footer="0.5"/>
      <pageSetup scale="82" orientation="portrait" r:id="rId9"/>
      <headerFooter alignWithMargins="0"/>
    </customSheetView>
    <customSheetView guid="{78BB1E60-60BE-4F56-9763-075185EFEFAB}" colorId="22" fitToPage="1">
      <selection activeCell="Y24" sqref="Y24"/>
      <pageMargins left="0.75" right="0.4" top="0.3" bottom="0.3" header="0.5" footer="0.5"/>
      <pageSetup scale="82" orientation="portrait" r:id="rId10"/>
      <headerFooter alignWithMargins="0"/>
    </customSheetView>
    <customSheetView guid="{9C30803E-1E2D-4850-B0A5-591CA6F246A1}" colorId="22" fitToPage="1">
      <selection activeCell="Y24" sqref="Y24"/>
      <pageMargins left="0.75" right="0.4" top="0.3" bottom="0.3" header="0.5" footer="0.5"/>
      <pageSetup scale="82" orientation="portrait" r:id="rId11"/>
      <headerFooter alignWithMargins="0"/>
    </customSheetView>
    <customSheetView guid="{3B1006FF-A2CA-49E7-9B25-DAC8815279AF}" colorId="22" fitToPage="1">
      <selection activeCell="Y24" sqref="Y24"/>
      <pageMargins left="0.75" right="0.4" top="0.3" bottom="0.3" header="0.5" footer="0.5"/>
      <pageSetup scale="82" orientation="portrait" r:id="rId12"/>
      <headerFooter alignWithMargins="0"/>
    </customSheetView>
    <customSheetView guid="{FB1A60C8-E1F9-4DF0-8E0E-1C965F86027F}" colorId="22" fitToPage="1">
      <selection activeCell="Y24" sqref="Y24"/>
      <pageMargins left="0.75" right="0.4" top="0.3" bottom="0.3" header="0.5" footer="0.5"/>
      <pageSetup scale="82" orientation="portrait" r:id="rId13"/>
      <headerFooter alignWithMargins="0"/>
    </customSheetView>
    <customSheetView guid="{C5B6D812-CBE6-46AA-99F7-02494E9802B4}" scale="70" colorId="22" fitToPage="1" topLeftCell="A4">
      <selection activeCell="C10" sqref="C10"/>
      <pageMargins left="0.75" right="0.4" top="0.3" bottom="0.3" header="0.5" footer="0.5"/>
      <pageSetup scale="82" orientation="portrait" r:id="rId14"/>
      <headerFooter alignWithMargins="0"/>
    </customSheetView>
  </customSheetViews>
  <mergeCells count="1">
    <mergeCell ref="B4:E4"/>
  </mergeCells>
  <phoneticPr fontId="0" type="noConversion"/>
  <pageMargins left="0.75" right="0.4" top="0.3" bottom="0.3" header="0.5" footer="0.5"/>
  <pageSetup scale="82" orientation="portrait" r:id="rId15"/>
  <headerFooter alignWithMargins="0"/>
  <customProperties>
    <customPr name="_pios_id" r:id="rId16"/>
  </customProperties>
</worksheet>
</file>

<file path=xl/worksheets/sheet50.xml><?xml version="1.0" encoding="utf-8"?>
<worksheet xmlns="http://schemas.openxmlformats.org/spreadsheetml/2006/main" xmlns:r="http://schemas.openxmlformats.org/officeDocument/2006/relationships">
  <sheetPr transitionEvaluation="1" codeName="Sheet50" enableFormatConditionsCalculation="0"/>
  <dimension ref="A1:H214"/>
  <sheetViews>
    <sheetView defaultGridColor="0" colorId="22" zoomScale="70" zoomScaleNormal="70" zoomScaleSheetLayoutView="85" workbookViewId="0"/>
  </sheetViews>
  <sheetFormatPr defaultColWidth="9.77734375" defaultRowHeight="15"/>
  <cols>
    <col min="1" max="1" width="5.77734375" customWidth="1"/>
    <col min="2" max="2" width="6.77734375" customWidth="1"/>
    <col min="3" max="3" width="56.33203125" customWidth="1"/>
    <col min="4" max="4" width="16.21875" style="1633" customWidth="1"/>
    <col min="5" max="5" width="17.33203125" style="1633" customWidth="1"/>
    <col min="6" max="6" width="9" style="952" customWidth="1"/>
    <col min="7" max="7" width="11.44140625" style="952" bestFit="1" customWidth="1"/>
    <col min="8" max="8" width="19" style="2037" customWidth="1"/>
    <col min="9" max="10" width="10.77734375" bestFit="1" customWidth="1"/>
    <col min="12" max="12" width="18" customWidth="1"/>
    <col min="14" max="14" width="14" bestFit="1" customWidth="1"/>
    <col min="17" max="17" width="10.44140625" customWidth="1"/>
  </cols>
  <sheetData>
    <row r="1" spans="1:8" ht="16.5" thickBot="1">
      <c r="A1" s="186" t="str">
        <f>'Data sheet'!$A$53</f>
        <v>Annual Report of New York American Water Company, Inc. (f/k/a Long Island Water Corp)                                   Year Ended  December 31, 2013</v>
      </c>
      <c r="D1" s="1672"/>
      <c r="E1" s="1677"/>
      <c r="F1" s="1930"/>
      <c r="G1" s="1930"/>
    </row>
    <row r="2" spans="1:8">
      <c r="A2" s="232"/>
      <c r="B2" s="245"/>
      <c r="C2" s="245"/>
      <c r="D2" s="1905"/>
      <c r="E2" s="896"/>
    </row>
    <row r="3" spans="1:8" ht="15.75">
      <c r="A3" s="3060" t="s">
        <v>2133</v>
      </c>
      <c r="B3" s="3031"/>
      <c r="C3" s="3031"/>
      <c r="D3" s="3031"/>
      <c r="E3" s="3061"/>
      <c r="F3" s="2829"/>
      <c r="G3" s="2829"/>
    </row>
    <row r="4" spans="1:8">
      <c r="A4" s="240"/>
      <c r="B4" s="952"/>
      <c r="C4" s="952"/>
      <c r="D4" s="1718"/>
      <c r="E4" s="2827"/>
    </row>
    <row r="5" spans="1:8">
      <c r="A5" s="240"/>
      <c r="B5" s="952" t="s">
        <v>355</v>
      </c>
      <c r="C5" s="952"/>
      <c r="D5" s="1718"/>
      <c r="E5" s="2827"/>
    </row>
    <row r="6" spans="1:8">
      <c r="A6" s="240"/>
      <c r="B6" s="952"/>
      <c r="C6" s="952"/>
      <c r="D6" s="1718"/>
      <c r="E6" s="2827"/>
    </row>
    <row r="7" spans="1:8" ht="15.75" thickBot="1">
      <c r="A7" s="241"/>
      <c r="B7" s="285"/>
      <c r="C7" s="285"/>
      <c r="D7" s="1928"/>
      <c r="E7" s="2828"/>
    </row>
    <row r="8" spans="1:8">
      <c r="A8" s="2818"/>
      <c r="B8" s="245"/>
      <c r="C8" s="2819"/>
      <c r="D8" s="2820" t="s">
        <v>356</v>
      </c>
      <c r="E8" s="1934" t="s">
        <v>356</v>
      </c>
      <c r="F8" s="1892"/>
      <c r="G8"/>
      <c r="H8"/>
    </row>
    <row r="9" spans="1:8">
      <c r="A9" s="752" t="s">
        <v>357</v>
      </c>
      <c r="B9" s="952"/>
      <c r="C9" s="776" t="s">
        <v>358</v>
      </c>
      <c r="D9" s="1906" t="s">
        <v>359</v>
      </c>
      <c r="E9" s="1935" t="s">
        <v>2954</v>
      </c>
      <c r="F9" s="1892"/>
      <c r="G9"/>
      <c r="H9"/>
    </row>
    <row r="10" spans="1:8">
      <c r="A10" s="764" t="s">
        <v>2955</v>
      </c>
      <c r="B10" s="249"/>
      <c r="C10" s="789" t="s">
        <v>4032</v>
      </c>
      <c r="D10" s="1907" t="s">
        <v>4033</v>
      </c>
      <c r="E10" s="2826" t="s">
        <v>4034</v>
      </c>
      <c r="F10" s="1892"/>
      <c r="G10"/>
      <c r="H10"/>
    </row>
    <row r="11" spans="1:8" ht="15.75">
      <c r="A11" s="752">
        <v>1</v>
      </c>
      <c r="B11" s="952"/>
      <c r="C11" s="778" t="s">
        <v>2956</v>
      </c>
      <c r="D11" s="1908"/>
      <c r="E11" s="1909"/>
      <c r="F11" s="848"/>
      <c r="G11"/>
      <c r="H11"/>
    </row>
    <row r="12" spans="1:8">
      <c r="A12" s="752">
        <v>2</v>
      </c>
      <c r="B12" s="952"/>
      <c r="C12" s="776" t="s">
        <v>2135</v>
      </c>
      <c r="D12" s="1908"/>
      <c r="E12" s="1909"/>
      <c r="F12" s="848"/>
      <c r="G12"/>
      <c r="H12"/>
    </row>
    <row r="13" spans="1:8">
      <c r="A13" s="752">
        <v>3</v>
      </c>
      <c r="B13" s="952">
        <v>600</v>
      </c>
      <c r="C13" s="254" t="s">
        <v>2655</v>
      </c>
      <c r="D13" s="1182">
        <v>0</v>
      </c>
      <c r="E13" s="1936">
        <v>0</v>
      </c>
      <c r="F13" s="1893"/>
      <c r="G13"/>
      <c r="H13"/>
    </row>
    <row r="14" spans="1:8">
      <c r="A14" s="752">
        <v>4</v>
      </c>
      <c r="B14" s="952">
        <v>601</v>
      </c>
      <c r="C14" s="254" t="s">
        <v>2656</v>
      </c>
      <c r="D14" s="1182">
        <v>58059.69000000001</v>
      </c>
      <c r="E14" s="1936">
        <v>347096.61000000004</v>
      </c>
      <c r="F14" s="1226"/>
      <c r="G14"/>
      <c r="H14"/>
    </row>
    <row r="15" spans="1:8">
      <c r="A15" s="752">
        <v>5</v>
      </c>
      <c r="B15" s="952">
        <v>602</v>
      </c>
      <c r="C15" s="254" t="s">
        <v>2657</v>
      </c>
      <c r="D15" s="1182">
        <v>0</v>
      </c>
      <c r="E15" s="1936">
        <v>0</v>
      </c>
      <c r="F15" s="1893"/>
      <c r="G15"/>
      <c r="H15"/>
    </row>
    <row r="16" spans="1:8">
      <c r="A16" s="752">
        <v>6</v>
      </c>
      <c r="B16" s="952">
        <v>603</v>
      </c>
      <c r="C16" s="254" t="s">
        <v>2658</v>
      </c>
      <c r="D16" s="1182">
        <v>46890.499999999993</v>
      </c>
      <c r="E16" s="1936">
        <v>54710.159999999996</v>
      </c>
      <c r="F16" s="1893"/>
      <c r="G16"/>
      <c r="H16"/>
    </row>
    <row r="17" spans="1:8">
      <c r="A17" s="752">
        <v>7</v>
      </c>
      <c r="B17" s="952">
        <v>604</v>
      </c>
      <c r="C17" s="254" t="s">
        <v>2659</v>
      </c>
      <c r="D17" s="1182">
        <v>2563.4400000000005</v>
      </c>
      <c r="E17" s="1936">
        <v>16.78</v>
      </c>
      <c r="F17" s="1894"/>
      <c r="G17"/>
      <c r="H17"/>
    </row>
    <row r="18" spans="1:8">
      <c r="A18" s="752">
        <v>8</v>
      </c>
      <c r="B18" s="952"/>
      <c r="C18" s="1181" t="s">
        <v>2660</v>
      </c>
      <c r="D18" s="2047">
        <f>SUM(D13:D17)</f>
        <v>107513.63</v>
      </c>
      <c r="E18" s="2821">
        <f>SUM(E13:E17)</f>
        <v>401823.55000000005</v>
      </c>
      <c r="F18" s="1683"/>
      <c r="G18"/>
      <c r="H18"/>
    </row>
    <row r="19" spans="1:8">
      <c r="A19" s="752">
        <v>9</v>
      </c>
      <c r="B19" s="952"/>
      <c r="C19" s="776" t="s">
        <v>2661</v>
      </c>
      <c r="D19" s="1183"/>
      <c r="E19" s="1911"/>
      <c r="F19" s="1683"/>
      <c r="G19"/>
      <c r="H19"/>
    </row>
    <row r="20" spans="1:8">
      <c r="A20" s="752">
        <v>10</v>
      </c>
      <c r="B20" s="952">
        <v>610</v>
      </c>
      <c r="C20" s="254" t="s">
        <v>2662</v>
      </c>
      <c r="D20" s="1182">
        <v>0</v>
      </c>
      <c r="E20" s="1936">
        <v>0</v>
      </c>
      <c r="F20" s="1893"/>
      <c r="G20"/>
      <c r="H20"/>
    </row>
    <row r="21" spans="1:8">
      <c r="A21" s="752">
        <v>11</v>
      </c>
      <c r="B21" s="952">
        <v>611</v>
      </c>
      <c r="C21" s="254" t="s">
        <v>4103</v>
      </c>
      <c r="D21" s="1182">
        <v>0</v>
      </c>
      <c r="E21" s="1936">
        <v>0</v>
      </c>
      <c r="F21" s="1893"/>
      <c r="G21"/>
      <c r="H21"/>
    </row>
    <row r="22" spans="1:8">
      <c r="A22" s="752">
        <v>12</v>
      </c>
      <c r="B22" s="952">
        <v>612</v>
      </c>
      <c r="C22" s="254" t="s">
        <v>4104</v>
      </c>
      <c r="D22" s="1182">
        <v>0</v>
      </c>
      <c r="E22" s="1936">
        <v>0</v>
      </c>
      <c r="F22" s="1893"/>
      <c r="G22"/>
      <c r="H22"/>
    </row>
    <row r="23" spans="1:8">
      <c r="A23" s="752">
        <v>13</v>
      </c>
      <c r="B23" s="952">
        <v>613</v>
      </c>
      <c r="C23" s="254" t="s">
        <v>1388</v>
      </c>
      <c r="D23" s="1182">
        <v>0</v>
      </c>
      <c r="E23" s="1936">
        <v>0</v>
      </c>
      <c r="F23" s="1893"/>
      <c r="G23"/>
      <c r="H23"/>
    </row>
    <row r="24" spans="1:8">
      <c r="A24" s="752">
        <v>14</v>
      </c>
      <c r="B24" s="952">
        <v>614</v>
      </c>
      <c r="C24" s="254" t="s">
        <v>1389</v>
      </c>
      <c r="D24" s="1182">
        <v>0</v>
      </c>
      <c r="E24" s="1936">
        <v>227.12</v>
      </c>
      <c r="F24" s="1683"/>
      <c r="G24"/>
      <c r="H24"/>
    </row>
    <row r="25" spans="1:8">
      <c r="A25" s="752">
        <v>15</v>
      </c>
      <c r="B25" s="952">
        <v>615</v>
      </c>
      <c r="C25" s="254" t="s">
        <v>1390</v>
      </c>
      <c r="D25" s="1182">
        <v>0</v>
      </c>
      <c r="E25" s="1936">
        <v>788.31999999999994</v>
      </c>
      <c r="F25" s="1683"/>
      <c r="G25"/>
      <c r="H25"/>
    </row>
    <row r="26" spans="1:8">
      <c r="A26" s="752">
        <v>16</v>
      </c>
      <c r="B26" s="952">
        <v>616</v>
      </c>
      <c r="C26" s="254" t="s">
        <v>1391</v>
      </c>
      <c r="D26" s="1182">
        <v>0</v>
      </c>
      <c r="E26" s="1936">
        <v>0</v>
      </c>
      <c r="F26" s="1683"/>
      <c r="G26"/>
      <c r="H26"/>
    </row>
    <row r="27" spans="1:8">
      <c r="A27" s="752">
        <v>17</v>
      </c>
      <c r="B27" s="952">
        <v>617</v>
      </c>
      <c r="C27" s="254" t="s">
        <v>1392</v>
      </c>
      <c r="D27" s="1182">
        <v>33468.89</v>
      </c>
      <c r="E27" s="1936">
        <v>81895.459999999992</v>
      </c>
      <c r="F27" s="1683"/>
      <c r="G27"/>
      <c r="H27"/>
    </row>
    <row r="28" spans="1:8">
      <c r="A28" s="752">
        <v>18</v>
      </c>
      <c r="B28" s="952"/>
      <c r="C28" s="1181" t="s">
        <v>1393</v>
      </c>
      <c r="D28" s="2047">
        <f>SUM(D20:D27)</f>
        <v>33468.89</v>
      </c>
      <c r="E28" s="2821">
        <f>SUM(E20:E27)</f>
        <v>82910.899999999994</v>
      </c>
      <c r="F28" s="1683"/>
      <c r="G28"/>
      <c r="H28"/>
    </row>
    <row r="29" spans="1:8">
      <c r="A29" s="752">
        <v>19</v>
      </c>
      <c r="B29" s="952"/>
      <c r="C29" s="776" t="s">
        <v>1394</v>
      </c>
      <c r="D29" s="1912">
        <f>D18+D28</f>
        <v>140982.52000000002</v>
      </c>
      <c r="E29" s="2822">
        <f>E18+E28</f>
        <v>484734.45000000007</v>
      </c>
      <c r="F29" s="1683"/>
      <c r="G29"/>
      <c r="H29"/>
    </row>
    <row r="30" spans="1:8">
      <c r="A30" s="752"/>
      <c r="B30" s="952"/>
      <c r="C30" s="254"/>
      <c r="D30" s="1183"/>
      <c r="E30" s="1911"/>
      <c r="F30" s="1683"/>
      <c r="G30"/>
      <c r="H30"/>
    </row>
    <row r="31" spans="1:8">
      <c r="A31" s="752"/>
      <c r="B31" s="952"/>
      <c r="C31" s="254"/>
      <c r="D31" s="1183"/>
      <c r="E31" s="1911"/>
      <c r="F31" s="1683"/>
      <c r="G31"/>
      <c r="H31"/>
    </row>
    <row r="32" spans="1:8" ht="15.75">
      <c r="A32" s="752">
        <v>20</v>
      </c>
      <c r="B32" s="952"/>
      <c r="C32" s="778" t="s">
        <v>1395</v>
      </c>
      <c r="D32" s="1183"/>
      <c r="E32" s="1911"/>
      <c r="F32" s="1683"/>
      <c r="G32"/>
      <c r="H32"/>
    </row>
    <row r="33" spans="1:8">
      <c r="A33" s="752">
        <v>21</v>
      </c>
      <c r="B33" s="952"/>
      <c r="C33" s="776" t="s">
        <v>2135</v>
      </c>
      <c r="D33" s="1183"/>
      <c r="E33" s="1911"/>
      <c r="F33" s="1683"/>
      <c r="G33"/>
      <c r="H33"/>
    </row>
    <row r="34" spans="1:8">
      <c r="A34" s="752">
        <v>22</v>
      </c>
      <c r="B34" s="952">
        <v>620</v>
      </c>
      <c r="C34" s="254" t="s">
        <v>1396</v>
      </c>
      <c r="D34" s="1182">
        <v>111465.06</v>
      </c>
      <c r="E34" s="1936">
        <v>169362.37</v>
      </c>
      <c r="F34" s="1893"/>
      <c r="G34"/>
      <c r="H34"/>
    </row>
    <row r="35" spans="1:8">
      <c r="A35" s="752">
        <v>23</v>
      </c>
      <c r="B35" s="952">
        <v>621</v>
      </c>
      <c r="C35" s="254" t="s">
        <v>1397</v>
      </c>
      <c r="D35" s="1182">
        <v>464700.44</v>
      </c>
      <c r="E35" s="1936">
        <v>503420.39</v>
      </c>
      <c r="F35" s="1893"/>
      <c r="G35"/>
      <c r="H35"/>
    </row>
    <row r="36" spans="1:8">
      <c r="A36" s="752">
        <v>24</v>
      </c>
      <c r="B36" s="952">
        <v>622</v>
      </c>
      <c r="C36" s="254" t="s">
        <v>1378</v>
      </c>
      <c r="D36" s="1182">
        <v>0</v>
      </c>
      <c r="E36" s="1936">
        <v>0</v>
      </c>
      <c r="F36" s="1893"/>
      <c r="G36"/>
      <c r="H36"/>
    </row>
    <row r="37" spans="1:8">
      <c r="A37" s="752">
        <v>25</v>
      </c>
      <c r="B37" s="952">
        <v>623</v>
      </c>
      <c r="C37" s="254" t="s">
        <v>2639</v>
      </c>
      <c r="D37" s="1182">
        <v>2247140.4</v>
      </c>
      <c r="E37" s="1936">
        <v>2443613.71</v>
      </c>
      <c r="F37" s="1893"/>
      <c r="G37"/>
      <c r="H37"/>
    </row>
    <row r="38" spans="1:8">
      <c r="A38" s="752">
        <v>26</v>
      </c>
      <c r="B38" s="952">
        <v>624</v>
      </c>
      <c r="C38" s="254" t="s">
        <v>1420</v>
      </c>
      <c r="D38" s="1182">
        <v>945614.66999999993</v>
      </c>
      <c r="E38" s="1936">
        <v>1264018.29</v>
      </c>
      <c r="F38" s="1226"/>
      <c r="G38"/>
      <c r="H38"/>
    </row>
    <row r="39" spans="1:8">
      <c r="A39" s="752">
        <v>27</v>
      </c>
      <c r="B39" s="952">
        <v>625</v>
      </c>
      <c r="C39" s="254" t="s">
        <v>3901</v>
      </c>
      <c r="D39" s="1182">
        <v>0</v>
      </c>
      <c r="E39" s="1936">
        <v>0</v>
      </c>
      <c r="F39" s="1893"/>
      <c r="G39"/>
      <c r="H39"/>
    </row>
    <row r="40" spans="1:8">
      <c r="A40" s="752">
        <v>28</v>
      </c>
      <c r="B40" s="952">
        <v>626</v>
      </c>
      <c r="C40" s="254" t="s">
        <v>2658</v>
      </c>
      <c r="D40" s="1182">
        <v>10506.119999999999</v>
      </c>
      <c r="E40" s="1936">
        <v>66624.599999999991</v>
      </c>
      <c r="F40" s="1226"/>
      <c r="G40"/>
      <c r="H40"/>
    </row>
    <row r="41" spans="1:8">
      <c r="A41" s="752">
        <v>29</v>
      </c>
      <c r="B41" s="952">
        <v>627</v>
      </c>
      <c r="C41" s="254" t="s">
        <v>2659</v>
      </c>
      <c r="D41" s="1182">
        <v>0</v>
      </c>
      <c r="E41" s="1936">
        <v>0</v>
      </c>
      <c r="F41" s="1893"/>
      <c r="G41"/>
      <c r="H41"/>
    </row>
    <row r="42" spans="1:8" ht="15.75">
      <c r="A42" s="752">
        <v>30</v>
      </c>
      <c r="B42" s="952"/>
      <c r="C42" s="1181" t="s">
        <v>3902</v>
      </c>
      <c r="D42" s="2047">
        <f>SUM(D34:D41)+F42</f>
        <v>3779426.69</v>
      </c>
      <c r="E42" s="2821">
        <f>SUM(E34:E41)</f>
        <v>4447039.3599999994</v>
      </c>
      <c r="F42" s="2148"/>
      <c r="G42"/>
      <c r="H42"/>
    </row>
    <row r="43" spans="1:8">
      <c r="A43" s="752">
        <v>31</v>
      </c>
      <c r="B43" s="952"/>
      <c r="C43" s="776" t="s">
        <v>2661</v>
      </c>
      <c r="D43" s="1183"/>
      <c r="E43" s="1911"/>
      <c r="F43" s="1683"/>
      <c r="G43"/>
      <c r="H43"/>
    </row>
    <row r="44" spans="1:8">
      <c r="A44" s="752">
        <v>32</v>
      </c>
      <c r="B44" s="952">
        <v>630</v>
      </c>
      <c r="C44" s="254" t="s">
        <v>3903</v>
      </c>
      <c r="D44" s="1182">
        <v>0</v>
      </c>
      <c r="E44" s="1936">
        <v>0</v>
      </c>
      <c r="F44" s="1893"/>
      <c r="G44"/>
      <c r="H44"/>
    </row>
    <row r="45" spans="1:8">
      <c r="A45" s="752">
        <v>33</v>
      </c>
      <c r="B45" s="952">
        <v>631</v>
      </c>
      <c r="C45" s="254" t="s">
        <v>3904</v>
      </c>
      <c r="D45" s="1182">
        <v>809.52</v>
      </c>
      <c r="E45" s="1936">
        <v>2429.12</v>
      </c>
      <c r="F45" s="1893"/>
      <c r="G45"/>
      <c r="H45"/>
    </row>
    <row r="46" spans="1:8">
      <c r="A46" s="752">
        <v>34</v>
      </c>
      <c r="B46" s="952">
        <v>632</v>
      </c>
      <c r="C46" s="254" t="s">
        <v>3905</v>
      </c>
      <c r="D46" s="1182">
        <v>12567.53</v>
      </c>
      <c r="E46" s="1936">
        <v>14831.95</v>
      </c>
      <c r="F46" s="1893"/>
      <c r="G46"/>
      <c r="H46"/>
    </row>
    <row r="47" spans="1:8">
      <c r="A47" s="752">
        <v>35</v>
      </c>
      <c r="B47" s="952">
        <v>633</v>
      </c>
      <c r="C47" s="254" t="s">
        <v>3906</v>
      </c>
      <c r="D47" s="1182">
        <v>28701.649999999998</v>
      </c>
      <c r="E47" s="1936">
        <v>52993.94</v>
      </c>
      <c r="F47" s="1893"/>
      <c r="G47"/>
      <c r="H47"/>
    </row>
    <row r="48" spans="1:8">
      <c r="A48" s="752">
        <v>36</v>
      </c>
      <c r="B48" s="952"/>
      <c r="C48" s="1181" t="s">
        <v>3907</v>
      </c>
      <c r="D48" s="2083">
        <f>SUM(D44:D47)</f>
        <v>42078.7</v>
      </c>
      <c r="E48" s="2823">
        <f>SUM(E44:E47)</f>
        <v>70255.010000000009</v>
      </c>
      <c r="F48" s="1894"/>
      <c r="G48"/>
      <c r="H48"/>
    </row>
    <row r="49" spans="1:8">
      <c r="A49" s="752">
        <v>37</v>
      </c>
      <c r="B49" s="952"/>
      <c r="C49" s="776" t="s">
        <v>3908</v>
      </c>
      <c r="D49" s="1913">
        <f>D42+D48</f>
        <v>3821505.39</v>
      </c>
      <c r="E49" s="2824">
        <f>E42+E48</f>
        <v>4517294.3699999992</v>
      </c>
      <c r="F49" s="1894"/>
      <c r="G49"/>
      <c r="H49"/>
    </row>
    <row r="50" spans="1:8">
      <c r="A50" s="752"/>
      <c r="B50" s="952"/>
      <c r="C50" s="776"/>
      <c r="D50" s="1914"/>
      <c r="E50" s="1910"/>
      <c r="F50" s="1894"/>
      <c r="G50"/>
      <c r="H50"/>
    </row>
    <row r="51" spans="1:8">
      <c r="A51" s="752"/>
      <c r="B51" s="952"/>
      <c r="C51" s="776"/>
      <c r="D51" s="1914"/>
      <c r="E51" s="1910"/>
      <c r="F51" s="1894"/>
      <c r="G51"/>
      <c r="H51"/>
    </row>
    <row r="52" spans="1:8">
      <c r="A52" s="752"/>
      <c r="B52" s="952"/>
      <c r="C52" s="776"/>
      <c r="D52" s="1914"/>
      <c r="E52" s="1910"/>
      <c r="F52" s="1894"/>
      <c r="G52"/>
      <c r="H52"/>
    </row>
    <row r="53" spans="1:8" ht="15.75">
      <c r="A53" s="752">
        <v>38</v>
      </c>
      <c r="B53" s="952"/>
      <c r="C53" s="778" t="s">
        <v>3909</v>
      </c>
      <c r="D53" s="1182"/>
      <c r="E53" s="1910"/>
      <c r="F53" s="1894"/>
      <c r="G53"/>
      <c r="H53"/>
    </row>
    <row r="54" spans="1:8">
      <c r="A54" s="752">
        <v>39</v>
      </c>
      <c r="B54" s="952"/>
      <c r="C54" s="776" t="s">
        <v>3910</v>
      </c>
      <c r="D54" s="1182"/>
      <c r="E54" s="1910"/>
      <c r="F54" s="1894"/>
      <c r="G54"/>
      <c r="H54"/>
    </row>
    <row r="55" spans="1:8">
      <c r="A55" s="752">
        <v>40</v>
      </c>
      <c r="B55" s="952">
        <v>640</v>
      </c>
      <c r="C55" s="254" t="s">
        <v>2655</v>
      </c>
      <c r="D55" s="1182">
        <v>141457.18</v>
      </c>
      <c r="E55" s="1936">
        <v>193278.42</v>
      </c>
      <c r="F55" s="1893"/>
      <c r="G55"/>
      <c r="H55"/>
    </row>
    <row r="56" spans="1:8">
      <c r="A56" s="752">
        <v>41</v>
      </c>
      <c r="B56" s="952">
        <v>641</v>
      </c>
      <c r="C56" s="254" t="s">
        <v>3911</v>
      </c>
      <c r="D56" s="1182">
        <v>1164169.1400000001</v>
      </c>
      <c r="E56" s="1936">
        <v>1310063.98</v>
      </c>
      <c r="F56" s="1683"/>
      <c r="G56"/>
      <c r="H56"/>
    </row>
    <row r="57" spans="1:8">
      <c r="A57" s="752">
        <v>42</v>
      </c>
      <c r="B57" s="952">
        <v>642</v>
      </c>
      <c r="C57" s="254" t="s">
        <v>3912</v>
      </c>
      <c r="D57" s="1182">
        <v>200032.90999999997</v>
      </c>
      <c r="E57" s="1936">
        <v>455118.89999999997</v>
      </c>
      <c r="F57" s="1707"/>
      <c r="G57"/>
      <c r="H57"/>
    </row>
    <row r="58" spans="1:8">
      <c r="A58" s="752">
        <v>43</v>
      </c>
      <c r="B58" s="952">
        <v>643</v>
      </c>
      <c r="C58" s="254" t="s">
        <v>2658</v>
      </c>
      <c r="D58" s="2085">
        <v>25505.73</v>
      </c>
      <c r="E58" s="1936">
        <v>129531.89</v>
      </c>
      <c r="F58" s="1226"/>
      <c r="G58"/>
      <c r="H58"/>
    </row>
    <row r="59" spans="1:8">
      <c r="A59" s="752">
        <v>44</v>
      </c>
      <c r="B59" s="952">
        <v>644</v>
      </c>
      <c r="C59" s="254" t="s">
        <v>2659</v>
      </c>
      <c r="D59" s="1182">
        <v>-29665.96</v>
      </c>
      <c r="E59" s="1936">
        <v>31338.82</v>
      </c>
      <c r="F59" s="1893"/>
      <c r="G59"/>
      <c r="H59"/>
    </row>
    <row r="60" spans="1:8" ht="15.75" thickBot="1">
      <c r="A60" s="1184">
        <v>45</v>
      </c>
      <c r="B60" s="285"/>
      <c r="C60" s="1185" t="s">
        <v>3913</v>
      </c>
      <c r="D60" s="2048">
        <f>SUM(D55:D59)+1</f>
        <v>1501500</v>
      </c>
      <c r="E60" s="2825">
        <f>SUM(E55:E59)+0.5</f>
        <v>2119332.5099999998</v>
      </c>
      <c r="F60" s="1683"/>
      <c r="G60"/>
      <c r="H60"/>
    </row>
    <row r="61" spans="1:8">
      <c r="A61" s="643"/>
      <c r="C61" s="245"/>
      <c r="D61" s="1903"/>
      <c r="E61" s="1707"/>
      <c r="F61" s="1932"/>
      <c r="G61"/>
      <c r="H61"/>
    </row>
    <row r="62" spans="1:8">
      <c r="A62" s="8" t="s">
        <v>3914</v>
      </c>
      <c r="B62" s="8"/>
      <c r="C62" s="8"/>
      <c r="D62" s="1904"/>
      <c r="E62" s="1901"/>
      <c r="F62" s="1933"/>
      <c r="G62"/>
      <c r="H62"/>
    </row>
    <row r="63" spans="1:8" ht="15.75" thickBot="1">
      <c r="A63" s="186" t="str">
        <f>'Data sheet'!$A$53</f>
        <v>Annual Report of New York American Water Company, Inc. (f/k/a Long Island Water Corp)                                   Year Ended  December 31, 2013</v>
      </c>
      <c r="C63" s="8"/>
      <c r="D63" s="1903"/>
      <c r="E63" s="1707"/>
      <c r="F63" s="1932"/>
      <c r="G63"/>
      <c r="H63"/>
    </row>
    <row r="64" spans="1:8">
      <c r="A64" s="232"/>
      <c r="B64" s="245"/>
      <c r="C64" s="245"/>
      <c r="D64" s="1915"/>
      <c r="E64" s="2830"/>
      <c r="F64" s="1895"/>
      <c r="G64"/>
      <c r="H64"/>
    </row>
    <row r="65" spans="1:8" ht="15.75">
      <c r="A65" s="3060" t="s">
        <v>2133</v>
      </c>
      <c r="B65" s="3031"/>
      <c r="C65" s="3031"/>
      <c r="D65" s="3031"/>
      <c r="E65" s="3061"/>
      <c r="F65" s="2829"/>
      <c r="G65"/>
      <c r="H65"/>
    </row>
    <row r="66" spans="1:8">
      <c r="A66" s="240"/>
      <c r="B66" s="952"/>
      <c r="C66" s="952"/>
      <c r="D66" s="1902"/>
      <c r="E66" s="2831"/>
      <c r="F66" s="1895"/>
      <c r="G66"/>
      <c r="H66"/>
    </row>
    <row r="67" spans="1:8">
      <c r="A67" s="240"/>
      <c r="B67" s="952" t="s">
        <v>355</v>
      </c>
      <c r="C67" s="952"/>
      <c r="D67" s="1902"/>
      <c r="E67" s="2831"/>
      <c r="F67" s="1895"/>
      <c r="G67"/>
      <c r="H67"/>
    </row>
    <row r="68" spans="1:8">
      <c r="A68" s="240"/>
      <c r="B68" s="952"/>
      <c r="C68" s="952"/>
      <c r="D68" s="1902"/>
      <c r="E68" s="2831"/>
      <c r="F68" s="1895"/>
      <c r="G68"/>
      <c r="H68"/>
    </row>
    <row r="69" spans="1:8">
      <c r="A69" s="748"/>
      <c r="B69" s="249"/>
      <c r="C69" s="249"/>
      <c r="D69" s="1916"/>
      <c r="E69" s="2832"/>
      <c r="F69" s="1895"/>
      <c r="G69"/>
      <c r="H69"/>
    </row>
    <row r="70" spans="1:8">
      <c r="A70" s="752"/>
      <c r="B70" s="952"/>
      <c r="C70" s="254"/>
      <c r="D70" s="1917" t="s">
        <v>356</v>
      </c>
      <c r="E70" s="2690" t="s">
        <v>356</v>
      </c>
      <c r="F70" s="1896"/>
      <c r="G70"/>
      <c r="H70"/>
    </row>
    <row r="71" spans="1:8">
      <c r="A71" s="752" t="s">
        <v>357</v>
      </c>
      <c r="B71" s="952"/>
      <c r="C71" s="776" t="s">
        <v>358</v>
      </c>
      <c r="D71" s="1917" t="s">
        <v>359</v>
      </c>
      <c r="E71" s="2691" t="s">
        <v>2954</v>
      </c>
      <c r="F71" s="1896"/>
      <c r="G71"/>
      <c r="H71"/>
    </row>
    <row r="72" spans="1:8">
      <c r="A72" s="764" t="s">
        <v>2955</v>
      </c>
      <c r="B72" s="249"/>
      <c r="C72" s="789" t="s">
        <v>4032</v>
      </c>
      <c r="D72" s="1918" t="s">
        <v>4033</v>
      </c>
      <c r="E72" s="2692" t="s">
        <v>4034</v>
      </c>
      <c r="F72" s="1896"/>
      <c r="G72"/>
      <c r="H72"/>
    </row>
    <row r="73" spans="1:8">
      <c r="A73" s="752"/>
      <c r="B73" s="952"/>
      <c r="C73" s="254"/>
      <c r="D73" s="1919" t="s">
        <v>4373</v>
      </c>
      <c r="E73" s="2693"/>
      <c r="F73" s="1683"/>
      <c r="G73"/>
      <c r="H73"/>
    </row>
    <row r="74" spans="1:8">
      <c r="A74" s="752">
        <v>46</v>
      </c>
      <c r="B74" s="637"/>
      <c r="C74" s="776" t="s">
        <v>2661</v>
      </c>
      <c r="D74" s="1919" t="s">
        <v>4373</v>
      </c>
      <c r="E74" s="2693"/>
      <c r="F74" s="1683"/>
      <c r="G74"/>
      <c r="H74"/>
    </row>
    <row r="75" spans="1:8">
      <c r="A75" s="752">
        <v>47</v>
      </c>
      <c r="B75" s="952">
        <v>650</v>
      </c>
      <c r="C75" s="254" t="s">
        <v>3903</v>
      </c>
      <c r="D75" s="1182">
        <v>0</v>
      </c>
      <c r="E75" s="1936">
        <v>23097.22</v>
      </c>
      <c r="F75" s="2684"/>
      <c r="G75"/>
      <c r="H75"/>
    </row>
    <row r="76" spans="1:8">
      <c r="A76" s="752">
        <v>48</v>
      </c>
      <c r="B76" s="952">
        <v>651</v>
      </c>
      <c r="C76" s="254" t="s">
        <v>3904</v>
      </c>
      <c r="D76" s="1182">
        <v>0</v>
      </c>
      <c r="E76" s="1936">
        <v>0</v>
      </c>
      <c r="F76" s="2685"/>
      <c r="G76"/>
      <c r="H76"/>
    </row>
    <row r="77" spans="1:8">
      <c r="A77" s="752">
        <v>49</v>
      </c>
      <c r="B77" s="952">
        <v>652</v>
      </c>
      <c r="C77" s="254" t="s">
        <v>3915</v>
      </c>
      <c r="D77" s="1182">
        <v>292871.5</v>
      </c>
      <c r="E77" s="1936">
        <v>505370.35</v>
      </c>
      <c r="F77" s="2685"/>
      <c r="G77"/>
      <c r="H77"/>
    </row>
    <row r="78" spans="1:8" ht="15.75">
      <c r="A78" s="752">
        <v>50</v>
      </c>
      <c r="B78" s="952"/>
      <c r="C78" s="1181" t="s">
        <v>1393</v>
      </c>
      <c r="D78" s="2084">
        <f>SUM(D75:D77)+F78</f>
        <v>292871.5</v>
      </c>
      <c r="E78" s="2694">
        <f>SUM(E75:E77)</f>
        <v>528467.56999999995</v>
      </c>
      <c r="F78" s="2686"/>
      <c r="G78"/>
      <c r="H78"/>
    </row>
    <row r="79" spans="1:8">
      <c r="A79" s="752">
        <v>51</v>
      </c>
      <c r="B79" s="1891"/>
      <c r="C79" s="776" t="s">
        <v>3916</v>
      </c>
      <c r="D79" s="2084">
        <f>D60+D78-1</f>
        <v>1794370.5</v>
      </c>
      <c r="E79" s="2694">
        <f>E60+E78</f>
        <v>2647800.0799999996</v>
      </c>
      <c r="F79" s="2687"/>
      <c r="G79"/>
      <c r="H79"/>
    </row>
    <row r="80" spans="1:8">
      <c r="A80" s="752"/>
      <c r="B80" s="1891"/>
      <c r="C80" s="254"/>
      <c r="D80" s="1920"/>
      <c r="E80" s="2695"/>
      <c r="F80" s="1895"/>
      <c r="G80"/>
      <c r="H80"/>
    </row>
    <row r="81" spans="1:8">
      <c r="A81" s="752"/>
      <c r="B81" s="1891"/>
      <c r="C81" s="254"/>
      <c r="D81" s="1920"/>
      <c r="E81" s="2695"/>
      <c r="F81" s="1895"/>
      <c r="G81"/>
      <c r="H81"/>
    </row>
    <row r="82" spans="1:8">
      <c r="A82" s="752"/>
      <c r="B82" s="1891"/>
      <c r="C82" s="254"/>
      <c r="D82" s="1920"/>
      <c r="E82" s="2695"/>
      <c r="F82" s="1895"/>
      <c r="G82"/>
      <c r="H82"/>
    </row>
    <row r="83" spans="1:8" ht="15.75">
      <c r="A83" s="752">
        <v>52</v>
      </c>
      <c r="B83" s="637"/>
      <c r="C83" s="778" t="s">
        <v>1220</v>
      </c>
      <c r="D83" s="1920"/>
      <c r="E83" s="2695"/>
      <c r="F83" s="1895"/>
      <c r="G83"/>
      <c r="H83"/>
    </row>
    <row r="84" spans="1:8">
      <c r="A84" s="752">
        <v>53</v>
      </c>
      <c r="B84" s="952"/>
      <c r="C84" s="1892"/>
      <c r="D84" s="1921"/>
      <c r="E84" s="2695"/>
      <c r="F84" s="1895"/>
      <c r="G84"/>
      <c r="H84"/>
    </row>
    <row r="85" spans="1:8">
      <c r="A85" s="752">
        <v>54</v>
      </c>
      <c r="B85" s="637"/>
      <c r="C85" s="776" t="s">
        <v>3910</v>
      </c>
      <c r="D85" s="1920"/>
      <c r="E85" s="2695"/>
      <c r="F85" s="1895"/>
      <c r="G85"/>
      <c r="H85"/>
    </row>
    <row r="86" spans="1:8">
      <c r="A86" s="752">
        <v>55</v>
      </c>
      <c r="B86" s="637">
        <v>660</v>
      </c>
      <c r="C86" s="254" t="s">
        <v>2655</v>
      </c>
      <c r="D86" s="1182">
        <v>26699.27</v>
      </c>
      <c r="E86" s="1936">
        <v>55077.55</v>
      </c>
      <c r="F86" s="1895"/>
      <c r="G86"/>
      <c r="H86"/>
    </row>
    <row r="87" spans="1:8">
      <c r="A87" s="752">
        <v>56</v>
      </c>
      <c r="B87" s="637">
        <v>661</v>
      </c>
      <c r="C87" s="254" t="s">
        <v>1221</v>
      </c>
      <c r="D87" s="1182">
        <v>37678.620000000003</v>
      </c>
      <c r="E87" s="1936">
        <v>33386.06</v>
      </c>
      <c r="F87" s="1895"/>
      <c r="G87"/>
      <c r="H87"/>
    </row>
    <row r="88" spans="1:8">
      <c r="A88" s="752">
        <v>57</v>
      </c>
      <c r="B88" s="952">
        <v>662</v>
      </c>
      <c r="C88" s="254" t="s">
        <v>1222</v>
      </c>
      <c r="D88" s="1182">
        <v>541290.07999999996</v>
      </c>
      <c r="E88" s="1936">
        <v>408953.13</v>
      </c>
      <c r="F88" s="1895"/>
      <c r="G88"/>
      <c r="H88"/>
    </row>
    <row r="89" spans="1:8">
      <c r="A89" s="752">
        <v>58</v>
      </c>
      <c r="B89" s="952">
        <v>663</v>
      </c>
      <c r="C89" s="254" t="s">
        <v>1223</v>
      </c>
      <c r="D89" s="1182">
        <v>79952.98</v>
      </c>
      <c r="E89" s="1936">
        <v>65868.72</v>
      </c>
      <c r="F89" s="1893"/>
      <c r="G89"/>
      <c r="H89"/>
    </row>
    <row r="90" spans="1:8">
      <c r="A90" s="752">
        <v>59</v>
      </c>
      <c r="B90" s="952">
        <v>664</v>
      </c>
      <c r="C90" s="254" t="s">
        <v>2550</v>
      </c>
      <c r="D90" s="1182">
        <v>49699.76</v>
      </c>
      <c r="E90" s="1936">
        <v>98209.319999999992</v>
      </c>
      <c r="F90" s="1893"/>
      <c r="G90"/>
      <c r="H90"/>
    </row>
    <row r="91" spans="1:8">
      <c r="A91" s="752">
        <v>60</v>
      </c>
      <c r="B91" s="952">
        <v>665</v>
      </c>
      <c r="C91" s="254" t="s">
        <v>2551</v>
      </c>
      <c r="D91" s="1182">
        <v>195592.95</v>
      </c>
      <c r="E91" s="1936">
        <v>140487.02000000002</v>
      </c>
      <c r="F91" s="1226"/>
      <c r="G91"/>
      <c r="H91"/>
    </row>
    <row r="92" spans="1:8">
      <c r="A92" s="752">
        <v>61</v>
      </c>
      <c r="B92" s="952">
        <v>666</v>
      </c>
      <c r="C92" s="254" t="s">
        <v>2659</v>
      </c>
      <c r="D92" s="1182">
        <v>3212.81</v>
      </c>
      <c r="E92" s="1936">
        <v>2410</v>
      </c>
      <c r="F92" s="1893"/>
      <c r="G92"/>
      <c r="H92"/>
    </row>
    <row r="93" spans="1:8" ht="15.75">
      <c r="A93" s="752">
        <v>62</v>
      </c>
      <c r="B93" s="952"/>
      <c r="C93" s="1181" t="s">
        <v>3913</v>
      </c>
      <c r="D93" s="2083">
        <f>SUM(D86:D92)+F93</f>
        <v>934126.47</v>
      </c>
      <c r="E93" s="2696">
        <f>SUM(E86:E92)</f>
        <v>804391.79999999993</v>
      </c>
      <c r="F93" s="2688"/>
      <c r="G93"/>
      <c r="H93"/>
    </row>
    <row r="94" spans="1:8">
      <c r="A94" s="752">
        <v>63</v>
      </c>
      <c r="B94" s="952"/>
      <c r="C94" s="776" t="s">
        <v>2661</v>
      </c>
      <c r="D94" s="1182"/>
      <c r="E94" s="1936"/>
      <c r="F94" s="1894"/>
      <c r="G94"/>
      <c r="H94"/>
    </row>
    <row r="95" spans="1:8">
      <c r="A95" s="752">
        <v>64</v>
      </c>
      <c r="B95" s="952">
        <v>670</v>
      </c>
      <c r="C95" s="254" t="s">
        <v>3903</v>
      </c>
      <c r="D95" s="1182">
        <v>89285.6</v>
      </c>
      <c r="E95" s="1936">
        <v>135016.38</v>
      </c>
      <c r="F95" s="1683"/>
      <c r="G95"/>
      <c r="H95"/>
    </row>
    <row r="96" spans="1:8">
      <c r="A96" s="752">
        <v>65</v>
      </c>
      <c r="B96" s="952">
        <v>671</v>
      </c>
      <c r="C96" s="254" t="s">
        <v>3904</v>
      </c>
      <c r="D96" s="1182">
        <v>0</v>
      </c>
      <c r="E96" s="1936">
        <v>0</v>
      </c>
      <c r="F96" s="1893"/>
      <c r="G96"/>
      <c r="H96"/>
    </row>
    <row r="97" spans="1:8">
      <c r="A97" s="752">
        <v>66</v>
      </c>
      <c r="B97" s="952">
        <v>672</v>
      </c>
      <c r="C97" s="254" t="s">
        <v>2552</v>
      </c>
      <c r="D97" s="1182">
        <v>50.76</v>
      </c>
      <c r="E97" s="1936">
        <v>443.2</v>
      </c>
      <c r="F97" s="1893"/>
      <c r="G97"/>
      <c r="H97"/>
    </row>
    <row r="98" spans="1:8">
      <c r="A98" s="752">
        <v>67</v>
      </c>
      <c r="B98" s="952">
        <v>673</v>
      </c>
      <c r="C98" s="254" t="s">
        <v>2553</v>
      </c>
      <c r="D98" s="1182">
        <v>874909.84000000008</v>
      </c>
      <c r="E98" s="1936">
        <v>1078934.5699999998</v>
      </c>
      <c r="F98" s="1226"/>
      <c r="G98"/>
      <c r="H98"/>
    </row>
    <row r="99" spans="1:8">
      <c r="A99" s="752">
        <v>68</v>
      </c>
      <c r="B99" s="952">
        <v>674</v>
      </c>
      <c r="C99" s="254" t="s">
        <v>2554</v>
      </c>
      <c r="D99" s="1182">
        <v>345.78</v>
      </c>
      <c r="E99" s="1936">
        <v>0</v>
      </c>
      <c r="F99" s="1893"/>
      <c r="G99"/>
      <c r="H99"/>
    </row>
    <row r="100" spans="1:8">
      <c r="A100" s="752">
        <v>69</v>
      </c>
      <c r="B100" s="952">
        <v>675</v>
      </c>
      <c r="C100" s="254" t="s">
        <v>2736</v>
      </c>
      <c r="D100" s="1182">
        <v>389843.25</v>
      </c>
      <c r="E100" s="1936">
        <v>342487.12</v>
      </c>
      <c r="F100" s="1893"/>
      <c r="G100"/>
      <c r="H100"/>
    </row>
    <row r="101" spans="1:8">
      <c r="A101" s="752">
        <v>70</v>
      </c>
      <c r="B101" s="952">
        <v>676</v>
      </c>
      <c r="C101" s="254" t="s">
        <v>2751</v>
      </c>
      <c r="D101" s="1182">
        <v>79988.56</v>
      </c>
      <c r="E101" s="1936">
        <v>75971.56</v>
      </c>
      <c r="F101" s="1893"/>
      <c r="G101"/>
      <c r="H101"/>
    </row>
    <row r="102" spans="1:8">
      <c r="A102" s="752">
        <v>71</v>
      </c>
      <c r="B102" s="952">
        <v>677</v>
      </c>
      <c r="C102" s="254" t="s">
        <v>2752</v>
      </c>
      <c r="D102" s="1182">
        <v>53366.030000000006</v>
      </c>
      <c r="E102" s="1936">
        <v>104256.59</v>
      </c>
      <c r="F102" s="1893"/>
      <c r="G102"/>
      <c r="H102"/>
    </row>
    <row r="103" spans="1:8">
      <c r="A103" s="752">
        <v>72</v>
      </c>
      <c r="B103" s="952">
        <v>678</v>
      </c>
      <c r="C103" s="254" t="s">
        <v>2753</v>
      </c>
      <c r="D103" s="1182">
        <v>34081.710000000006</v>
      </c>
      <c r="E103" s="1936">
        <v>262572.03999999998</v>
      </c>
      <c r="F103" s="1683"/>
      <c r="G103"/>
      <c r="H103"/>
    </row>
    <row r="104" spans="1:8">
      <c r="A104" s="752">
        <v>73</v>
      </c>
      <c r="B104" s="952"/>
      <c r="C104" s="1181" t="s">
        <v>1393</v>
      </c>
      <c r="D104" s="2047">
        <f>SUM(D95:D103)-1</f>
        <v>1521870.53</v>
      </c>
      <c r="E104" s="2697">
        <f>SUM(E95:E103)-0.5</f>
        <v>1999680.9600000002</v>
      </c>
      <c r="F104" s="1683"/>
      <c r="G104"/>
      <c r="H104"/>
    </row>
    <row r="105" spans="1:8">
      <c r="A105" s="752">
        <v>74</v>
      </c>
      <c r="B105" s="952"/>
      <c r="C105" s="776" t="s">
        <v>4119</v>
      </c>
      <c r="D105" s="2083">
        <f>D93+D104</f>
        <v>2455997</v>
      </c>
      <c r="E105" s="2696">
        <f>E93+E104-0.5</f>
        <v>2804072.2600000002</v>
      </c>
      <c r="F105" s="1894"/>
      <c r="G105"/>
      <c r="H105"/>
    </row>
    <row r="106" spans="1:8">
      <c r="A106" s="752"/>
      <c r="B106" s="952"/>
      <c r="C106" s="776"/>
      <c r="D106" s="1182"/>
      <c r="E106" s="1936"/>
      <c r="F106" s="1894"/>
      <c r="G106"/>
      <c r="H106"/>
    </row>
    <row r="107" spans="1:8">
      <c r="A107" s="752">
        <v>75</v>
      </c>
      <c r="B107" s="952"/>
      <c r="C107" s="254"/>
      <c r="D107" s="1182"/>
      <c r="E107" s="1936"/>
      <c r="F107" s="1894"/>
      <c r="G107"/>
      <c r="H107"/>
    </row>
    <row r="108" spans="1:8" ht="15.75">
      <c r="A108" s="752">
        <v>79</v>
      </c>
      <c r="B108" s="952"/>
      <c r="C108" s="778" t="s">
        <v>4509</v>
      </c>
      <c r="D108" s="1183"/>
      <c r="E108" s="1911"/>
      <c r="F108" s="1683"/>
      <c r="G108"/>
      <c r="H108"/>
    </row>
    <row r="109" spans="1:8">
      <c r="A109" s="752">
        <v>80</v>
      </c>
      <c r="B109" s="952"/>
      <c r="C109" s="254"/>
      <c r="D109" s="1183"/>
      <c r="E109" s="1911"/>
      <c r="F109" s="1683"/>
      <c r="G109"/>
      <c r="H109"/>
    </row>
    <row r="110" spans="1:8">
      <c r="A110" s="752">
        <v>81</v>
      </c>
      <c r="B110" s="952"/>
      <c r="C110" s="1181"/>
      <c r="D110" s="1183"/>
      <c r="E110" s="1911"/>
      <c r="F110" s="1683"/>
      <c r="G110"/>
      <c r="H110"/>
    </row>
    <row r="111" spans="1:8">
      <c r="A111" s="752">
        <v>82</v>
      </c>
      <c r="B111" s="952">
        <v>901</v>
      </c>
      <c r="C111" s="254" t="s">
        <v>4510</v>
      </c>
      <c r="D111" s="1182">
        <v>61474.79</v>
      </c>
      <c r="E111" s="1936">
        <v>52626.6</v>
      </c>
      <c r="F111" s="1893"/>
      <c r="G111"/>
      <c r="H111"/>
    </row>
    <row r="112" spans="1:8">
      <c r="A112" s="752">
        <v>83</v>
      </c>
      <c r="B112" s="952">
        <v>902</v>
      </c>
      <c r="C112" s="254" t="s">
        <v>4511</v>
      </c>
      <c r="D112" s="1182">
        <v>571996.56000000006</v>
      </c>
      <c r="E112" s="1936">
        <v>407302.52</v>
      </c>
      <c r="F112" s="1893"/>
      <c r="G112"/>
      <c r="H112"/>
    </row>
    <row r="113" spans="1:8">
      <c r="A113" s="752">
        <v>84</v>
      </c>
      <c r="B113" s="952">
        <v>903</v>
      </c>
      <c r="C113" s="254" t="s">
        <v>4512</v>
      </c>
      <c r="D113" s="1182">
        <v>1170409.33</v>
      </c>
      <c r="E113" s="1936">
        <v>1137429.31</v>
      </c>
      <c r="F113" s="1893"/>
      <c r="G113"/>
      <c r="H113"/>
    </row>
    <row r="114" spans="1:8">
      <c r="A114" s="752">
        <v>85</v>
      </c>
      <c r="B114" s="952">
        <v>904</v>
      </c>
      <c r="C114" s="254" t="s">
        <v>4513</v>
      </c>
      <c r="D114" s="1182">
        <v>284170.65999999997</v>
      </c>
      <c r="E114" s="1936">
        <v>308319.71000000002</v>
      </c>
      <c r="F114" s="1893"/>
      <c r="G114"/>
      <c r="H114"/>
    </row>
    <row r="115" spans="1:8">
      <c r="A115" s="752">
        <v>86</v>
      </c>
      <c r="B115" s="952">
        <v>905</v>
      </c>
      <c r="C115" s="254" t="s">
        <v>4514</v>
      </c>
      <c r="D115" s="1182">
        <v>32262.84</v>
      </c>
      <c r="E115" s="1936">
        <v>8425.7900000000009</v>
      </c>
      <c r="F115" s="1893"/>
      <c r="G115"/>
      <c r="H115"/>
    </row>
    <row r="116" spans="1:8" ht="15.75">
      <c r="A116" s="752">
        <v>87</v>
      </c>
      <c r="B116" s="952"/>
      <c r="C116" s="776" t="s">
        <v>3494</v>
      </c>
      <c r="D116" s="2083">
        <f>SUM(D111:D115)+F116</f>
        <v>2120314.1800000002</v>
      </c>
      <c r="E116" s="2696">
        <f>SUM(E111:E115)-1</f>
        <v>1914102.9300000002</v>
      </c>
      <c r="F116" s="2686"/>
      <c r="G116"/>
      <c r="H116"/>
    </row>
    <row r="117" spans="1:8">
      <c r="A117" s="752"/>
      <c r="B117" s="952"/>
      <c r="C117" s="1181"/>
      <c r="D117" s="1182"/>
      <c r="E117" s="1936"/>
      <c r="F117" s="1683"/>
      <c r="G117"/>
      <c r="H117"/>
    </row>
    <row r="118" spans="1:8">
      <c r="A118" s="752"/>
      <c r="B118" s="952"/>
      <c r="C118" s="1181"/>
      <c r="D118" s="1182"/>
      <c r="E118" s="1936"/>
      <c r="F118" s="1683"/>
      <c r="G118"/>
      <c r="H118"/>
    </row>
    <row r="119" spans="1:8">
      <c r="A119" s="752"/>
      <c r="B119" s="952"/>
      <c r="C119" s="1181"/>
      <c r="D119" s="1182"/>
      <c r="E119" s="1936"/>
      <c r="F119" s="1683"/>
      <c r="G119"/>
      <c r="H119"/>
    </row>
    <row r="120" spans="1:8">
      <c r="A120" s="752"/>
      <c r="B120" s="952"/>
      <c r="C120" s="1181"/>
      <c r="D120" s="1182"/>
      <c r="E120" s="1936"/>
      <c r="F120" s="1683"/>
      <c r="G120"/>
      <c r="H120"/>
    </row>
    <row r="121" spans="1:8" ht="15.75" thickBot="1">
      <c r="A121" s="1184"/>
      <c r="B121" s="1186"/>
      <c r="C121" s="1187"/>
      <c r="D121" s="1922"/>
      <c r="E121" s="2698"/>
      <c r="F121" s="2689"/>
      <c r="G121"/>
      <c r="H121"/>
    </row>
    <row r="122" spans="1:8">
      <c r="C122" s="245" t="s">
        <v>4373</v>
      </c>
      <c r="D122" s="1923"/>
      <c r="E122" s="1903"/>
      <c r="F122" s="1683"/>
      <c r="G122"/>
      <c r="H122"/>
    </row>
    <row r="123" spans="1:8">
      <c r="A123" s="8" t="s">
        <v>4515</v>
      </c>
      <c r="B123" s="8"/>
      <c r="C123" s="8"/>
      <c r="D123" s="1924"/>
      <c r="E123" s="1904"/>
      <c r="F123" s="1684"/>
      <c r="G123"/>
      <c r="H123"/>
    </row>
    <row r="124" spans="1:8" ht="15.75" thickBot="1">
      <c r="A124" s="186" t="str">
        <f>'Data sheet'!$A$53</f>
        <v>Annual Report of New York American Water Company, Inc. (f/k/a Long Island Water Corp)                                   Year Ended  December 31, 2013</v>
      </c>
      <c r="C124" s="8"/>
      <c r="D124" s="1903"/>
      <c r="E124" s="1903"/>
      <c r="F124" s="1683"/>
      <c r="G124"/>
      <c r="H124"/>
    </row>
    <row r="125" spans="1:8">
      <c r="A125" s="2868"/>
      <c r="B125" s="2869"/>
      <c r="C125" s="2869"/>
      <c r="D125" s="2870"/>
      <c r="E125" s="2871"/>
      <c r="F125" s="1895"/>
      <c r="G125"/>
      <c r="H125"/>
    </row>
    <row r="126" spans="1:8" ht="15.75">
      <c r="A126" s="3065" t="s">
        <v>2133</v>
      </c>
      <c r="B126" s="3031"/>
      <c r="C126" s="3031"/>
      <c r="D126" s="3031"/>
      <c r="E126" s="3066"/>
      <c r="F126" s="2829"/>
      <c r="G126"/>
      <c r="H126"/>
    </row>
    <row r="127" spans="1:8">
      <c r="A127" s="2872"/>
      <c r="B127" s="952"/>
      <c r="C127" s="952"/>
      <c r="D127" s="1902"/>
      <c r="E127" s="2873"/>
      <c r="F127" s="1895"/>
      <c r="G127"/>
      <c r="H127"/>
    </row>
    <row r="128" spans="1:8">
      <c r="A128" s="2872"/>
      <c r="B128" s="952" t="s">
        <v>355</v>
      </c>
      <c r="C128" s="952"/>
      <c r="D128" s="1902"/>
      <c r="E128" s="2873"/>
      <c r="F128" s="1895"/>
      <c r="G128"/>
      <c r="H128"/>
    </row>
    <row r="129" spans="1:8">
      <c r="A129" s="2872"/>
      <c r="B129" s="952"/>
      <c r="C129" s="952"/>
      <c r="D129" s="1902"/>
      <c r="E129" s="2873"/>
      <c r="F129" s="1895"/>
      <c r="G129"/>
      <c r="H129"/>
    </row>
    <row r="130" spans="1:8">
      <c r="A130" s="2874"/>
      <c r="B130" s="249"/>
      <c r="C130" s="249"/>
      <c r="D130" s="1916"/>
      <c r="E130" s="2875"/>
      <c r="F130" s="1895"/>
      <c r="G130"/>
      <c r="H130"/>
    </row>
    <row r="131" spans="1:8">
      <c r="A131" s="2876"/>
      <c r="B131" s="952"/>
      <c r="C131" s="254"/>
      <c r="D131" s="1917" t="s">
        <v>356</v>
      </c>
      <c r="E131" s="2877" t="s">
        <v>356</v>
      </c>
      <c r="F131" s="1896"/>
      <c r="G131"/>
      <c r="H131"/>
    </row>
    <row r="132" spans="1:8">
      <c r="A132" s="2876" t="s">
        <v>357</v>
      </c>
      <c r="B132" s="952"/>
      <c r="C132" s="776" t="s">
        <v>358</v>
      </c>
      <c r="D132" s="1917" t="s">
        <v>359</v>
      </c>
      <c r="E132" s="2878" t="s">
        <v>2954</v>
      </c>
      <c r="F132" s="1896"/>
      <c r="G132"/>
      <c r="H132"/>
    </row>
    <row r="133" spans="1:8">
      <c r="A133" s="2879" t="s">
        <v>2955</v>
      </c>
      <c r="B133" s="249"/>
      <c r="C133" s="789" t="s">
        <v>4032</v>
      </c>
      <c r="D133" s="1918" t="s">
        <v>4033</v>
      </c>
      <c r="E133" s="2880" t="s">
        <v>4034</v>
      </c>
      <c r="F133" s="1896"/>
      <c r="G133"/>
      <c r="H133"/>
    </row>
    <row r="134" spans="1:8" ht="15.75">
      <c r="A134" s="2876">
        <v>88</v>
      </c>
      <c r="B134" s="952"/>
      <c r="C134" s="778" t="s">
        <v>4516</v>
      </c>
      <c r="D134" s="1182"/>
      <c r="E134" s="2881"/>
      <c r="F134" s="1683"/>
      <c r="G134"/>
      <c r="H134"/>
    </row>
    <row r="135" spans="1:8">
      <c r="A135" s="2876">
        <v>89</v>
      </c>
      <c r="B135" s="952"/>
      <c r="C135" s="776" t="s">
        <v>2135</v>
      </c>
      <c r="D135" s="1182"/>
      <c r="E135" s="2881"/>
      <c r="F135" s="1683"/>
      <c r="G135"/>
      <c r="H135"/>
    </row>
    <row r="136" spans="1:8">
      <c r="A136" s="2876">
        <v>90</v>
      </c>
      <c r="B136" s="952">
        <v>910</v>
      </c>
      <c r="C136" s="1188" t="s">
        <v>4517</v>
      </c>
      <c r="D136" s="1658"/>
      <c r="E136" s="2882"/>
      <c r="F136" s="1894"/>
      <c r="G136"/>
      <c r="H136"/>
    </row>
    <row r="137" spans="1:8">
      <c r="A137" s="2876">
        <v>91</v>
      </c>
      <c r="B137" s="952"/>
      <c r="C137" s="1188"/>
      <c r="D137" s="2836"/>
      <c r="E137" s="2881"/>
      <c r="F137" s="1683"/>
      <c r="G137"/>
      <c r="H137"/>
    </row>
    <row r="138" spans="1:8" ht="15.75">
      <c r="A138" s="2876">
        <v>92</v>
      </c>
      <c r="B138" s="952"/>
      <c r="C138" s="778" t="s">
        <v>3344</v>
      </c>
      <c r="D138" s="2837"/>
      <c r="E138" s="2881"/>
      <c r="F138" s="1683"/>
      <c r="G138"/>
      <c r="H138"/>
    </row>
    <row r="139" spans="1:8">
      <c r="A139" s="2876">
        <v>93</v>
      </c>
      <c r="B139" s="952"/>
      <c r="C139" s="776" t="s">
        <v>2135</v>
      </c>
      <c r="D139" s="2837"/>
      <c r="E139" s="2881"/>
      <c r="F139" s="1707"/>
      <c r="G139"/>
      <c r="H139"/>
    </row>
    <row r="140" spans="1:8">
      <c r="A140" s="2876">
        <v>94</v>
      </c>
      <c r="B140" s="952">
        <v>920</v>
      </c>
      <c r="C140" s="254" t="s">
        <v>3345</v>
      </c>
      <c r="D140" s="1914">
        <v>2585347.4899999998</v>
      </c>
      <c r="E140" s="2883">
        <v>1438326.6499999997</v>
      </c>
      <c r="F140" s="1707"/>
      <c r="G140"/>
      <c r="H140"/>
    </row>
    <row r="141" spans="1:8">
      <c r="A141" s="2876">
        <v>95</v>
      </c>
      <c r="B141" s="952">
        <v>921</v>
      </c>
      <c r="C141" s="254" t="s">
        <v>3346</v>
      </c>
      <c r="D141" s="1914">
        <v>323564.20999999717</v>
      </c>
      <c r="E141" s="2883">
        <v>524399.19000000134</v>
      </c>
      <c r="G141"/>
      <c r="H141"/>
    </row>
    <row r="142" spans="1:8">
      <c r="A142" s="2876">
        <v>96</v>
      </c>
      <c r="B142" s="952">
        <v>922</v>
      </c>
      <c r="C142" s="254" t="s">
        <v>3347</v>
      </c>
      <c r="D142" s="1914">
        <v>0</v>
      </c>
      <c r="E142" s="2883">
        <v>0</v>
      </c>
      <c r="F142" s="1226"/>
      <c r="G142"/>
      <c r="H142"/>
    </row>
    <row r="143" spans="1:8">
      <c r="A143" s="2876">
        <v>97</v>
      </c>
      <c r="B143" s="952">
        <v>923</v>
      </c>
      <c r="C143" s="254" t="s">
        <v>3404</v>
      </c>
      <c r="D143" s="1914">
        <v>5996085.0600000015</v>
      </c>
      <c r="E143" s="2883">
        <v>5441893.2300000004</v>
      </c>
      <c r="F143" s="1707"/>
      <c r="G143"/>
      <c r="H143"/>
    </row>
    <row r="144" spans="1:8">
      <c r="A144" s="2876">
        <v>98</v>
      </c>
      <c r="B144" s="637">
        <v>924</v>
      </c>
      <c r="C144" s="254" t="s">
        <v>3405</v>
      </c>
      <c r="D144" s="1914">
        <v>854201.55</v>
      </c>
      <c r="E144" s="2883">
        <v>883579.9</v>
      </c>
      <c r="F144" s="1226"/>
      <c r="G144"/>
      <c r="H144"/>
    </row>
    <row r="145" spans="1:8">
      <c r="A145" s="2876">
        <v>99</v>
      </c>
      <c r="B145" s="637">
        <v>925</v>
      </c>
      <c r="C145" s="254" t="s">
        <v>781</v>
      </c>
      <c r="D145" s="1914">
        <v>-234252.94</v>
      </c>
      <c r="E145" s="2883">
        <v>-6666.9</v>
      </c>
      <c r="F145" s="1226"/>
      <c r="G145"/>
      <c r="H145"/>
    </row>
    <row r="146" spans="1:8">
      <c r="A146" s="2876">
        <v>100</v>
      </c>
      <c r="B146" s="637">
        <v>926</v>
      </c>
      <c r="C146" s="254" t="s">
        <v>782</v>
      </c>
      <c r="D146" s="1914">
        <v>2080060.53</v>
      </c>
      <c r="E146" s="2883">
        <v>2412993.09</v>
      </c>
      <c r="F146" s="1226"/>
      <c r="G146"/>
      <c r="H146"/>
    </row>
    <row r="147" spans="1:8">
      <c r="A147" s="2884">
        <v>101</v>
      </c>
      <c r="B147" s="637">
        <v>927</v>
      </c>
      <c r="C147" s="254" t="s">
        <v>783</v>
      </c>
      <c r="D147" s="1914">
        <v>0</v>
      </c>
      <c r="E147" s="2883">
        <v>0</v>
      </c>
      <c r="F147" s="1226"/>
      <c r="G147"/>
      <c r="H147"/>
    </row>
    <row r="148" spans="1:8">
      <c r="A148" s="2884">
        <v>102</v>
      </c>
      <c r="B148" s="637">
        <v>928</v>
      </c>
      <c r="C148" s="254" t="s">
        <v>2645</v>
      </c>
      <c r="D148" s="1914">
        <v>77333.279999999999</v>
      </c>
      <c r="E148" s="2883">
        <v>75166.209999999992</v>
      </c>
      <c r="F148" s="1226"/>
      <c r="G148"/>
      <c r="H148"/>
    </row>
    <row r="149" spans="1:8">
      <c r="A149" s="2884">
        <v>103</v>
      </c>
      <c r="B149" s="637">
        <v>929</v>
      </c>
      <c r="C149" s="254" t="s">
        <v>2646</v>
      </c>
      <c r="D149" s="1914">
        <v>0</v>
      </c>
      <c r="E149" s="2883">
        <v>0</v>
      </c>
      <c r="F149" s="1226"/>
      <c r="G149"/>
      <c r="H149"/>
    </row>
    <row r="150" spans="1:8">
      <c r="A150" s="2884">
        <v>104</v>
      </c>
      <c r="B150" s="637">
        <v>930</v>
      </c>
      <c r="C150" s="254" t="s">
        <v>2647</v>
      </c>
      <c r="D150" s="1914">
        <v>664251.7300000001</v>
      </c>
      <c r="E150" s="2883">
        <v>835329.87</v>
      </c>
      <c r="F150" s="1226"/>
      <c r="G150"/>
      <c r="H150"/>
    </row>
    <row r="151" spans="1:8">
      <c r="A151" s="2884">
        <v>105</v>
      </c>
      <c r="B151" s="637">
        <v>931.1</v>
      </c>
      <c r="C151" s="254" t="s">
        <v>2648</v>
      </c>
      <c r="D151" s="1914">
        <v>15105.4</v>
      </c>
      <c r="E151" s="2883">
        <v>13739.19</v>
      </c>
      <c r="F151" s="1226"/>
      <c r="G151"/>
      <c r="H151"/>
    </row>
    <row r="152" spans="1:8">
      <c r="A152" s="2884">
        <v>106</v>
      </c>
      <c r="B152" s="637">
        <v>931.2</v>
      </c>
      <c r="C152" s="254" t="s">
        <v>3735</v>
      </c>
      <c r="D152" s="1914">
        <v>0</v>
      </c>
      <c r="E152" s="2883">
        <v>0</v>
      </c>
      <c r="F152" s="1226"/>
      <c r="G152"/>
      <c r="H152"/>
    </row>
    <row r="153" spans="1:8">
      <c r="A153" s="2884">
        <v>107</v>
      </c>
      <c r="B153" s="637"/>
      <c r="C153" s="254"/>
      <c r="D153" s="1914"/>
      <c r="E153" s="2883"/>
      <c r="F153" s="1893"/>
      <c r="G153"/>
      <c r="H153"/>
    </row>
    <row r="154" spans="1:8">
      <c r="A154" s="2884">
        <v>108</v>
      </c>
      <c r="B154" s="637"/>
      <c r="C154" s="1181" t="s">
        <v>3736</v>
      </c>
      <c r="D154" s="2838">
        <f>SUM(D140:D153)</f>
        <v>12361696.309999999</v>
      </c>
      <c r="E154" s="2885">
        <f>SUM(E140:E153)</f>
        <v>11618760.43</v>
      </c>
      <c r="F154" s="1683"/>
      <c r="G154"/>
      <c r="H154"/>
    </row>
    <row r="155" spans="1:8">
      <c r="A155" s="2884">
        <v>109</v>
      </c>
      <c r="B155" s="637"/>
      <c r="C155" s="776" t="s">
        <v>2661</v>
      </c>
      <c r="D155" s="2837"/>
      <c r="E155" s="2881"/>
      <c r="F155" s="1683"/>
      <c r="G155"/>
      <c r="H155"/>
    </row>
    <row r="156" spans="1:8" ht="15.75">
      <c r="A156" s="2876">
        <v>110</v>
      </c>
      <c r="B156" s="637">
        <v>932</v>
      </c>
      <c r="C156" s="254" t="s">
        <v>784</v>
      </c>
      <c r="D156" s="1925">
        <v>131019.75</v>
      </c>
      <c r="E156" s="2886">
        <v>133667.56</v>
      </c>
      <c r="F156" s="2149"/>
      <c r="G156"/>
      <c r="H156"/>
    </row>
    <row r="157" spans="1:8">
      <c r="A157" s="2876">
        <v>111</v>
      </c>
      <c r="B157" s="637"/>
      <c r="C157" s="1181" t="s">
        <v>1393</v>
      </c>
      <c r="D157" s="2839">
        <f>SUM(D156)</f>
        <v>131019.75</v>
      </c>
      <c r="E157" s="2887">
        <f>SUM(E156)</f>
        <v>133667.56</v>
      </c>
      <c r="F157" s="1683"/>
      <c r="G157"/>
      <c r="H157"/>
    </row>
    <row r="158" spans="1:8">
      <c r="A158" s="2876">
        <v>113</v>
      </c>
      <c r="B158" s="637"/>
      <c r="C158" s="254" t="s">
        <v>785</v>
      </c>
      <c r="D158" s="2838">
        <f>D154+D157</f>
        <v>12492716.059999999</v>
      </c>
      <c r="E158" s="2885">
        <f>E154+E157</f>
        <v>11752427.99</v>
      </c>
      <c r="F158" s="1683"/>
      <c r="G158"/>
      <c r="H158"/>
    </row>
    <row r="159" spans="1:8">
      <c r="A159" s="2876">
        <v>114</v>
      </c>
      <c r="B159" s="637"/>
      <c r="C159" s="254"/>
      <c r="D159" s="1926"/>
      <c r="E159" s="2888"/>
      <c r="F159" s="1897"/>
      <c r="G159"/>
      <c r="H159"/>
    </row>
    <row r="160" spans="1:8">
      <c r="A160" s="2876">
        <v>115</v>
      </c>
      <c r="B160" s="952"/>
      <c r="C160" s="254"/>
      <c r="D160" s="1853"/>
      <c r="E160" s="2847"/>
      <c r="F160" s="1898"/>
      <c r="G160"/>
      <c r="H160"/>
    </row>
    <row r="161" spans="1:8">
      <c r="A161" s="2876">
        <v>116</v>
      </c>
      <c r="B161" s="952"/>
      <c r="C161" s="952"/>
      <c r="D161" s="1623"/>
      <c r="E161" s="2847"/>
      <c r="F161" s="1898"/>
      <c r="G161"/>
      <c r="H161"/>
    </row>
    <row r="162" spans="1:8" ht="15.75" thickBot="1">
      <c r="A162" s="2889">
        <v>117</v>
      </c>
      <c r="B162" s="1189" t="s">
        <v>786</v>
      </c>
      <c r="C162" s="285"/>
      <c r="D162" s="1927">
        <f>D29+D49++D79+D105+D116+D136+D158</f>
        <v>22825885.649999999</v>
      </c>
      <c r="E162" s="2890">
        <f>E29+E49++E79+E105+E116+E136+E158</f>
        <v>24120432.079999998</v>
      </c>
      <c r="F162" s="1931"/>
      <c r="G162"/>
      <c r="H162"/>
    </row>
    <row r="163" spans="1:8">
      <c r="A163" s="2891"/>
      <c r="B163" s="1582"/>
      <c r="C163" s="1582"/>
      <c r="D163" s="2833"/>
      <c r="E163" s="2892"/>
      <c r="F163" s="1891"/>
      <c r="G163"/>
      <c r="H163"/>
    </row>
    <row r="164" spans="1:8">
      <c r="A164" s="3062" t="s">
        <v>787</v>
      </c>
      <c r="B164" s="3063"/>
      <c r="C164" s="3063"/>
      <c r="D164" s="3063"/>
      <c r="E164" s="3064"/>
      <c r="F164" s="2840"/>
      <c r="G164"/>
      <c r="H164"/>
    </row>
    <row r="165" spans="1:8">
      <c r="A165" s="2872"/>
      <c r="B165" s="1582"/>
      <c r="C165" s="1582"/>
      <c r="D165" s="1718"/>
      <c r="E165" s="2893"/>
      <c r="G165"/>
      <c r="H165"/>
    </row>
    <row r="166" spans="1:8" ht="45">
      <c r="A166" s="2872"/>
      <c r="B166" s="952"/>
      <c r="C166" s="2834" t="s">
        <v>1583</v>
      </c>
      <c r="D166" s="1718"/>
      <c r="E166" s="2894" t="s">
        <v>4373</v>
      </c>
      <c r="F166" s="1899"/>
      <c r="G166"/>
      <c r="H166"/>
    </row>
    <row r="167" spans="1:8">
      <c r="A167" s="2872"/>
      <c r="B167" s="2834"/>
      <c r="C167" s="2834"/>
      <c r="D167" s="1718"/>
      <c r="E167" s="2895"/>
      <c r="F167" s="1900"/>
      <c r="G167"/>
      <c r="H167"/>
    </row>
    <row r="168" spans="1:8" ht="60" customHeight="1">
      <c r="A168" s="2872"/>
      <c r="B168" s="2834"/>
      <c r="C168" s="2834" t="s">
        <v>361</v>
      </c>
      <c r="D168" s="1718"/>
      <c r="E168" s="2893"/>
      <c r="G168"/>
      <c r="H168"/>
    </row>
    <row r="169" spans="1:8">
      <c r="A169" s="2872"/>
      <c r="B169" s="2834"/>
      <c r="C169" s="2834"/>
      <c r="D169" s="1718"/>
      <c r="E169" s="2893"/>
      <c r="G169"/>
      <c r="H169"/>
    </row>
    <row r="170" spans="1:8" ht="45">
      <c r="A170" s="2872"/>
      <c r="B170" s="2834"/>
      <c r="C170" s="2835" t="s">
        <v>2088</v>
      </c>
      <c r="D170" s="1718"/>
      <c r="E170" s="2893"/>
      <c r="G170"/>
      <c r="H170"/>
    </row>
    <row r="171" spans="1:8">
      <c r="A171" s="2896" t="s">
        <v>479</v>
      </c>
      <c r="B171" s="2834"/>
      <c r="C171" s="1191" t="s">
        <v>2089</v>
      </c>
      <c r="D171" s="1662">
        <v>41639</v>
      </c>
      <c r="E171" s="2893"/>
      <c r="G171"/>
      <c r="H171"/>
    </row>
    <row r="172" spans="1:8">
      <c r="A172" s="2896" t="s">
        <v>2916</v>
      </c>
      <c r="B172" s="2834"/>
      <c r="C172" s="1858" t="s">
        <v>2090</v>
      </c>
      <c r="D172" s="1663">
        <f>62+18</f>
        <v>80</v>
      </c>
      <c r="E172" s="2893"/>
      <c r="G172"/>
      <c r="H172"/>
    </row>
    <row r="173" spans="1:8">
      <c r="A173" s="2896" t="s">
        <v>3164</v>
      </c>
      <c r="B173" s="2834"/>
      <c r="C173" s="1858" t="s">
        <v>2091</v>
      </c>
      <c r="D173" s="1663">
        <v>3</v>
      </c>
      <c r="E173" s="2893"/>
      <c r="G173"/>
      <c r="H173"/>
    </row>
    <row r="174" spans="1:8">
      <c r="A174" s="2896" t="s">
        <v>2630</v>
      </c>
      <c r="B174" s="2834"/>
      <c r="C174" s="1859" t="s">
        <v>2092</v>
      </c>
      <c r="D174" s="1664">
        <f>SUM(D172:D173)</f>
        <v>83</v>
      </c>
      <c r="E174" s="2893"/>
      <c r="G174"/>
      <c r="H174"/>
    </row>
    <row r="175" spans="1:8">
      <c r="A175" s="2872"/>
      <c r="B175" s="2834"/>
      <c r="C175" s="2834"/>
      <c r="D175" s="1718"/>
      <c r="E175" s="2893"/>
      <c r="G175"/>
      <c r="H175"/>
    </row>
    <row r="176" spans="1:8" ht="15.75" thickBot="1">
      <c r="A176" s="2897"/>
      <c r="B176" s="2898"/>
      <c r="C176" s="2898"/>
      <c r="D176" s="2899"/>
      <c r="E176" s="2900"/>
      <c r="G176"/>
      <c r="H176"/>
    </row>
    <row r="177" spans="1:8">
      <c r="G177"/>
      <c r="H177"/>
    </row>
    <row r="178" spans="1:8">
      <c r="A178" s="8" t="s">
        <v>2093</v>
      </c>
      <c r="B178" s="8"/>
      <c r="C178" s="8"/>
      <c r="D178" s="1676"/>
      <c r="E178" s="1676"/>
      <c r="F178" s="1891"/>
      <c r="G178"/>
      <c r="H178"/>
    </row>
    <row r="179" spans="1:8">
      <c r="G179"/>
      <c r="H179"/>
    </row>
    <row r="180" spans="1:8">
      <c r="G180"/>
      <c r="H180"/>
    </row>
    <row r="181" spans="1:8">
      <c r="D181"/>
      <c r="E181"/>
      <c r="F181"/>
      <c r="G181"/>
      <c r="H181"/>
    </row>
    <row r="182" spans="1:8">
      <c r="D182"/>
      <c r="E182"/>
      <c r="F182"/>
      <c r="G182"/>
      <c r="H182"/>
    </row>
    <row r="183" spans="1:8">
      <c r="D183"/>
      <c r="E183"/>
      <c r="F183"/>
      <c r="G183"/>
      <c r="H183"/>
    </row>
    <row r="184" spans="1:8">
      <c r="D184"/>
      <c r="E184"/>
      <c r="F184"/>
      <c r="G184"/>
      <c r="H184"/>
    </row>
    <row r="185" spans="1:8">
      <c r="D185"/>
      <c r="E185"/>
      <c r="F185"/>
      <c r="G185"/>
      <c r="H185"/>
    </row>
    <row r="186" spans="1:8">
      <c r="D186"/>
      <c r="E186"/>
      <c r="F186"/>
      <c r="G186"/>
      <c r="H186"/>
    </row>
    <row r="187" spans="1:8">
      <c r="D187"/>
      <c r="E187"/>
      <c r="F187"/>
      <c r="G187"/>
      <c r="H187"/>
    </row>
    <row r="188" spans="1:8">
      <c r="D188"/>
      <c r="E188"/>
      <c r="F188"/>
      <c r="G188"/>
      <c r="H188"/>
    </row>
    <row r="189" spans="1:8">
      <c r="D189"/>
      <c r="E189"/>
      <c r="F189"/>
      <c r="G189"/>
      <c r="H189"/>
    </row>
    <row r="190" spans="1:8">
      <c r="D190"/>
      <c r="E190"/>
      <c r="F190"/>
      <c r="G190"/>
      <c r="H190"/>
    </row>
    <row r="191" spans="1:8">
      <c r="D191"/>
      <c r="E191"/>
      <c r="F191"/>
      <c r="G191"/>
      <c r="H191"/>
    </row>
    <row r="193" spans="3:3">
      <c r="C193" s="260"/>
    </row>
    <row r="194" spans="3:3">
      <c r="C194" s="260"/>
    </row>
    <row r="195" spans="3:3">
      <c r="C195" s="260"/>
    </row>
    <row r="196" spans="3:3">
      <c r="C196" s="260"/>
    </row>
    <row r="197" spans="3:3">
      <c r="C197" s="260"/>
    </row>
    <row r="198" spans="3:3">
      <c r="C198" s="260"/>
    </row>
    <row r="201" spans="3:3">
      <c r="C201" s="260"/>
    </row>
    <row r="202" spans="3:3">
      <c r="C202" s="260"/>
    </row>
    <row r="203" spans="3:3">
      <c r="C203" s="260"/>
    </row>
    <row r="204" spans="3:3">
      <c r="C204" s="260"/>
    </row>
    <row r="205" spans="3:3">
      <c r="C205" s="260"/>
    </row>
    <row r="206" spans="3:3">
      <c r="C206" s="260"/>
    </row>
    <row r="209" spans="3:3">
      <c r="C209" s="260"/>
    </row>
    <row r="210" spans="3:3">
      <c r="C210" s="260"/>
    </row>
    <row r="211" spans="3:3">
      <c r="C211" s="260"/>
    </row>
    <row r="212" spans="3:3">
      <c r="C212" s="260"/>
    </row>
    <row r="213" spans="3:3">
      <c r="C213" s="260"/>
    </row>
    <row r="214" spans="3:3">
      <c r="C214" s="260"/>
    </row>
  </sheetData>
  <customSheetViews>
    <customSheetView guid="{1BA452AD-1A45-4D9C-9666-ADFFA6F2F567}" scale="75" colorId="22">
      <selection activeCell="D13" sqref="D13"/>
      <rowBreaks count="2" manualBreakCount="2">
        <brk id="62" max="4" man="1"/>
        <brk id="123" max="4" man="1"/>
      </rowBreaks>
      <pageMargins left="0.75" right="0.4" top="0.3" bottom="0.3" header="0" footer="0"/>
      <printOptions horizontalCentered="1" verticalCentered="1"/>
      <pageSetup scale="78" fitToWidth="3" fitToHeight="3" orientation="portrait" r:id="rId1"/>
      <headerFooter alignWithMargins="0"/>
    </customSheetView>
    <customSheetView guid="{EEF7ABD6-0F96-4791-B749-C06F707E7673}" scale="85" colorId="22" showPageBreaks="1" printArea="1" view="pageBreakPreview" showRuler="0" topLeftCell="A61">
      <selection activeCell="D79" sqref="D79"/>
      <rowBreaks count="2" manualBreakCount="2">
        <brk id="62" max="4" man="1"/>
        <brk id="123" max="4" man="1"/>
      </rowBreaks>
      <pageMargins left="0.75" right="0.4" top="0.3" bottom="0.3" header="0" footer="0"/>
      <printOptions horizontalCentered="1" verticalCentered="1"/>
      <pageSetup scale="78" fitToWidth="3" fitToHeight="3" orientation="portrait" r:id="rId2"/>
      <headerFooter alignWithMargins="0"/>
    </customSheetView>
    <customSheetView guid="{A7D7DB3C-AFE6-468E-8C6B-9531F6711497}" scale="60" colorId="22" showPageBreaks="1" printArea="1" view="pageBreakPreview" showRuler="0" topLeftCell="A147">
      <selection activeCell="F175" sqref="F175"/>
      <rowBreaks count="2" manualBreakCount="2">
        <brk id="62" max="4" man="1"/>
        <brk id="123" max="4" man="1"/>
      </rowBreaks>
      <pageMargins left="0.75" right="0.4" top="0.3" bottom="0.3" header="0" footer="0"/>
      <printOptions horizontalCentered="1" verticalCentered="1"/>
      <pageSetup scale="68" orientation="portrait" r:id="rId3"/>
      <headerFooter alignWithMargins="0"/>
    </customSheetView>
    <customSheetView guid="{4436FEB5-BFEC-4348-9286-CB706802873E}" scale="60" colorId="22" showPageBreaks="1" printArea="1" view="pageBreakPreview" showRuler="0" topLeftCell="A160">
      <selection activeCell="G168" sqref="G168"/>
      <rowBreaks count="2" manualBreakCount="2">
        <brk id="62" max="4" man="1"/>
        <brk id="123" max="4" man="1"/>
      </rowBreaks>
      <pageMargins left="0.75" right="0.4" top="0.3" bottom="0.3" header="0" footer="0"/>
      <printOptions horizontalCentered="1" verticalCentered="1"/>
      <pageSetup scale="68" orientation="portrait" r:id="rId4"/>
      <headerFooter alignWithMargins="0"/>
    </customSheetView>
    <customSheetView guid="{044CF00C-469F-44B3-B2C4-9B4049CE70CB}" scale="75" colorId="22" showRuler="0">
      <selection activeCell="G14" sqref="G14"/>
      <rowBreaks count="2" manualBreakCount="2">
        <brk id="62" max="4" man="1"/>
        <brk id="123" max="4" man="1"/>
      </rowBreaks>
      <pageMargins left="0.75" right="0.4" top="0.3" bottom="0.3" header="0" footer="0"/>
      <printOptions horizontalCentered="1" verticalCentered="1"/>
      <pageSetup scale="68" orientation="portrait" r:id="rId5"/>
      <headerFooter alignWithMargins="0"/>
    </customSheetView>
    <customSheetView guid="{4826FCC0-BDD6-4B2C-ACC6-ACE271DDF0E3}" scale="85" colorId="22" showPageBreaks="1" printArea="1" view="pageBreakPreview" showRuler="0" topLeftCell="A61">
      <selection activeCell="D79" sqref="D79"/>
      <rowBreaks count="2" manualBreakCount="2">
        <brk id="62" max="4" man="1"/>
        <brk id="123" max="4" man="1"/>
      </rowBreaks>
      <pageMargins left="0.75" right="0.4" top="0.3" bottom="0.3" header="0" footer="0"/>
      <printOptions horizontalCentered="1" verticalCentered="1"/>
      <pageSetup scale="78" fitToWidth="3" fitToHeight="3" orientation="portrait" r:id="rId6"/>
      <headerFooter alignWithMargins="0"/>
    </customSheetView>
    <customSheetView guid="{EF376D10-23D6-4FE2-AB5B-4460D52CC93F}" scale="85" colorId="22" showPageBreaks="1" printArea="1" view="pageBreakPreview" showRuler="0" topLeftCell="A61">
      <selection activeCell="D79" sqref="D79"/>
      <rowBreaks count="2" manualBreakCount="2">
        <brk id="62" max="4" man="1"/>
        <brk id="123" max="4" man="1"/>
      </rowBreaks>
      <pageMargins left="0.75" right="0.4" top="0.3" bottom="0.3" header="0" footer="0"/>
      <printOptions horizontalCentered="1" verticalCentered="1"/>
      <pageSetup scale="78" fitToWidth="3" fitToHeight="3" orientation="portrait" r:id="rId7"/>
      <headerFooter alignWithMargins="0"/>
    </customSheetView>
    <customSheetView guid="{1C046605-15CE-44F1-BFCD-2CA8588E7ACF}" scale="85" colorId="22" showPageBreaks="1" printArea="1" view="pageBreakPreview" showRuler="0" topLeftCell="A124">
      <selection activeCell="E46" sqref="E46"/>
      <rowBreaks count="2" manualBreakCount="2">
        <brk id="62" max="4" man="1"/>
        <brk id="123" max="4" man="1"/>
      </rowBreaks>
      <pageMargins left="0.75" right="0.4" top="0.3" bottom="0.3" header="0" footer="0"/>
      <printOptions horizontalCentered="1" verticalCentered="1"/>
      <pageSetup scale="78" fitToWidth="3" fitToHeight="3" orientation="portrait" r:id="rId8"/>
      <headerFooter alignWithMargins="0"/>
    </customSheetView>
    <customSheetView guid="{3911D713-188C-46A1-A299-F21DD3B7A146}" scale="85" colorId="22" showPageBreaks="1" printArea="1" view="pageBreakPreview" showRuler="0" topLeftCell="A145">
      <selection activeCell="D169" sqref="D169"/>
      <rowBreaks count="2" manualBreakCount="2">
        <brk id="62" max="4" man="1"/>
        <brk id="123" max="4" man="1"/>
      </rowBreaks>
      <pageMargins left="0.75" right="0.4" top="0.3" bottom="0.3" header="0" footer="0"/>
      <printOptions horizontalCentered="1" verticalCentered="1"/>
      <pageSetup scale="78" fitToWidth="3" fitToHeight="3" orientation="portrait" r:id="rId9"/>
      <headerFooter alignWithMargins="0"/>
    </customSheetView>
    <customSheetView guid="{78BB1E60-60BE-4F56-9763-075185EFEFAB}" colorId="22" topLeftCell="A150">
      <selection activeCell="D172" sqref="D172"/>
      <rowBreaks count="2" manualBreakCount="2">
        <brk id="62" max="4" man="1"/>
        <brk id="123" max="4" man="1"/>
      </rowBreaks>
      <pageMargins left="0.24" right="0.27" top="0.3" bottom="0.3" header="0" footer="0"/>
      <printOptions horizontalCentered="1" verticalCentered="1"/>
      <pageSetup scale="75" orientation="portrait" r:id="rId10"/>
      <headerFooter alignWithMargins="0"/>
    </customSheetView>
    <customSheetView guid="{9C30803E-1E2D-4850-B0A5-591CA6F246A1}" colorId="22">
      <selection activeCell="D172" sqref="D172"/>
      <rowBreaks count="2" manualBreakCount="2">
        <brk id="62" max="4" man="1"/>
        <brk id="123" max="4" man="1"/>
      </rowBreaks>
      <pageMargins left="0.24" right="0.27" top="0.3" bottom="0.3" header="0" footer="0"/>
      <printOptions horizontalCentered="1" verticalCentered="1"/>
      <pageSetup scale="75" orientation="portrait" r:id="rId11"/>
      <headerFooter alignWithMargins="0"/>
    </customSheetView>
    <customSheetView guid="{3B1006FF-A2CA-49E7-9B25-DAC8815279AF}" colorId="22">
      <selection activeCell="D172" sqref="D172"/>
      <rowBreaks count="2" manualBreakCount="2">
        <brk id="62" max="4" man="1"/>
        <brk id="123" max="4" man="1"/>
      </rowBreaks>
      <pageMargins left="0.24" right="0.27" top="0.3" bottom="0.3" header="0" footer="0"/>
      <printOptions horizontalCentered="1" verticalCentered="1"/>
      <pageSetup scale="75" orientation="portrait" r:id="rId12"/>
      <headerFooter alignWithMargins="0"/>
    </customSheetView>
    <customSheetView guid="{FB1A60C8-E1F9-4DF0-8E0E-1C965F86027F}" colorId="22">
      <selection activeCell="D172" sqref="D172"/>
      <rowBreaks count="2" manualBreakCount="2">
        <brk id="62" max="4" man="1"/>
        <brk id="123" max="4" man="1"/>
      </rowBreaks>
      <pageMargins left="0.24" right="0.27" top="0.3" bottom="0.3" header="0" footer="0"/>
      <printOptions horizontalCentered="1" verticalCentered="1"/>
      <pageSetup scale="75" orientation="portrait" r:id="rId13"/>
      <headerFooter alignWithMargins="0"/>
    </customSheetView>
    <customSheetView guid="{C5B6D812-CBE6-46AA-99F7-02494E9802B4}" scale="70" colorId="22" topLeftCell="B154">
      <selection activeCell="D171" sqref="D171"/>
      <rowBreaks count="2" manualBreakCount="2">
        <brk id="62" max="4" man="1"/>
        <brk id="123" max="4" man="1"/>
      </rowBreaks>
      <pageMargins left="0.24" right="0.27" top="0.3" bottom="0.3" header="0" footer="0"/>
      <printOptions horizontalCentered="1" verticalCentered="1"/>
      <pageSetup scale="75" orientation="portrait" r:id="rId14"/>
      <headerFooter alignWithMargins="0"/>
    </customSheetView>
  </customSheetViews>
  <mergeCells count="4">
    <mergeCell ref="A3:E3"/>
    <mergeCell ref="A65:E65"/>
    <mergeCell ref="A164:E164"/>
    <mergeCell ref="A126:E126"/>
  </mergeCells>
  <phoneticPr fontId="0" type="noConversion"/>
  <printOptions horizontalCentered="1" verticalCentered="1"/>
  <pageMargins left="0.24" right="0.27" top="0.3" bottom="0.3" header="0" footer="0"/>
  <pageSetup scale="75" orientation="portrait" r:id="rId15"/>
  <headerFooter alignWithMargins="0"/>
  <rowBreaks count="2" manualBreakCount="2">
    <brk id="62" max="4" man="1"/>
    <brk id="123" max="4" man="1"/>
  </rowBreaks>
  <customProperties>
    <customPr name="_pios_id" r:id="rId16"/>
  </customProperties>
</worksheet>
</file>

<file path=xl/worksheets/sheet51.xml><?xml version="1.0" encoding="utf-8"?>
<worksheet xmlns="http://schemas.openxmlformats.org/spreadsheetml/2006/main" xmlns:r="http://schemas.openxmlformats.org/officeDocument/2006/relationships">
  <sheetPr transitionEvaluation="1" codeName="Sheet51" enableFormatConditionsCalculation="0">
    <pageSetUpPr fitToPage="1"/>
  </sheetPr>
  <dimension ref="A1:F176"/>
  <sheetViews>
    <sheetView defaultGridColor="0" colorId="22" zoomScale="75" zoomScaleNormal="75" zoomScaleSheetLayoutView="70" workbookViewId="0"/>
  </sheetViews>
  <sheetFormatPr defaultColWidth="9.77734375" defaultRowHeight="15"/>
  <cols>
    <col min="1" max="1" width="4.77734375" customWidth="1"/>
    <col min="2" max="2" width="48.88671875" customWidth="1"/>
    <col min="3" max="3" width="13.77734375" customWidth="1"/>
    <col min="4" max="4" width="15.77734375" customWidth="1"/>
    <col min="5" max="5" width="20.6640625" customWidth="1"/>
  </cols>
  <sheetData>
    <row r="1" spans="1:6" ht="15.75" thickBot="1">
      <c r="A1" s="186" t="str">
        <f>'Data sheet'!$A$59</f>
        <v>Annual Report of New York American Water Company, Inc. (f/k/a Long Island Water Corp)                                   Year Ended  December 31, 2013</v>
      </c>
      <c r="B1" s="1070"/>
      <c r="C1" s="1070"/>
      <c r="D1" s="1070"/>
      <c r="E1" s="1192"/>
      <c r="F1" s="1070"/>
    </row>
    <row r="2" spans="1:6">
      <c r="A2" s="1193"/>
      <c r="B2" s="1194"/>
      <c r="C2" s="1194"/>
      <c r="D2" s="1194"/>
      <c r="E2" s="1195"/>
      <c r="F2" s="1070"/>
    </row>
    <row r="3" spans="1:6" ht="15.75">
      <c r="A3" s="1136" t="s">
        <v>2094</v>
      </c>
      <c r="B3" s="1137"/>
      <c r="C3" s="1137"/>
      <c r="D3" s="1137"/>
      <c r="E3" s="1138"/>
      <c r="F3" s="1070"/>
    </row>
    <row r="4" spans="1:6">
      <c r="A4" s="1196"/>
      <c r="B4" s="1197"/>
      <c r="C4" s="1197"/>
      <c r="D4" s="1197"/>
      <c r="E4" s="1198"/>
      <c r="F4" s="1070"/>
    </row>
    <row r="5" spans="1:6">
      <c r="A5" s="1199"/>
      <c r="B5" s="1070"/>
      <c r="C5" s="1070"/>
      <c r="D5" s="1070"/>
      <c r="E5" s="1200"/>
      <c r="F5" s="1070"/>
    </row>
    <row r="6" spans="1:6">
      <c r="A6" s="1199"/>
      <c r="B6" s="1070" t="s">
        <v>2095</v>
      </c>
      <c r="C6" s="1070"/>
      <c r="D6" s="1070"/>
      <c r="E6" s="1200"/>
      <c r="F6" s="1070"/>
    </row>
    <row r="7" spans="1:6">
      <c r="A7" s="1199"/>
      <c r="B7" s="1070" t="s">
        <v>2096</v>
      </c>
      <c r="C7" s="1070"/>
      <c r="D7" s="1070"/>
      <c r="E7" s="1200"/>
      <c r="F7" s="1070"/>
    </row>
    <row r="8" spans="1:6">
      <c r="A8" s="1196"/>
      <c r="B8" s="1197"/>
      <c r="C8" s="1197"/>
      <c r="D8" s="1197"/>
      <c r="E8" s="1198"/>
      <c r="F8" s="1070"/>
    </row>
    <row r="9" spans="1:6">
      <c r="A9" s="1201"/>
      <c r="B9" s="1202"/>
      <c r="C9" s="1203"/>
      <c r="D9" s="1204" t="s">
        <v>2097</v>
      </c>
      <c r="E9" s="1205"/>
      <c r="F9" s="1070"/>
    </row>
    <row r="10" spans="1:6">
      <c r="A10" s="1201" t="s">
        <v>1129</v>
      </c>
      <c r="B10" s="1206" t="s">
        <v>4384</v>
      </c>
      <c r="C10" s="1204" t="s">
        <v>4385</v>
      </c>
      <c r="D10" s="1204" t="s">
        <v>4386</v>
      </c>
      <c r="E10" s="1205"/>
      <c r="F10" s="1070"/>
    </row>
    <row r="11" spans="1:6">
      <c r="A11" s="1201"/>
      <c r="B11" s="1202"/>
      <c r="C11" s="1204" t="s">
        <v>4387</v>
      </c>
      <c r="D11" s="1204" t="s">
        <v>4388</v>
      </c>
      <c r="E11" s="1205" t="s">
        <v>430</v>
      </c>
      <c r="F11" s="1070"/>
    </row>
    <row r="12" spans="1:6">
      <c r="A12" s="1207" t="s">
        <v>3324</v>
      </c>
      <c r="B12" s="1208" t="s">
        <v>4032</v>
      </c>
      <c r="C12" s="1209" t="s">
        <v>4033</v>
      </c>
      <c r="D12" s="1209" t="s">
        <v>4034</v>
      </c>
      <c r="E12" s="1210" t="s">
        <v>4035</v>
      </c>
      <c r="F12" s="1070"/>
    </row>
    <row r="13" spans="1:6">
      <c r="A13" s="1201">
        <v>1</v>
      </c>
      <c r="B13" s="1211" t="s">
        <v>4389</v>
      </c>
      <c r="C13" s="1212" t="s">
        <v>4390</v>
      </c>
      <c r="D13" s="1212"/>
      <c r="E13" s="2841">
        <v>2247140</v>
      </c>
      <c r="F13" s="1070"/>
    </row>
    <row r="14" spans="1:6">
      <c r="A14" s="1201">
        <v>2</v>
      </c>
      <c r="B14" s="1211"/>
      <c r="C14" s="1212"/>
      <c r="D14" s="1212"/>
      <c r="E14" s="1213"/>
      <c r="F14" s="1070"/>
    </row>
    <row r="15" spans="1:6">
      <c r="A15" s="1201">
        <v>3</v>
      </c>
      <c r="B15" s="1211"/>
      <c r="C15" s="1212"/>
      <c r="D15" s="1212"/>
      <c r="E15" s="1213"/>
      <c r="F15" s="1070"/>
    </row>
    <row r="16" spans="1:6">
      <c r="A16" s="1201">
        <v>4</v>
      </c>
      <c r="B16" s="1211"/>
      <c r="C16" s="1212"/>
      <c r="D16" s="1212"/>
      <c r="E16" s="1213"/>
      <c r="F16" s="1070"/>
    </row>
    <row r="17" spans="1:6">
      <c r="A17" s="1201">
        <v>5</v>
      </c>
      <c r="B17" s="1211"/>
      <c r="C17" s="1212"/>
      <c r="D17" s="1212"/>
      <c r="E17" s="1213"/>
      <c r="F17" s="1070"/>
    </row>
    <row r="18" spans="1:6">
      <c r="A18" s="1201">
        <v>6</v>
      </c>
      <c r="B18" s="1211"/>
      <c r="C18" s="1212"/>
      <c r="D18" s="1212"/>
      <c r="E18" s="1213"/>
      <c r="F18" s="1070"/>
    </row>
    <row r="19" spans="1:6">
      <c r="A19" s="1201">
        <v>7</v>
      </c>
      <c r="B19" s="1211"/>
      <c r="C19" s="1212"/>
      <c r="D19" s="1212"/>
      <c r="E19" s="1213"/>
      <c r="F19" s="1070"/>
    </row>
    <row r="20" spans="1:6">
      <c r="A20" s="1201">
        <v>8</v>
      </c>
      <c r="B20" s="1211"/>
      <c r="C20" s="1212"/>
      <c r="D20" s="1212"/>
      <c r="E20" s="1213"/>
      <c r="F20" s="1070"/>
    </row>
    <row r="21" spans="1:6">
      <c r="A21" s="1201">
        <v>9</v>
      </c>
      <c r="B21" s="1211"/>
      <c r="C21" s="1212"/>
      <c r="D21" s="1212"/>
      <c r="E21" s="1213"/>
      <c r="F21" s="1070"/>
    </row>
    <row r="22" spans="1:6">
      <c r="A22" s="1201">
        <v>10</v>
      </c>
      <c r="B22" s="1211"/>
      <c r="C22" s="1212"/>
      <c r="D22" s="1212"/>
      <c r="E22" s="1213"/>
      <c r="F22" s="1070"/>
    </row>
    <row r="23" spans="1:6">
      <c r="A23" s="1201">
        <v>11</v>
      </c>
      <c r="B23" s="1211"/>
      <c r="C23" s="1212"/>
      <c r="D23" s="1212"/>
      <c r="E23" s="1213"/>
      <c r="F23" s="1070"/>
    </row>
    <row r="24" spans="1:6">
      <c r="A24" s="1201">
        <v>12</v>
      </c>
      <c r="B24" s="1211"/>
      <c r="C24" s="1212"/>
      <c r="D24" s="1212"/>
      <c r="E24" s="1213"/>
      <c r="F24" s="1070"/>
    </row>
    <row r="25" spans="1:6">
      <c r="A25" s="1201">
        <v>13</v>
      </c>
      <c r="B25" s="1211"/>
      <c r="C25" s="1212"/>
      <c r="D25" s="1212"/>
      <c r="E25" s="1213"/>
      <c r="F25" s="1070"/>
    </row>
    <row r="26" spans="1:6">
      <c r="A26" s="1201">
        <v>14</v>
      </c>
      <c r="B26" s="1211"/>
      <c r="C26" s="1212"/>
      <c r="D26" s="1212"/>
      <c r="E26" s="1213"/>
      <c r="F26" s="1070"/>
    </row>
    <row r="27" spans="1:6">
      <c r="A27" s="1201">
        <v>15</v>
      </c>
      <c r="B27" s="1211"/>
      <c r="C27" s="1212"/>
      <c r="D27" s="1212"/>
      <c r="E27" s="1213"/>
      <c r="F27" s="1070"/>
    </row>
    <row r="28" spans="1:6">
      <c r="A28" s="1201">
        <v>16</v>
      </c>
      <c r="B28" s="1211"/>
      <c r="C28" s="1212"/>
      <c r="D28" s="1212"/>
      <c r="E28" s="1213"/>
      <c r="F28" s="1070"/>
    </row>
    <row r="29" spans="1:6">
      <c r="A29" s="1201">
        <v>17</v>
      </c>
      <c r="B29" s="1211"/>
      <c r="C29" s="1212"/>
      <c r="D29" s="1212"/>
      <c r="E29" s="1213"/>
      <c r="F29" s="1070"/>
    </row>
    <row r="30" spans="1:6">
      <c r="A30" s="1201">
        <v>18</v>
      </c>
      <c r="B30" s="1211"/>
      <c r="C30" s="1212"/>
      <c r="D30" s="1212"/>
      <c r="E30" s="1213"/>
      <c r="F30" s="1070"/>
    </row>
    <row r="31" spans="1:6">
      <c r="A31" s="1201">
        <v>19</v>
      </c>
      <c r="B31" s="1211"/>
      <c r="C31" s="1212"/>
      <c r="D31" s="1212"/>
      <c r="E31" s="1213"/>
      <c r="F31" s="1070"/>
    </row>
    <row r="32" spans="1:6">
      <c r="A32" s="1201">
        <v>20</v>
      </c>
      <c r="B32" s="1211"/>
      <c r="C32" s="1212"/>
      <c r="D32" s="1212"/>
      <c r="E32" s="1213"/>
      <c r="F32" s="1070"/>
    </row>
    <row r="33" spans="1:6">
      <c r="A33" s="1201">
        <v>21</v>
      </c>
      <c r="B33" s="1211"/>
      <c r="C33" s="1212"/>
      <c r="D33" s="1212"/>
      <c r="E33" s="1213"/>
      <c r="F33" s="1070"/>
    </row>
    <row r="34" spans="1:6">
      <c r="A34" s="1201">
        <v>22</v>
      </c>
      <c r="B34" s="1211"/>
      <c r="C34" s="1212"/>
      <c r="D34" s="1212"/>
      <c r="E34" s="1213"/>
      <c r="F34" s="1070"/>
    </row>
    <row r="35" spans="1:6">
      <c r="A35" s="1201">
        <v>23</v>
      </c>
      <c r="B35" s="1211"/>
      <c r="C35" s="1212"/>
      <c r="D35" s="1212"/>
      <c r="E35" s="1213"/>
      <c r="F35" s="1070"/>
    </row>
    <row r="36" spans="1:6">
      <c r="A36" s="1201">
        <v>24</v>
      </c>
      <c r="B36" s="1211"/>
      <c r="C36" s="1212"/>
      <c r="D36" s="1212"/>
      <c r="E36" s="1213"/>
      <c r="F36" s="1070"/>
    </row>
    <row r="37" spans="1:6">
      <c r="A37" s="1201">
        <v>25</v>
      </c>
      <c r="B37" s="1211"/>
      <c r="C37" s="1212"/>
      <c r="D37" s="1212"/>
      <c r="E37" s="1213"/>
      <c r="F37" s="1070"/>
    </row>
    <row r="38" spans="1:6">
      <c r="A38" s="1201">
        <v>26</v>
      </c>
      <c r="B38" s="1211"/>
      <c r="C38" s="1212"/>
      <c r="D38" s="1212"/>
      <c r="E38" s="1213"/>
      <c r="F38" s="1070"/>
    </row>
    <row r="39" spans="1:6">
      <c r="A39" s="1201">
        <v>27</v>
      </c>
      <c r="B39" s="1211"/>
      <c r="C39" s="1212"/>
      <c r="D39" s="1212"/>
      <c r="E39" s="1213"/>
      <c r="F39" s="1070"/>
    </row>
    <row r="40" spans="1:6">
      <c r="A40" s="1201">
        <v>28</v>
      </c>
      <c r="B40" s="1211"/>
      <c r="C40" s="1212"/>
      <c r="D40" s="1212"/>
      <c r="E40" s="1213"/>
      <c r="F40" s="1070"/>
    </row>
    <row r="41" spans="1:6">
      <c r="A41" s="1201">
        <v>29</v>
      </c>
      <c r="B41" s="1211"/>
      <c r="C41" s="1212"/>
      <c r="D41" s="1212"/>
      <c r="E41" s="1213"/>
      <c r="F41" s="1070"/>
    </row>
    <row r="42" spans="1:6">
      <c r="A42" s="1201">
        <f t="shared" ref="A42:A60" si="0">A41+1</f>
        <v>30</v>
      </c>
      <c r="B42" s="1211"/>
      <c r="C42" s="1212"/>
      <c r="D42" s="1212"/>
      <c r="E42" s="1213"/>
      <c r="F42" s="1070"/>
    </row>
    <row r="43" spans="1:6">
      <c r="A43" s="1201">
        <f t="shared" si="0"/>
        <v>31</v>
      </c>
      <c r="B43" s="1211"/>
      <c r="C43" s="1212"/>
      <c r="D43" s="1212"/>
      <c r="E43" s="1213"/>
      <c r="F43" s="1070"/>
    </row>
    <row r="44" spans="1:6">
      <c r="A44" s="1201">
        <f t="shared" si="0"/>
        <v>32</v>
      </c>
      <c r="B44" s="1211"/>
      <c r="C44" s="1212"/>
      <c r="D44" s="1212"/>
      <c r="E44" s="1213"/>
      <c r="F44" s="1070"/>
    </row>
    <row r="45" spans="1:6">
      <c r="A45" s="1201">
        <f t="shared" si="0"/>
        <v>33</v>
      </c>
      <c r="B45" s="1211"/>
      <c r="C45" s="1212"/>
      <c r="D45" s="1212"/>
      <c r="E45" s="1213"/>
      <c r="F45" s="1070"/>
    </row>
    <row r="46" spans="1:6">
      <c r="A46" s="1201">
        <f t="shared" si="0"/>
        <v>34</v>
      </c>
      <c r="B46" s="1211"/>
      <c r="C46" s="1212"/>
      <c r="D46" s="1212"/>
      <c r="E46" s="1213"/>
      <c r="F46" s="1070"/>
    </row>
    <row r="47" spans="1:6">
      <c r="A47" s="1201">
        <f t="shared" si="0"/>
        <v>35</v>
      </c>
      <c r="B47" s="1211"/>
      <c r="C47" s="1212"/>
      <c r="D47" s="1212"/>
      <c r="E47" s="1213"/>
      <c r="F47" s="1070"/>
    </row>
    <row r="48" spans="1:6">
      <c r="A48" s="1201">
        <f t="shared" si="0"/>
        <v>36</v>
      </c>
      <c r="B48" s="1211"/>
      <c r="C48" s="1212"/>
      <c r="D48" s="1212"/>
      <c r="E48" s="1213"/>
      <c r="F48" s="1070"/>
    </row>
    <row r="49" spans="1:6">
      <c r="A49" s="1201">
        <f t="shared" si="0"/>
        <v>37</v>
      </c>
      <c r="B49" s="1211"/>
      <c r="C49" s="1212"/>
      <c r="D49" s="1212"/>
      <c r="E49" s="1213"/>
      <c r="F49" s="1070"/>
    </row>
    <row r="50" spans="1:6">
      <c r="A50" s="1201">
        <f t="shared" si="0"/>
        <v>38</v>
      </c>
      <c r="B50" s="1211"/>
      <c r="C50" s="1212"/>
      <c r="D50" s="1212"/>
      <c r="E50" s="1213"/>
      <c r="F50" s="1070"/>
    </row>
    <row r="51" spans="1:6">
      <c r="A51" s="1201">
        <f t="shared" si="0"/>
        <v>39</v>
      </c>
      <c r="B51" s="1211"/>
      <c r="C51" s="1212"/>
      <c r="D51" s="1212"/>
      <c r="E51" s="1213"/>
      <c r="F51" s="1070"/>
    </row>
    <row r="52" spans="1:6">
      <c r="A52" s="1201">
        <f t="shared" si="0"/>
        <v>40</v>
      </c>
      <c r="B52" s="1211"/>
      <c r="C52" s="1212"/>
      <c r="D52" s="1212"/>
      <c r="E52" s="1213"/>
      <c r="F52" s="1070"/>
    </row>
    <row r="53" spans="1:6">
      <c r="A53" s="1201">
        <f t="shared" si="0"/>
        <v>41</v>
      </c>
      <c r="B53" s="1211"/>
      <c r="C53" s="1212"/>
      <c r="D53" s="1212"/>
      <c r="E53" s="1213"/>
      <c r="F53" s="1070"/>
    </row>
    <row r="54" spans="1:6">
      <c r="A54" s="1201">
        <f t="shared" si="0"/>
        <v>42</v>
      </c>
      <c r="B54" s="1211"/>
      <c r="C54" s="1212"/>
      <c r="D54" s="1212"/>
      <c r="E54" s="1213"/>
      <c r="F54" s="1070"/>
    </row>
    <row r="55" spans="1:6">
      <c r="A55" s="1201">
        <f t="shared" si="0"/>
        <v>43</v>
      </c>
      <c r="B55" s="1211"/>
      <c r="C55" s="1212"/>
      <c r="D55" s="1212"/>
      <c r="E55" s="1213"/>
      <c r="F55" s="1070"/>
    </row>
    <row r="56" spans="1:6">
      <c r="A56" s="1201">
        <f t="shared" si="0"/>
        <v>44</v>
      </c>
      <c r="B56" s="1211"/>
      <c r="C56" s="1212"/>
      <c r="D56" s="1212"/>
      <c r="E56" s="1213"/>
      <c r="F56" s="1070"/>
    </row>
    <row r="57" spans="1:6">
      <c r="A57" s="1201">
        <f t="shared" si="0"/>
        <v>45</v>
      </c>
      <c r="B57" s="1211"/>
      <c r="C57" s="1212"/>
      <c r="D57" s="1212"/>
      <c r="E57" s="1213"/>
      <c r="F57" s="1070"/>
    </row>
    <row r="58" spans="1:6">
      <c r="A58" s="1201">
        <f t="shared" si="0"/>
        <v>46</v>
      </c>
      <c r="B58" s="1211"/>
      <c r="C58" s="1212"/>
      <c r="D58" s="1212"/>
      <c r="E58" s="1213" t="s">
        <v>4373</v>
      </c>
      <c r="F58" s="1070"/>
    </row>
    <row r="59" spans="1:6">
      <c r="A59" s="1201">
        <f t="shared" si="0"/>
        <v>47</v>
      </c>
      <c r="B59" s="1211"/>
      <c r="C59" s="1212"/>
      <c r="D59" s="1212"/>
      <c r="E59" s="1213" t="s">
        <v>4373</v>
      </c>
      <c r="F59" s="1070"/>
    </row>
    <row r="60" spans="1:6">
      <c r="A60" s="1201">
        <f t="shared" si="0"/>
        <v>48</v>
      </c>
      <c r="B60" s="1211"/>
      <c r="C60" s="1212"/>
      <c r="D60" s="1212"/>
      <c r="E60" s="1213" t="s">
        <v>4373</v>
      </c>
      <c r="F60" s="1070"/>
    </row>
    <row r="61" spans="1:6" ht="15.75" thickBot="1">
      <c r="A61" s="1214">
        <v>49</v>
      </c>
      <c r="B61" s="1215" t="s">
        <v>2951</v>
      </c>
      <c r="C61" s="1216"/>
      <c r="D61" s="1217">
        <f>SUM(D13:D60)</f>
        <v>0</v>
      </c>
      <c r="E61" s="1218">
        <f>SUM(E13:E60)</f>
        <v>2247140</v>
      </c>
      <c r="F61" s="1070"/>
    </row>
    <row r="62" spans="1:6">
      <c r="A62" s="1070"/>
      <c r="B62" s="1070"/>
      <c r="C62" s="1070"/>
      <c r="D62" s="1070"/>
      <c r="E62" s="1070" t="s">
        <v>4066</v>
      </c>
      <c r="F62" s="1070"/>
    </row>
    <row r="63" spans="1:6">
      <c r="A63" s="1192" t="s">
        <v>4391</v>
      </c>
      <c r="B63" s="1192"/>
      <c r="C63" s="1192"/>
      <c r="D63" s="1192"/>
      <c r="E63" s="1219"/>
      <c r="F63" s="1070"/>
    </row>
    <row r="67" spans="2:2">
      <c r="B67" s="260"/>
    </row>
    <row r="70" spans="2:2">
      <c r="B70" s="260"/>
    </row>
    <row r="71" spans="2:2">
      <c r="B71" s="260"/>
    </row>
    <row r="72" spans="2:2">
      <c r="B72" s="260"/>
    </row>
    <row r="73" spans="2:2">
      <c r="B73" s="260"/>
    </row>
    <row r="74" spans="2:2">
      <c r="B74" s="22"/>
    </row>
    <row r="75" spans="2:2">
      <c r="B75" s="260"/>
    </row>
    <row r="76" spans="2:2">
      <c r="B76" s="260"/>
    </row>
    <row r="79" spans="2:2">
      <c r="B79" s="260"/>
    </row>
    <row r="80" spans="2:2">
      <c r="B80" s="260"/>
    </row>
    <row r="81" spans="2:2">
      <c r="B81" s="260"/>
    </row>
    <row r="82" spans="2:2">
      <c r="B82" s="260"/>
    </row>
    <row r="83" spans="2:2">
      <c r="B83" s="260"/>
    </row>
    <row r="124" spans="1:6" ht="15.75" thickBot="1"/>
    <row r="125" spans="1:6">
      <c r="A125" s="2868"/>
      <c r="B125" s="2869"/>
      <c r="C125" s="2869"/>
      <c r="D125" s="2869"/>
      <c r="E125" s="2901"/>
    </row>
    <row r="126" spans="1:6">
      <c r="A126" s="3057"/>
      <c r="B126" s="3058"/>
      <c r="C126" s="3058"/>
      <c r="D126" s="3058"/>
      <c r="E126" s="3059"/>
      <c r="F126" s="1000"/>
    </row>
    <row r="127" spans="1:6">
      <c r="A127" s="2872"/>
      <c r="B127" s="952"/>
      <c r="C127" s="952"/>
      <c r="D127" s="952"/>
      <c r="E127" s="2817"/>
    </row>
    <row r="128" spans="1:6">
      <c r="A128" s="2872"/>
      <c r="B128" s="952"/>
      <c r="C128" s="952"/>
      <c r="D128" s="952"/>
      <c r="E128" s="2817"/>
    </row>
    <row r="129" spans="1:5">
      <c r="A129" s="2872"/>
      <c r="B129" s="952"/>
      <c r="C129" s="952"/>
      <c r="D129" s="952"/>
      <c r="E129" s="2817"/>
    </row>
    <row r="130" spans="1:5">
      <c r="A130" s="2872"/>
      <c r="B130" s="952"/>
      <c r="C130" s="952"/>
      <c r="D130" s="952"/>
      <c r="E130" s="2817"/>
    </row>
    <row r="131" spans="1:5">
      <c r="A131" s="2872"/>
      <c r="B131" s="952"/>
      <c r="C131" s="952"/>
      <c r="D131" s="952"/>
      <c r="E131" s="2817"/>
    </row>
    <row r="132" spans="1:5">
      <c r="A132" s="2872"/>
      <c r="B132" s="952"/>
      <c r="C132" s="952"/>
      <c r="D132" s="952"/>
      <c r="E132" s="2817"/>
    </row>
    <row r="133" spans="1:5">
      <c r="A133" s="2872"/>
      <c r="B133" s="952"/>
      <c r="C133" s="952"/>
      <c r="D133" s="952"/>
      <c r="E133" s="2817"/>
    </row>
    <row r="134" spans="1:5">
      <c r="A134" s="2872"/>
      <c r="B134" s="952"/>
      <c r="C134" s="952"/>
      <c r="D134" s="952"/>
      <c r="E134" s="2817"/>
    </row>
    <row r="135" spans="1:5">
      <c r="A135" s="2872"/>
      <c r="B135" s="952"/>
      <c r="C135" s="952"/>
      <c r="D135" s="952"/>
      <c r="E135" s="2817"/>
    </row>
    <row r="136" spans="1:5">
      <c r="A136" s="2872"/>
      <c r="B136" s="952"/>
      <c r="C136" s="952"/>
      <c r="D136" s="952"/>
      <c r="E136" s="2817"/>
    </row>
    <row r="137" spans="1:5">
      <c r="A137" s="2872"/>
      <c r="B137" s="952"/>
      <c r="C137" s="952"/>
      <c r="D137" s="952"/>
      <c r="E137" s="2817"/>
    </row>
    <row r="138" spans="1:5">
      <c r="A138" s="2872"/>
      <c r="B138" s="952"/>
      <c r="C138" s="952"/>
      <c r="D138" s="952"/>
      <c r="E138" s="2817"/>
    </row>
    <row r="139" spans="1:5">
      <c r="A139" s="2872"/>
      <c r="B139" s="952"/>
      <c r="C139" s="952"/>
      <c r="D139" s="952"/>
      <c r="E139" s="2817"/>
    </row>
    <row r="140" spans="1:5">
      <c r="A140" s="2872"/>
      <c r="B140" s="952"/>
      <c r="C140" s="952"/>
      <c r="D140" s="952"/>
      <c r="E140" s="2817"/>
    </row>
    <row r="141" spans="1:5">
      <c r="A141" s="2872"/>
      <c r="B141" s="952"/>
      <c r="C141" s="952"/>
      <c r="D141" s="952"/>
      <c r="E141" s="2817"/>
    </row>
    <row r="142" spans="1:5">
      <c r="A142" s="2872"/>
      <c r="B142" s="952"/>
      <c r="C142" s="952"/>
      <c r="D142" s="952"/>
      <c r="E142" s="2817"/>
    </row>
    <row r="143" spans="1:5">
      <c r="A143" s="2872"/>
      <c r="B143" s="952"/>
      <c r="C143" s="952"/>
      <c r="D143" s="952"/>
      <c r="E143" s="2817"/>
    </row>
    <row r="144" spans="1:5">
      <c r="A144" s="2872"/>
      <c r="B144" s="952"/>
      <c r="C144" s="952"/>
      <c r="D144" s="952"/>
      <c r="E144" s="2817"/>
    </row>
    <row r="145" spans="1:5">
      <c r="A145" s="2872"/>
      <c r="B145" s="952"/>
      <c r="C145" s="952"/>
      <c r="D145" s="952"/>
      <c r="E145" s="2817"/>
    </row>
    <row r="146" spans="1:5">
      <c r="A146" s="2872"/>
      <c r="B146" s="952"/>
      <c r="C146" s="952"/>
      <c r="D146" s="952"/>
      <c r="E146" s="2817"/>
    </row>
    <row r="147" spans="1:5">
      <c r="A147" s="2872"/>
      <c r="B147" s="952"/>
      <c r="C147" s="952"/>
      <c r="D147" s="952"/>
      <c r="E147" s="2817"/>
    </row>
    <row r="148" spans="1:5">
      <c r="A148" s="2872"/>
      <c r="B148" s="952"/>
      <c r="C148" s="952"/>
      <c r="D148" s="952"/>
      <c r="E148" s="2817"/>
    </row>
    <row r="149" spans="1:5">
      <c r="A149" s="2872"/>
      <c r="B149" s="952"/>
      <c r="C149" s="952"/>
      <c r="D149" s="952"/>
      <c r="E149" s="2817"/>
    </row>
    <row r="150" spans="1:5">
      <c r="A150" s="2872"/>
      <c r="B150" s="952"/>
      <c r="C150" s="952"/>
      <c r="D150" s="952"/>
      <c r="E150" s="2817"/>
    </row>
    <row r="151" spans="1:5">
      <c r="A151" s="2872"/>
      <c r="B151" s="952"/>
      <c r="C151" s="952"/>
      <c r="D151" s="952"/>
      <c r="E151" s="2817"/>
    </row>
    <row r="152" spans="1:5">
      <c r="A152" s="2872"/>
      <c r="B152" s="952"/>
      <c r="C152" s="952"/>
      <c r="D152" s="952"/>
      <c r="E152" s="2817"/>
    </row>
    <row r="153" spans="1:5">
      <c r="A153" s="2872"/>
      <c r="B153" s="952"/>
      <c r="C153" s="952"/>
      <c r="D153" s="952"/>
      <c r="E153" s="2817"/>
    </row>
    <row r="154" spans="1:5">
      <c r="A154" s="2872"/>
      <c r="B154" s="952"/>
      <c r="C154" s="952"/>
      <c r="D154" s="952"/>
      <c r="E154" s="2817"/>
    </row>
    <row r="155" spans="1:5">
      <c r="A155" s="2872"/>
      <c r="B155" s="952"/>
      <c r="C155" s="952"/>
      <c r="D155" s="952"/>
      <c r="E155" s="2817"/>
    </row>
    <row r="156" spans="1:5">
      <c r="A156" s="2872"/>
      <c r="B156" s="952"/>
      <c r="C156" s="952"/>
      <c r="D156" s="952"/>
      <c r="E156" s="2817"/>
    </row>
    <row r="157" spans="1:5">
      <c r="A157" s="2872"/>
      <c r="B157" s="952"/>
      <c r="C157" s="952"/>
      <c r="D157" s="952"/>
      <c r="E157" s="2817"/>
    </row>
    <row r="158" spans="1:5">
      <c r="A158" s="2872"/>
      <c r="B158" s="952"/>
      <c r="C158" s="952"/>
      <c r="D158" s="952"/>
      <c r="E158" s="2817"/>
    </row>
    <row r="159" spans="1:5">
      <c r="A159" s="2872"/>
      <c r="B159" s="952"/>
      <c r="C159" s="952"/>
      <c r="D159" s="952"/>
      <c r="E159" s="2817"/>
    </row>
    <row r="160" spans="1:5">
      <c r="A160" s="2872"/>
      <c r="B160" s="952"/>
      <c r="C160" s="952"/>
      <c r="D160" s="952"/>
      <c r="E160" s="2817"/>
    </row>
    <row r="161" spans="1:5">
      <c r="A161" s="2872"/>
      <c r="B161" s="952"/>
      <c r="C161" s="952"/>
      <c r="D161" s="952"/>
      <c r="E161" s="2817"/>
    </row>
    <row r="162" spans="1:5">
      <c r="A162" s="2872"/>
      <c r="B162" s="952"/>
      <c r="C162" s="952"/>
      <c r="D162" s="952"/>
      <c r="E162" s="2817"/>
    </row>
    <row r="163" spans="1:5">
      <c r="A163" s="2872"/>
      <c r="B163" s="952"/>
      <c r="C163" s="952"/>
      <c r="D163" s="952"/>
      <c r="E163" s="2817"/>
    </row>
    <row r="164" spans="1:5">
      <c r="A164" s="2872"/>
      <c r="B164" s="952"/>
      <c r="C164" s="952"/>
      <c r="D164" s="952"/>
      <c r="E164" s="2817"/>
    </row>
    <row r="165" spans="1:5">
      <c r="A165" s="2872"/>
      <c r="B165" s="952"/>
      <c r="C165" s="952"/>
      <c r="D165" s="952"/>
      <c r="E165" s="2817"/>
    </row>
    <row r="166" spans="1:5">
      <c r="A166" s="2872"/>
      <c r="B166" s="952"/>
      <c r="C166" s="952"/>
      <c r="D166" s="952"/>
      <c r="E166" s="2817"/>
    </row>
    <row r="167" spans="1:5">
      <c r="A167" s="2872"/>
      <c r="B167" s="952"/>
      <c r="C167" s="952"/>
      <c r="D167" s="952"/>
      <c r="E167" s="2817"/>
    </row>
    <row r="168" spans="1:5">
      <c r="A168" s="2872"/>
      <c r="B168" s="952"/>
      <c r="C168" s="952"/>
      <c r="D168" s="952"/>
      <c r="E168" s="2817"/>
    </row>
    <row r="169" spans="1:5">
      <c r="A169" s="2872"/>
      <c r="B169" s="952"/>
      <c r="C169" s="952"/>
      <c r="D169" s="952"/>
      <c r="E169" s="2817"/>
    </row>
    <row r="170" spans="1:5">
      <c r="A170" s="2872"/>
      <c r="B170" s="952"/>
      <c r="C170" s="952"/>
      <c r="D170" s="952"/>
      <c r="E170" s="2817"/>
    </row>
    <row r="171" spans="1:5">
      <c r="A171" s="2872"/>
      <c r="B171" s="952"/>
      <c r="C171" s="952"/>
      <c r="D171" s="952"/>
      <c r="E171" s="2817"/>
    </row>
    <row r="172" spans="1:5">
      <c r="A172" s="2872"/>
      <c r="B172" s="952"/>
      <c r="C172" s="952"/>
      <c r="D172" s="952"/>
      <c r="E172" s="2817"/>
    </row>
    <row r="173" spans="1:5">
      <c r="A173" s="2872"/>
      <c r="B173" s="952"/>
      <c r="C173" s="952"/>
      <c r="D173" s="952"/>
      <c r="E173" s="2817"/>
    </row>
    <row r="174" spans="1:5">
      <c r="A174" s="2872"/>
      <c r="B174" s="952"/>
      <c r="C174" s="952"/>
      <c r="D174" s="952"/>
      <c r="E174" s="2817"/>
    </row>
    <row r="175" spans="1:5">
      <c r="A175" s="2872"/>
      <c r="B175" s="952"/>
      <c r="C175" s="952"/>
      <c r="D175" s="952"/>
      <c r="E175" s="2817"/>
    </row>
    <row r="176" spans="1:5" ht="15.75" thickBot="1">
      <c r="A176" s="2897"/>
      <c r="B176" s="2902"/>
      <c r="C176" s="2902"/>
      <c r="D176" s="2902"/>
      <c r="E176" s="2903"/>
    </row>
  </sheetData>
  <customSheetViews>
    <customSheetView guid="{1BA452AD-1A45-4D9C-9666-ADFFA6F2F567}" scale="60" colorId="22" showPageBreaks="1" fitToPage="1" printArea="1" view="pageBreakPreview">
      <selection activeCell="G14" sqref="G14"/>
      <pageMargins left="0.75" right="0.4" top="0.3" bottom="0.3" header="0" footer="0"/>
      <printOptions horizontalCentered="1" verticalCentered="1"/>
      <pageSetup scale="69" orientation="portrait" r:id="rId1"/>
      <headerFooter alignWithMargins="0"/>
    </customSheetView>
    <customSheetView guid="{EEF7ABD6-0F96-4791-B749-C06F707E7673}" scale="75" colorId="22" fitToPage="1" showRuler="0">
      <selection activeCell="H49" sqref="H49"/>
      <pageMargins left="0.75" right="0.4" top="0.3" bottom="0.3" header="0" footer="0"/>
      <printOptions horizontalCentered="1" verticalCentered="1"/>
      <pageSetup scale="69" orientation="portrait" r:id="rId2"/>
      <headerFooter alignWithMargins="0"/>
    </customSheetView>
    <customSheetView guid="{A7D7DB3C-AFE6-468E-8C6B-9531F6711497}" scale="60" colorId="22" showPageBreaks="1" fitToPage="1" view="pageBreakPreview" showRuler="0">
      <selection activeCell="I34" sqref="I34"/>
      <pageMargins left="0.75" right="0.4" top="0.3" bottom="0.3" header="0" footer="0"/>
      <printOptions horizontalCentered="1" verticalCentered="1"/>
      <pageSetup scale="75" orientation="portrait" r:id="rId3"/>
      <headerFooter alignWithMargins="0"/>
    </customSheetView>
    <customSheetView guid="{4436FEB5-BFEC-4348-9286-CB706802873E}" scale="60" colorId="22" showPageBreaks="1" fitToPage="1" view="pageBreakPreview" showRuler="0">
      <selection activeCell="I34" sqref="I34"/>
      <pageMargins left="0.75" right="0.4" top="0.3" bottom="0.3" header="0" footer="0"/>
      <printOptions horizontalCentered="1" verticalCentered="1"/>
      <pageSetup scale="69" orientation="portrait" r:id="rId4"/>
      <headerFooter alignWithMargins="0"/>
    </customSheetView>
    <customSheetView guid="{044CF00C-469F-44B3-B2C4-9B4049CE70CB}" scale="50" colorId="22" fitToPage="1" showRuler="0">
      <selection activeCell="E13" sqref="E13"/>
      <pageMargins left="0.75" right="0.4" top="0.3" bottom="0.3" header="0" footer="0"/>
      <printOptions horizontalCentered="1" verticalCentered="1"/>
      <pageSetup scale="69" orientation="portrait" r:id="rId5"/>
      <headerFooter alignWithMargins="0"/>
    </customSheetView>
    <customSheetView guid="{4826FCC0-BDD6-4B2C-ACC6-ACE271DDF0E3}" scale="75" colorId="22" fitToPage="1" showRuler="0">
      <selection activeCell="H49" sqref="H49"/>
      <pageMargins left="0.75" right="0.4" top="0.3" bottom="0.3" header="0" footer="0"/>
      <printOptions horizontalCentered="1" verticalCentered="1"/>
      <pageSetup scale="69" orientation="portrait" r:id="rId6"/>
      <headerFooter alignWithMargins="0"/>
    </customSheetView>
    <customSheetView guid="{EF376D10-23D6-4FE2-AB5B-4460D52CC93F}" scale="75" colorId="22" fitToPage="1" showRuler="0">
      <selection activeCell="H49" sqref="H49"/>
      <pageMargins left="0.75" right="0.4" top="0.3" bottom="0.3" header="0" footer="0"/>
      <printOptions horizontalCentered="1" verticalCentered="1"/>
      <pageSetup scale="69" orientation="portrait" r:id="rId7"/>
      <headerFooter alignWithMargins="0"/>
    </customSheetView>
    <customSheetView guid="{1C046605-15CE-44F1-BFCD-2CA8588E7ACF}" scale="75" colorId="22" fitToPage="1" showRuler="0" topLeftCell="A4">
      <selection activeCell="E13" sqref="E13"/>
      <pageMargins left="0.75" right="0.4" top="0.3" bottom="0.3" header="0" footer="0"/>
      <printOptions horizontalCentered="1" verticalCentered="1"/>
      <pageSetup scale="69" orientation="portrait" r:id="rId8"/>
      <headerFooter alignWithMargins="0"/>
    </customSheetView>
    <customSheetView guid="{3911D713-188C-46A1-A299-F21DD3B7A146}" scale="75" colorId="22" fitToPage="1" showRuler="0" topLeftCell="A4">
      <selection activeCell="E13" sqref="E13"/>
      <pageMargins left="0.75" right="0.4" top="0.3" bottom="0.3" header="0" footer="0"/>
      <printOptions horizontalCentered="1" verticalCentered="1"/>
      <pageSetup scale="69" orientation="portrait" r:id="rId9"/>
      <headerFooter alignWithMargins="0"/>
    </customSheetView>
    <customSheetView guid="{78BB1E60-60BE-4F56-9763-075185EFEFAB}" scale="60" colorId="22" showPageBreaks="1" fitToPage="1" printArea="1" view="pageBreakPreview">
      <selection activeCell="G14" sqref="G14"/>
      <pageMargins left="0.75" right="0.4" top="0.3" bottom="0.3" header="0" footer="0"/>
      <printOptions horizontalCentered="1" verticalCentered="1"/>
      <pageSetup scale="69" orientation="portrait" r:id="rId10"/>
      <headerFooter alignWithMargins="0"/>
    </customSheetView>
    <customSheetView guid="{9C30803E-1E2D-4850-B0A5-591CA6F246A1}" scale="60" colorId="22" showPageBreaks="1" fitToPage="1" printArea="1" view="pageBreakPreview">
      <selection activeCell="G14" sqref="G14"/>
      <pageMargins left="0.75" right="0.4" top="0.3" bottom="0.3" header="0" footer="0"/>
      <printOptions horizontalCentered="1" verticalCentered="1"/>
      <pageSetup scale="69" orientation="portrait" r:id="rId11"/>
      <headerFooter alignWithMargins="0"/>
    </customSheetView>
    <customSheetView guid="{3B1006FF-A2CA-49E7-9B25-DAC8815279AF}" scale="60" colorId="22" showPageBreaks="1" fitToPage="1" printArea="1" view="pageBreakPreview">
      <selection activeCell="G14" sqref="G14"/>
      <pageMargins left="0.75" right="0.4" top="0.3" bottom="0.3" header="0" footer="0"/>
      <printOptions horizontalCentered="1" verticalCentered="1"/>
      <pageSetup scale="69" orientation="portrait" r:id="rId12"/>
      <headerFooter alignWithMargins="0"/>
    </customSheetView>
    <customSheetView guid="{FB1A60C8-E1F9-4DF0-8E0E-1C965F86027F}" scale="60" colorId="22" showPageBreaks="1" fitToPage="1" printArea="1" view="pageBreakPreview">
      <selection activeCell="G14" sqref="G14"/>
      <pageMargins left="0.75" right="0.4" top="0.3" bottom="0.3" header="0" footer="0"/>
      <printOptions horizontalCentered="1" verticalCentered="1"/>
      <pageSetup scale="69" orientation="portrait" r:id="rId13"/>
      <headerFooter alignWithMargins="0"/>
    </customSheetView>
    <customSheetView guid="{C5B6D812-CBE6-46AA-99F7-02494E9802B4}" scale="70" colorId="22" showPageBreaks="1" fitToPage="1" printArea="1" view="pageBreakPreview" topLeftCell="A5">
      <selection activeCell="C10" sqref="C10"/>
      <pageMargins left="0.75" right="0.4" top="0.3" bottom="0.3" header="0" footer="0"/>
      <printOptions horizontalCentered="1" verticalCentered="1"/>
      <pageSetup scale="69" orientation="portrait" r:id="rId14"/>
      <headerFooter alignWithMargins="0"/>
    </customSheetView>
  </customSheetViews>
  <mergeCells count="1">
    <mergeCell ref="A126:E126"/>
  </mergeCells>
  <phoneticPr fontId="0" type="noConversion"/>
  <printOptions horizontalCentered="1" verticalCentered="1"/>
  <pageMargins left="0.75" right="0.4" top="0.3" bottom="0.3" header="0" footer="0"/>
  <pageSetup scale="69" orientation="portrait" r:id="rId15"/>
  <headerFooter alignWithMargins="0"/>
  <customProperties>
    <customPr name="_pios_id" r:id="rId16"/>
  </customProperties>
</worksheet>
</file>

<file path=xl/worksheets/sheet52.xml><?xml version="1.0" encoding="utf-8"?>
<worksheet xmlns="http://schemas.openxmlformats.org/spreadsheetml/2006/main" xmlns:r="http://schemas.openxmlformats.org/officeDocument/2006/relationships">
  <sheetPr transitionEvaluation="1" codeName="Sheet52" enableFormatConditionsCalculation="0"/>
  <dimension ref="A1:R845"/>
  <sheetViews>
    <sheetView defaultGridColor="0" colorId="22" zoomScale="75" zoomScaleNormal="75" zoomScaleSheetLayoutView="70" workbookViewId="0"/>
  </sheetViews>
  <sheetFormatPr defaultColWidth="9.77734375" defaultRowHeight="15"/>
  <cols>
    <col min="1" max="1" width="4.77734375" customWidth="1"/>
    <col min="2" max="2" width="40.21875" customWidth="1"/>
    <col min="3" max="5" width="14.77734375" customWidth="1"/>
    <col min="6" max="6" width="24.21875" customWidth="1"/>
    <col min="7" max="7" width="5.33203125" customWidth="1"/>
    <col min="8" max="8" width="11.77734375" customWidth="1"/>
    <col min="9" max="9" width="28.6640625" bestFit="1" customWidth="1"/>
    <col min="10" max="11" width="11.77734375" customWidth="1"/>
    <col min="12" max="12" width="25.33203125" bestFit="1" customWidth="1"/>
    <col min="13" max="13" width="12.5546875" customWidth="1"/>
    <col min="14" max="14" width="14.44140625" customWidth="1"/>
    <col min="16" max="18" width="9.77734375" style="952"/>
  </cols>
  <sheetData>
    <row r="1" spans="1:15" ht="15.75" thickBot="1">
      <c r="A1" s="859" t="str">
        <f>+'Data sheet'!A53</f>
        <v>Annual Report of New York American Water Company, Inc. (f/k/a Long Island Water Corp)                                   Year Ended  December 31, 2013</v>
      </c>
      <c r="B1" s="230"/>
      <c r="C1" s="230"/>
      <c r="D1" s="230"/>
      <c r="E1" s="230"/>
      <c r="F1" s="230"/>
      <c r="G1" s="1745" t="str">
        <f>A1</f>
        <v>Annual Report of New York American Water Company, Inc. (f/k/a Long Island Water Corp)                                   Year Ended  December 31, 2013</v>
      </c>
      <c r="H1" s="230"/>
      <c r="I1" s="230"/>
      <c r="J1" s="230"/>
      <c r="K1" s="230"/>
      <c r="L1" s="230"/>
      <c r="M1" s="230"/>
      <c r="N1" s="230"/>
      <c r="O1" s="230"/>
    </row>
    <row r="2" spans="1:15">
      <c r="A2" s="142"/>
      <c r="B2" s="143"/>
      <c r="C2" s="143"/>
      <c r="D2" s="143"/>
      <c r="E2" s="143"/>
      <c r="F2" s="144"/>
      <c r="G2" s="142"/>
      <c r="H2" s="143"/>
      <c r="I2" s="143"/>
      <c r="J2" s="143"/>
      <c r="K2" s="143"/>
      <c r="L2" s="143"/>
      <c r="M2" s="143"/>
      <c r="N2" s="144"/>
      <c r="O2" s="230"/>
    </row>
    <row r="3" spans="1:15" ht="15.75">
      <c r="A3" s="130" t="s">
        <v>3285</v>
      </c>
      <c r="B3" s="128"/>
      <c r="C3" s="128"/>
      <c r="D3" s="128"/>
      <c r="E3" s="128"/>
      <c r="F3" s="145"/>
      <c r="G3" s="130" t="s">
        <v>1434</v>
      </c>
      <c r="H3" s="128"/>
      <c r="I3" s="128"/>
      <c r="J3" s="128"/>
      <c r="K3" s="128"/>
      <c r="L3" s="128"/>
      <c r="M3" s="128"/>
      <c r="N3" s="145"/>
      <c r="O3" s="230"/>
    </row>
    <row r="4" spans="1:15">
      <c r="A4" s="610" t="s">
        <v>1435</v>
      </c>
      <c r="B4" s="128"/>
      <c r="C4" s="128"/>
      <c r="D4" s="128"/>
      <c r="E4" s="128"/>
      <c r="F4" s="145"/>
      <c r="G4" s="610" t="s">
        <v>1436</v>
      </c>
      <c r="H4" s="128"/>
      <c r="I4" s="128"/>
      <c r="J4" s="128"/>
      <c r="K4" s="128"/>
      <c r="L4" s="128"/>
      <c r="M4" s="128"/>
      <c r="N4" s="145"/>
      <c r="O4" s="230"/>
    </row>
    <row r="5" spans="1:15">
      <c r="A5" s="108"/>
      <c r="B5" s="109"/>
      <c r="C5" s="109"/>
      <c r="D5" s="109"/>
      <c r="E5" s="109"/>
      <c r="F5" s="112"/>
      <c r="G5" s="610"/>
      <c r="H5" s="128"/>
      <c r="I5" s="128"/>
      <c r="J5" s="128"/>
      <c r="K5" s="128"/>
      <c r="L5" s="128"/>
      <c r="M5" s="128"/>
      <c r="N5" s="145"/>
      <c r="O5" s="230"/>
    </row>
    <row r="6" spans="1:15">
      <c r="A6" s="96"/>
      <c r="B6" s="97" t="s">
        <v>1837</v>
      </c>
      <c r="C6" s="97"/>
      <c r="D6" s="97"/>
      <c r="E6" s="97"/>
      <c r="F6" s="98"/>
      <c r="G6" s="665"/>
      <c r="H6" s="516"/>
      <c r="I6" s="516"/>
      <c r="J6" s="516"/>
      <c r="K6" s="516"/>
      <c r="L6" s="516"/>
      <c r="M6" s="516"/>
      <c r="N6" s="517"/>
      <c r="O6" s="230"/>
    </row>
    <row r="7" spans="1:15">
      <c r="A7" s="1220"/>
      <c r="B7" s="97" t="s">
        <v>2454</v>
      </c>
      <c r="C7" s="406"/>
      <c r="D7" s="406"/>
      <c r="E7" s="406"/>
      <c r="F7" s="407"/>
      <c r="G7" s="121"/>
      <c r="H7" s="666"/>
      <c r="I7" s="666" t="s">
        <v>2455</v>
      </c>
      <c r="J7" s="666" t="s">
        <v>2456</v>
      </c>
      <c r="K7" s="160"/>
      <c r="L7" s="666" t="s">
        <v>2457</v>
      </c>
      <c r="M7" s="160"/>
      <c r="N7" s="410" t="s">
        <v>2989</v>
      </c>
      <c r="O7" s="230"/>
    </row>
    <row r="8" spans="1:15">
      <c r="A8" s="1220"/>
      <c r="B8" s="97" t="s">
        <v>4064</v>
      </c>
      <c r="C8" s="406"/>
      <c r="D8" s="406"/>
      <c r="E8" s="406"/>
      <c r="F8" s="407"/>
      <c r="G8" s="121"/>
      <c r="H8" s="666" t="s">
        <v>1139</v>
      </c>
      <c r="I8" s="666" t="s">
        <v>2042</v>
      </c>
      <c r="J8" s="666" t="s">
        <v>2043</v>
      </c>
      <c r="K8" s="666" t="s">
        <v>2044</v>
      </c>
      <c r="L8" s="666" t="s">
        <v>2045</v>
      </c>
      <c r="M8" s="666" t="s">
        <v>2046</v>
      </c>
      <c r="N8" s="410" t="s">
        <v>2047</v>
      </c>
      <c r="O8" s="230"/>
    </row>
    <row r="9" spans="1:15">
      <c r="A9" s="1220"/>
      <c r="B9" s="97" t="s">
        <v>2048</v>
      </c>
      <c r="C9" s="406"/>
      <c r="D9" s="406"/>
      <c r="E9" s="406"/>
      <c r="F9" s="407"/>
      <c r="G9" s="121" t="s">
        <v>1129</v>
      </c>
      <c r="H9" s="666" t="s">
        <v>3324</v>
      </c>
      <c r="I9" s="666" t="s">
        <v>91</v>
      </c>
      <c r="J9" s="666" t="s">
        <v>92</v>
      </c>
      <c r="K9" s="666" t="s">
        <v>93</v>
      </c>
      <c r="L9" s="666" t="s">
        <v>93</v>
      </c>
      <c r="M9" s="666" t="s">
        <v>94</v>
      </c>
      <c r="N9" s="410" t="s">
        <v>92</v>
      </c>
      <c r="O9" s="230"/>
    </row>
    <row r="10" spans="1:15">
      <c r="A10" s="1220"/>
      <c r="B10" s="97" t="s">
        <v>853</v>
      </c>
      <c r="C10" s="406"/>
      <c r="D10" s="406"/>
      <c r="E10" s="406"/>
      <c r="F10" s="407"/>
      <c r="G10" s="411" t="s">
        <v>3324</v>
      </c>
      <c r="H10" s="666" t="s">
        <v>4032</v>
      </c>
      <c r="I10" s="666" t="s">
        <v>4033</v>
      </c>
      <c r="J10" s="666" t="s">
        <v>4034</v>
      </c>
      <c r="K10" s="666" t="s">
        <v>4035</v>
      </c>
      <c r="L10" s="666" t="s">
        <v>2277</v>
      </c>
      <c r="M10" s="666" t="s">
        <v>2278</v>
      </c>
      <c r="N10" s="410" t="s">
        <v>2279</v>
      </c>
      <c r="O10" s="230"/>
    </row>
    <row r="11" spans="1:15">
      <c r="A11" s="1220"/>
      <c r="B11" s="97" t="s">
        <v>870</v>
      </c>
      <c r="C11" s="406"/>
      <c r="D11" s="406"/>
      <c r="E11" s="406"/>
      <c r="F11" s="407"/>
      <c r="G11" s="121">
        <v>1</v>
      </c>
      <c r="H11" s="2654">
        <v>303</v>
      </c>
      <c r="I11" s="2655">
        <f>147989.09/1000</f>
        <v>147.98909</v>
      </c>
      <c r="J11" s="2656">
        <v>5</v>
      </c>
      <c r="K11" s="2657"/>
      <c r="L11" s="2932">
        <v>0.2</v>
      </c>
      <c r="M11" s="2658"/>
      <c r="N11" s="633"/>
      <c r="O11" s="230"/>
    </row>
    <row r="12" spans="1:15">
      <c r="A12" s="1220"/>
      <c r="B12" s="97" t="s">
        <v>3079</v>
      </c>
      <c r="C12" s="406"/>
      <c r="D12" s="406"/>
      <c r="E12" s="406"/>
      <c r="F12" s="407"/>
      <c r="G12" s="121">
        <v>2</v>
      </c>
      <c r="H12" s="1807" t="s">
        <v>871</v>
      </c>
      <c r="I12" s="2659">
        <f>1587009.2/1000</f>
        <v>1587.0092</v>
      </c>
      <c r="J12" s="2660">
        <v>30.030030030030026</v>
      </c>
      <c r="K12" s="2661"/>
      <c r="L12" s="2665">
        <v>3.3300000000000003E-2</v>
      </c>
      <c r="M12" s="2662"/>
      <c r="N12" s="410"/>
      <c r="O12" s="230"/>
    </row>
    <row r="13" spans="1:15">
      <c r="A13" s="1220"/>
      <c r="B13" s="97" t="s">
        <v>3576</v>
      </c>
      <c r="C13" s="406"/>
      <c r="D13" s="406"/>
      <c r="E13" s="406"/>
      <c r="F13" s="407"/>
      <c r="G13" s="121">
        <v>3</v>
      </c>
      <c r="H13" s="1807" t="s">
        <v>3080</v>
      </c>
      <c r="I13" s="2659">
        <f>6132495.51/1000</f>
        <v>6132.4955099999997</v>
      </c>
      <c r="J13" s="2660">
        <v>50.251256281407031</v>
      </c>
      <c r="K13" s="2661"/>
      <c r="L13" s="2665">
        <v>1.9900000000000001E-2</v>
      </c>
      <c r="M13" s="2662"/>
      <c r="N13" s="410"/>
      <c r="O13" s="230"/>
    </row>
    <row r="14" spans="1:15">
      <c r="A14" s="1220"/>
      <c r="B14" s="97" t="s">
        <v>3577</v>
      </c>
      <c r="C14" s="406"/>
      <c r="D14" s="406"/>
      <c r="E14" s="406"/>
      <c r="F14" s="407"/>
      <c r="G14" s="121">
        <v>4</v>
      </c>
      <c r="H14" s="1807">
        <v>321</v>
      </c>
      <c r="I14" s="2659">
        <f>3456892.84/1000</f>
        <v>3456.89284</v>
      </c>
      <c r="J14" s="2660">
        <v>50.251256281407031</v>
      </c>
      <c r="K14" s="2661"/>
      <c r="L14" s="2665">
        <v>1.9900000000000001E-2</v>
      </c>
      <c r="M14" s="2662"/>
      <c r="N14" s="410"/>
      <c r="O14" s="230"/>
    </row>
    <row r="15" spans="1:15">
      <c r="A15" s="1220"/>
      <c r="B15" s="97" t="s">
        <v>3578</v>
      </c>
      <c r="C15" s="406"/>
      <c r="D15" s="406"/>
      <c r="E15" s="406"/>
      <c r="F15" s="407"/>
      <c r="G15" s="121">
        <v>5</v>
      </c>
      <c r="H15" s="1807">
        <v>323</v>
      </c>
      <c r="I15" s="2659">
        <f>900050.2/1000</f>
        <v>900.0501999999999</v>
      </c>
      <c r="J15" s="2660">
        <v>25</v>
      </c>
      <c r="K15" s="2661"/>
      <c r="L15" s="2665">
        <v>0.04</v>
      </c>
      <c r="M15" s="2662"/>
      <c r="N15" s="410"/>
      <c r="O15" s="230"/>
    </row>
    <row r="16" spans="1:15">
      <c r="A16" s="1220"/>
      <c r="B16" s="97" t="s">
        <v>3815</v>
      </c>
      <c r="C16" s="406"/>
      <c r="D16" s="406"/>
      <c r="E16" s="406"/>
      <c r="F16" s="407"/>
      <c r="G16" s="121">
        <v>6</v>
      </c>
      <c r="H16" s="1807">
        <v>325</v>
      </c>
      <c r="I16" s="2659">
        <f>5432802.66/1000</f>
        <v>5432.8026600000003</v>
      </c>
      <c r="J16" s="2660">
        <v>37.037037037037038</v>
      </c>
      <c r="K16" s="2665">
        <v>0.05</v>
      </c>
      <c r="L16" s="2665">
        <v>2.7E-2</v>
      </c>
      <c r="M16" s="2662"/>
      <c r="N16" s="410"/>
      <c r="O16" s="230"/>
    </row>
    <row r="17" spans="1:18">
      <c r="A17" s="1220"/>
      <c r="B17" s="97" t="s">
        <v>3816</v>
      </c>
      <c r="C17" s="406"/>
      <c r="D17" s="406"/>
      <c r="E17" s="406"/>
      <c r="F17" s="407"/>
      <c r="G17" s="121">
        <v>7</v>
      </c>
      <c r="H17" s="1807">
        <v>326</v>
      </c>
      <c r="I17" s="2659">
        <f>2150702.24/1000</f>
        <v>2150.7022400000001</v>
      </c>
      <c r="J17" s="2660">
        <v>37.037037037037038</v>
      </c>
      <c r="K17" s="2661">
        <v>0.05</v>
      </c>
      <c r="L17" s="2665">
        <v>2.7E-2</v>
      </c>
      <c r="M17" s="2662"/>
      <c r="N17" s="410"/>
      <c r="O17" s="230"/>
    </row>
    <row r="18" spans="1:18">
      <c r="A18" s="1220"/>
      <c r="B18" s="97" t="s">
        <v>4382</v>
      </c>
      <c r="C18" s="406"/>
      <c r="D18" s="406"/>
      <c r="E18" s="406"/>
      <c r="F18" s="407"/>
      <c r="G18" s="121">
        <v>8</v>
      </c>
      <c r="H18" s="1807">
        <v>327</v>
      </c>
      <c r="I18" s="2659">
        <f>295438.91/1000</f>
        <v>295.43890999999996</v>
      </c>
      <c r="J18" s="2660">
        <v>37.037037037037038</v>
      </c>
      <c r="K18" s="2661"/>
      <c r="L18" s="2665">
        <v>2.7E-2</v>
      </c>
      <c r="M18" s="2662"/>
      <c r="N18" s="410"/>
      <c r="O18" s="230"/>
    </row>
    <row r="19" spans="1:18">
      <c r="A19" s="1220"/>
      <c r="B19" s="97" t="s">
        <v>2764</v>
      </c>
      <c r="C19" s="406"/>
      <c r="D19" s="406"/>
      <c r="E19" s="406"/>
      <c r="F19" s="407"/>
      <c r="G19" s="121">
        <v>9</v>
      </c>
      <c r="H19" s="1807">
        <v>331</v>
      </c>
      <c r="I19" s="2659">
        <f>21503583.2/1000</f>
        <v>21503.583200000001</v>
      </c>
      <c r="J19" s="2660">
        <v>50</v>
      </c>
      <c r="K19" s="2661"/>
      <c r="L19" s="2665">
        <v>0.02</v>
      </c>
      <c r="M19" s="2662"/>
      <c r="N19" s="410"/>
      <c r="O19" s="230"/>
    </row>
    <row r="20" spans="1:18">
      <c r="A20" s="1220"/>
      <c r="B20" s="97" t="s">
        <v>3814</v>
      </c>
      <c r="C20" s="406"/>
      <c r="D20" s="406"/>
      <c r="E20" s="406"/>
      <c r="F20" s="407"/>
      <c r="G20" s="121">
        <v>10</v>
      </c>
      <c r="H20" s="1807" t="s">
        <v>4383</v>
      </c>
      <c r="I20" s="2659">
        <f>5650098.51/1000</f>
        <v>5650.0985099999998</v>
      </c>
      <c r="J20" s="2660">
        <v>60.240963855421683</v>
      </c>
      <c r="K20" s="2661">
        <v>0.25</v>
      </c>
      <c r="L20" s="2665">
        <v>1.66E-2</v>
      </c>
      <c r="M20" s="2662"/>
      <c r="N20" s="410"/>
      <c r="O20" s="230"/>
    </row>
    <row r="21" spans="1:18">
      <c r="A21" s="1220"/>
      <c r="B21" s="97" t="s">
        <v>4043</v>
      </c>
      <c r="C21" s="406"/>
      <c r="D21" s="406"/>
      <c r="E21" s="406"/>
      <c r="F21" s="407"/>
      <c r="G21" s="121">
        <v>11</v>
      </c>
      <c r="H21" s="1807" t="s">
        <v>2765</v>
      </c>
      <c r="I21" s="2659">
        <f>(10122730.69+395872.42)/1000</f>
        <v>10518.60311</v>
      </c>
      <c r="J21" s="2660">
        <v>26.737967914438499</v>
      </c>
      <c r="K21" s="2661"/>
      <c r="L21" s="2665">
        <v>3.7400000000000003E-2</v>
      </c>
      <c r="M21" s="2662"/>
      <c r="N21" s="410"/>
      <c r="O21" s="230"/>
    </row>
    <row r="22" spans="1:18">
      <c r="A22" s="1220"/>
      <c r="B22" s="97" t="s">
        <v>3927</v>
      </c>
      <c r="C22" s="406"/>
      <c r="D22" s="406"/>
      <c r="E22" s="406"/>
      <c r="F22" s="407"/>
      <c r="G22" s="121">
        <v>12</v>
      </c>
      <c r="H22" s="1807">
        <v>342</v>
      </c>
      <c r="I22" s="2659">
        <f>(4059431.72+37781.34)/1000</f>
        <v>4097.21306</v>
      </c>
      <c r="J22" s="2663">
        <v>75.187969924812037</v>
      </c>
      <c r="K22" s="2661"/>
      <c r="L22" s="2665">
        <v>1.3299999999999999E-2</v>
      </c>
      <c r="M22" s="2662"/>
      <c r="N22" s="2664"/>
      <c r="O22" s="230"/>
      <c r="P22" s="1851"/>
      <c r="Q22" s="1851"/>
      <c r="R22" s="1852"/>
    </row>
    <row r="23" spans="1:18">
      <c r="A23" s="1220"/>
      <c r="B23" s="97" t="s">
        <v>2347</v>
      </c>
      <c r="C23" s="406"/>
      <c r="D23" s="406"/>
      <c r="E23" s="406"/>
      <c r="F23" s="407"/>
      <c r="G23" s="121">
        <v>13</v>
      </c>
      <c r="H23" s="1807" t="s">
        <v>4518</v>
      </c>
      <c r="I23" s="2659">
        <f>1753404.8/1000</f>
        <v>1753.4048</v>
      </c>
      <c r="J23" s="2663">
        <v>40.160642570281126</v>
      </c>
      <c r="K23" s="2661"/>
      <c r="L23" s="2665">
        <v>2.4899999999999999E-2</v>
      </c>
      <c r="M23" s="2662"/>
      <c r="N23" s="2664"/>
      <c r="O23" s="230"/>
      <c r="P23" s="1854"/>
      <c r="Q23" s="1854"/>
      <c r="R23" s="1852"/>
    </row>
    <row r="24" spans="1:18">
      <c r="A24" s="1220"/>
      <c r="B24" s="97" t="s">
        <v>4316</v>
      </c>
      <c r="C24" s="406"/>
      <c r="D24" s="406"/>
      <c r="E24" s="406"/>
      <c r="F24" s="407"/>
      <c r="G24" s="121">
        <v>14</v>
      </c>
      <c r="H24" s="1807" t="s">
        <v>4519</v>
      </c>
      <c r="I24" s="2659">
        <f>63074081.03/1000</f>
        <v>63074.081030000001</v>
      </c>
      <c r="J24" s="2663">
        <v>101.010101010101</v>
      </c>
      <c r="K24" s="2661"/>
      <c r="L24" s="2665">
        <v>9.9000000000000008E-3</v>
      </c>
      <c r="M24" s="2662"/>
      <c r="N24" s="2664"/>
      <c r="O24" s="230"/>
      <c r="P24" s="1854"/>
      <c r="Q24" s="1854"/>
      <c r="R24" s="1852"/>
    </row>
    <row r="25" spans="1:18">
      <c r="A25" s="1220"/>
      <c r="C25" s="406"/>
      <c r="D25" s="406"/>
      <c r="E25" s="406"/>
      <c r="F25" s="407"/>
      <c r="G25" s="121">
        <v>15</v>
      </c>
      <c r="H25" s="1807" t="s">
        <v>4520</v>
      </c>
      <c r="I25" s="2659">
        <f>6398495.07/1000</f>
        <v>6398.4950699999999</v>
      </c>
      <c r="J25" s="2663">
        <v>85.470085470085465</v>
      </c>
      <c r="K25" s="2661"/>
      <c r="L25" s="2665">
        <v>1.17E-2</v>
      </c>
      <c r="M25" s="2662"/>
      <c r="N25" s="2664"/>
      <c r="O25" s="230"/>
      <c r="P25" s="1854"/>
      <c r="Q25" s="1854"/>
      <c r="R25" s="847"/>
    </row>
    <row r="26" spans="1:18">
      <c r="A26" s="1220"/>
      <c r="C26" s="406"/>
      <c r="D26" s="406"/>
      <c r="E26" s="406"/>
      <c r="F26" s="407"/>
      <c r="G26" s="121">
        <v>16</v>
      </c>
      <c r="H26" s="1807">
        <v>344</v>
      </c>
      <c r="I26" s="2659">
        <f>2036652.62/1000</f>
        <v>2036.6526200000001</v>
      </c>
      <c r="J26" s="2663">
        <v>50.251256281407031</v>
      </c>
      <c r="K26" s="2661"/>
      <c r="L26" s="2665">
        <v>1.9900000000000001E-2</v>
      </c>
      <c r="M26" s="2662"/>
      <c r="N26" s="2664"/>
      <c r="O26" s="230"/>
      <c r="P26" s="1854"/>
      <c r="Q26" s="1854"/>
      <c r="R26" s="847"/>
    </row>
    <row r="27" spans="1:18">
      <c r="A27" s="1220"/>
      <c r="C27" s="406"/>
      <c r="D27" s="406"/>
      <c r="E27" s="406"/>
      <c r="F27" s="407"/>
      <c r="G27" s="121">
        <v>17</v>
      </c>
      <c r="H27" s="1807">
        <v>345</v>
      </c>
      <c r="I27" s="2659">
        <f>38265766.54/1000</f>
        <v>38265.766539999997</v>
      </c>
      <c r="J27" s="2663">
        <v>50.251256281407031</v>
      </c>
      <c r="K27" s="2665"/>
      <c r="L27" s="2665">
        <v>1.9900000000000001E-2</v>
      </c>
      <c r="M27" s="2662"/>
      <c r="N27" s="2664"/>
      <c r="O27" s="230"/>
      <c r="P27" s="1854"/>
      <c r="Q27" s="1854"/>
      <c r="R27" s="1852"/>
    </row>
    <row r="28" spans="1:18">
      <c r="A28" s="1220"/>
      <c r="C28" s="406"/>
      <c r="D28" s="406"/>
      <c r="E28" s="406"/>
      <c r="F28" s="407"/>
      <c r="G28" s="121">
        <v>18</v>
      </c>
      <c r="H28" s="1807">
        <v>346</v>
      </c>
      <c r="I28" s="2659">
        <f>11878778.47/1000</f>
        <v>11878.778470000001</v>
      </c>
      <c r="J28" s="2663">
        <v>25.974025974025974</v>
      </c>
      <c r="K28" s="2661"/>
      <c r="L28" s="2665">
        <v>3.85E-2</v>
      </c>
      <c r="M28" s="2662"/>
      <c r="N28" s="2664"/>
      <c r="O28" s="230"/>
      <c r="P28" s="1854"/>
      <c r="Q28" s="1854"/>
      <c r="R28" s="1852"/>
    </row>
    <row r="29" spans="1:18">
      <c r="A29" s="1220"/>
      <c r="C29" s="406"/>
      <c r="D29" s="406"/>
      <c r="E29" s="406"/>
      <c r="F29" s="407"/>
      <c r="G29" s="121">
        <v>19</v>
      </c>
      <c r="H29" s="1807">
        <v>347</v>
      </c>
      <c r="I29" s="2659">
        <f>5742272.03/1000</f>
        <v>5742.2720300000001</v>
      </c>
      <c r="J29" s="2663">
        <v>40</v>
      </c>
      <c r="K29" s="2661"/>
      <c r="L29" s="2665">
        <v>2.5000000000000001E-2</v>
      </c>
      <c r="M29" s="2662"/>
      <c r="N29" s="2664"/>
      <c r="O29" s="230"/>
      <c r="P29" s="1854"/>
      <c r="Q29" s="1854"/>
      <c r="R29" s="1852"/>
    </row>
    <row r="30" spans="1:18">
      <c r="A30" s="1220"/>
      <c r="C30" s="406"/>
      <c r="D30" s="406"/>
      <c r="E30" s="406"/>
      <c r="F30" s="407"/>
      <c r="G30" s="121">
        <v>20</v>
      </c>
      <c r="H30" s="1807">
        <v>348</v>
      </c>
      <c r="I30" s="2659">
        <f>8078418.16/1000</f>
        <v>8078.4181600000002</v>
      </c>
      <c r="J30" s="2663">
        <v>69.930069930069934</v>
      </c>
      <c r="K30" s="2661"/>
      <c r="L30" s="2665">
        <v>1.43E-2</v>
      </c>
      <c r="M30" s="2662"/>
      <c r="N30" s="2664"/>
      <c r="O30" s="230"/>
      <c r="P30" s="1854"/>
      <c r="Q30" s="1854"/>
      <c r="R30" s="1852"/>
    </row>
    <row r="31" spans="1:18">
      <c r="A31" s="1220"/>
      <c r="C31" s="406"/>
      <c r="D31" s="406"/>
      <c r="E31" s="406"/>
      <c r="F31" s="407"/>
      <c r="G31" s="121">
        <v>21</v>
      </c>
      <c r="H31" s="1807" t="s">
        <v>4521</v>
      </c>
      <c r="I31" s="2659">
        <f>(2081172.46+2645711.8)/1000</f>
        <v>4726.8842599999998</v>
      </c>
      <c r="J31" s="2663">
        <v>60.975609756097555</v>
      </c>
      <c r="K31" s="2661"/>
      <c r="L31" s="2665">
        <v>1.6400000000000001E-2</v>
      </c>
      <c r="M31" s="2662"/>
      <c r="N31" s="2664"/>
      <c r="O31" s="230"/>
      <c r="P31" s="1854"/>
      <c r="Q31" s="1854"/>
      <c r="R31" s="1852"/>
    </row>
    <row r="32" spans="1:18">
      <c r="A32" s="1220"/>
      <c r="C32" s="406"/>
      <c r="D32" s="406"/>
      <c r="E32" s="406"/>
      <c r="F32" s="407"/>
      <c r="G32" s="121">
        <v>22</v>
      </c>
      <c r="H32" s="1807" t="s">
        <v>4522</v>
      </c>
      <c r="I32" s="2659">
        <f>549773.34/1000</f>
        <v>549.77333999999996</v>
      </c>
      <c r="J32" s="2666">
        <v>34.965034965034967</v>
      </c>
      <c r="K32" s="2667"/>
      <c r="L32" s="2667">
        <v>2.86E-2</v>
      </c>
      <c r="M32" s="2662"/>
      <c r="N32" s="2664"/>
      <c r="O32" s="230"/>
      <c r="P32" s="1854"/>
      <c r="Q32" s="1854"/>
      <c r="R32" s="1852"/>
    </row>
    <row r="33" spans="1:18">
      <c r="A33" s="1220"/>
      <c r="C33" s="406"/>
      <c r="D33" s="406"/>
      <c r="E33" s="406"/>
      <c r="F33" s="407"/>
      <c r="G33" s="121">
        <v>23</v>
      </c>
      <c r="H33" s="1807" t="s">
        <v>4523</v>
      </c>
      <c r="I33" s="2659">
        <f>270214.1/1000</f>
        <v>270.21409999999997</v>
      </c>
      <c r="J33" s="2663">
        <v>26.38522427440633</v>
      </c>
      <c r="K33" s="2661">
        <v>0.05</v>
      </c>
      <c r="L33" s="2665">
        <v>3.7900000000000003E-2</v>
      </c>
      <c r="M33" s="2662"/>
      <c r="N33" s="2664"/>
      <c r="O33" s="230"/>
      <c r="P33" s="1854"/>
      <c r="Q33" s="1854"/>
      <c r="R33" s="1852"/>
    </row>
    <row r="34" spans="1:18">
      <c r="A34" s="1220"/>
      <c r="C34" s="406"/>
      <c r="D34" s="406"/>
      <c r="E34" s="406"/>
      <c r="F34" s="407"/>
      <c r="G34" s="121">
        <v>24</v>
      </c>
      <c r="H34" s="1807" t="s">
        <v>4524</v>
      </c>
      <c r="I34" s="2659">
        <f>(408756.85+7719599.67+126635.27+183096.91)/1000</f>
        <v>8438.0886999999984</v>
      </c>
      <c r="J34" s="2663">
        <v>10</v>
      </c>
      <c r="K34" s="2661">
        <v>0.05</v>
      </c>
      <c r="L34" s="2665">
        <v>0.1</v>
      </c>
      <c r="M34" s="2662"/>
      <c r="N34" s="2664"/>
      <c r="O34" s="230"/>
      <c r="P34" s="1854"/>
      <c r="Q34" s="1854"/>
      <c r="R34" s="1852"/>
    </row>
    <row r="35" spans="1:18">
      <c r="A35" s="1220"/>
      <c r="C35" s="406"/>
      <c r="D35" s="406"/>
      <c r="E35" s="406"/>
      <c r="F35" s="407"/>
      <c r="G35" s="121">
        <v>25</v>
      </c>
      <c r="H35" s="1807" t="s">
        <v>4525</v>
      </c>
      <c r="I35" s="2659">
        <f>61540.45/1000</f>
        <v>61.54045</v>
      </c>
      <c r="J35" s="2663">
        <v>21.09704641350211</v>
      </c>
      <c r="K35" s="2661"/>
      <c r="L35" s="2665">
        <v>4.7399999999999998E-2</v>
      </c>
      <c r="M35" s="2662"/>
      <c r="N35" s="2664"/>
      <c r="O35" s="230"/>
      <c r="P35" s="1854"/>
      <c r="Q35" s="1854"/>
      <c r="R35" s="847"/>
    </row>
    <row r="36" spans="1:18">
      <c r="A36" s="515"/>
      <c r="B36" s="446" t="s">
        <v>379</v>
      </c>
      <c r="C36" s="446"/>
      <c r="D36" s="446"/>
      <c r="E36" s="446"/>
      <c r="F36" s="1221"/>
      <c r="G36" s="121">
        <v>26</v>
      </c>
      <c r="H36" s="1807" t="s">
        <v>4526</v>
      </c>
      <c r="I36" s="2659">
        <f>417539.99/1000</f>
        <v>417.53998999999999</v>
      </c>
      <c r="J36" s="2663">
        <v>5.9988002399520104</v>
      </c>
      <c r="K36" s="2661">
        <v>0.3</v>
      </c>
      <c r="L36" s="2665">
        <v>0.16669999999999999</v>
      </c>
      <c r="M36" s="2662"/>
      <c r="N36" s="2664"/>
      <c r="O36" s="230"/>
      <c r="P36" s="1854"/>
      <c r="Q36" s="1854"/>
      <c r="R36" s="847"/>
    </row>
    <row r="37" spans="1:18">
      <c r="A37" s="121"/>
      <c r="B37" s="97"/>
      <c r="C37" s="160"/>
      <c r="D37" s="666" t="s">
        <v>380</v>
      </c>
      <c r="E37" s="666" t="s">
        <v>380</v>
      </c>
      <c r="F37" s="148"/>
      <c r="G37" s="121">
        <v>27</v>
      </c>
      <c r="H37" s="1807" t="s">
        <v>4527</v>
      </c>
      <c r="I37" s="2659">
        <f>44892.77/1000</f>
        <v>44.892769999999999</v>
      </c>
      <c r="J37" s="2663">
        <v>8</v>
      </c>
      <c r="K37" s="2661"/>
      <c r="L37" s="2665">
        <v>0.125</v>
      </c>
      <c r="M37" s="2662"/>
      <c r="N37" s="2664"/>
      <c r="O37" s="230"/>
      <c r="P37" s="1854"/>
      <c r="Q37" s="1854"/>
      <c r="R37" s="1852"/>
    </row>
    <row r="38" spans="1:18">
      <c r="A38" s="121"/>
      <c r="B38" s="97"/>
      <c r="C38" s="666" t="s">
        <v>323</v>
      </c>
      <c r="D38" s="666" t="s">
        <v>381</v>
      </c>
      <c r="E38" s="666" t="s">
        <v>1439</v>
      </c>
      <c r="F38" s="148"/>
      <c r="G38" s="121">
        <v>28</v>
      </c>
      <c r="H38" s="1807" t="s">
        <v>4887</v>
      </c>
      <c r="I38" s="2659">
        <f>269156.87/1000</f>
        <v>269.15686999999997</v>
      </c>
      <c r="J38" s="2663">
        <v>5</v>
      </c>
      <c r="K38" s="2661"/>
      <c r="L38" s="2665">
        <v>0.2</v>
      </c>
      <c r="M38" s="2662"/>
      <c r="N38" s="640"/>
      <c r="O38" s="230"/>
      <c r="P38" s="1854"/>
      <c r="Q38" s="1854"/>
      <c r="R38" s="1852"/>
    </row>
    <row r="39" spans="1:18">
      <c r="A39" s="121" t="s">
        <v>2573</v>
      </c>
      <c r="B39" s="105" t="s">
        <v>2574</v>
      </c>
      <c r="C39" s="666" t="s">
        <v>2575</v>
      </c>
      <c r="D39" s="666" t="s">
        <v>1806</v>
      </c>
      <c r="E39" s="666" t="s">
        <v>1806</v>
      </c>
      <c r="F39" s="410" t="s">
        <v>3323</v>
      </c>
      <c r="G39" s="121">
        <v>29</v>
      </c>
      <c r="H39" s="1807" t="s">
        <v>4888</v>
      </c>
      <c r="I39" s="2659">
        <f>224647.57/1000</f>
        <v>224.64757</v>
      </c>
      <c r="J39" s="2666">
        <v>6.9979006298110571</v>
      </c>
      <c r="K39" s="2665"/>
      <c r="L39" s="2665">
        <v>0.1429</v>
      </c>
      <c r="M39" s="2662"/>
      <c r="N39" s="640"/>
      <c r="O39" s="230"/>
      <c r="P39" s="1854"/>
      <c r="Q39" s="1854"/>
      <c r="R39" s="1852"/>
    </row>
    <row r="40" spans="1:18">
      <c r="A40" s="121" t="s">
        <v>3324</v>
      </c>
      <c r="B40" s="97"/>
      <c r="C40" s="666" t="s">
        <v>2576</v>
      </c>
      <c r="D40" s="666" t="s">
        <v>2577</v>
      </c>
      <c r="E40" s="666" t="s">
        <v>2578</v>
      </c>
      <c r="F40" s="148"/>
      <c r="G40" s="121">
        <v>30</v>
      </c>
      <c r="H40" s="2668">
        <v>393</v>
      </c>
      <c r="I40" s="2659">
        <f>68178.46/1000</f>
        <v>68.178460000000001</v>
      </c>
      <c r="J40" s="2663">
        <v>26.315789473684212</v>
      </c>
      <c r="K40" s="2665">
        <v>0.05</v>
      </c>
      <c r="L40" s="2665">
        <v>3.7999999999999999E-2</v>
      </c>
      <c r="M40" s="2662"/>
      <c r="N40" s="640"/>
      <c r="O40" s="230"/>
      <c r="P40" s="1854"/>
      <c r="Q40" s="1854"/>
      <c r="R40" s="1852"/>
    </row>
    <row r="41" spans="1:18">
      <c r="A41" s="411"/>
      <c r="B41" s="799" t="s">
        <v>4032</v>
      </c>
      <c r="C41" s="667" t="s">
        <v>4033</v>
      </c>
      <c r="D41" s="667" t="s">
        <v>4034</v>
      </c>
      <c r="E41" s="667" t="s">
        <v>4035</v>
      </c>
      <c r="F41" s="414" t="s">
        <v>2277</v>
      </c>
      <c r="G41" s="121">
        <v>31</v>
      </c>
      <c r="H41" s="1807" t="s">
        <v>4528</v>
      </c>
      <c r="I41" s="2659">
        <f>507195.63/1000</f>
        <v>507.19562999999999</v>
      </c>
      <c r="J41" s="2666">
        <v>26.315789473684212</v>
      </c>
      <c r="K41" s="2665">
        <v>0.05</v>
      </c>
      <c r="L41" s="2665">
        <v>3.7999999999999999E-2</v>
      </c>
      <c r="M41" s="2662"/>
      <c r="N41" s="640"/>
      <c r="O41" s="230"/>
      <c r="P41" s="1854"/>
      <c r="Q41" s="1854"/>
      <c r="R41" s="1852"/>
    </row>
    <row r="42" spans="1:18">
      <c r="A42" s="1222">
        <v>1</v>
      </c>
      <c r="B42" s="446" t="s">
        <v>4240</v>
      </c>
      <c r="C42" s="2197">
        <v>29642.46</v>
      </c>
      <c r="D42" s="2197"/>
      <c r="E42" s="2197"/>
      <c r="F42" s="541">
        <f t="shared" ref="F42:F48" si="0">SUM(C42:E42)</f>
        <v>29642.46</v>
      </c>
      <c r="G42" s="121">
        <v>32</v>
      </c>
      <c r="H42" s="1636" t="s">
        <v>4529</v>
      </c>
      <c r="I42" s="2659">
        <f>150638.61/1000</f>
        <v>150.63861</v>
      </c>
      <c r="J42" s="2663">
        <v>25</v>
      </c>
      <c r="K42" s="2661">
        <v>0.2</v>
      </c>
      <c r="L42" s="2665">
        <v>0.04</v>
      </c>
      <c r="M42" s="2662"/>
      <c r="N42" s="640"/>
      <c r="O42" s="230"/>
      <c r="P42" s="1854"/>
      <c r="Q42" s="1854"/>
      <c r="R42" s="1852"/>
    </row>
    <row r="43" spans="1:18">
      <c r="A43" s="1222">
        <v>2</v>
      </c>
      <c r="B43" s="446" t="s">
        <v>4464</v>
      </c>
      <c r="C43" s="2198">
        <v>172565.51</v>
      </c>
      <c r="D43" s="2198"/>
      <c r="E43" s="2198"/>
      <c r="F43" s="432">
        <f t="shared" si="0"/>
        <v>172565.51</v>
      </c>
      <c r="G43" s="121">
        <v>33</v>
      </c>
      <c r="H43" s="1807">
        <v>395</v>
      </c>
      <c r="I43" s="2659">
        <f>172638.85/1000</f>
        <v>172.63885000000002</v>
      </c>
      <c r="J43" s="2663">
        <v>26.315789473684212</v>
      </c>
      <c r="K43" s="2661">
        <v>0.05</v>
      </c>
      <c r="L43" s="2665">
        <v>3.7999999999999999E-2</v>
      </c>
      <c r="M43" s="2662"/>
      <c r="N43" s="640"/>
      <c r="O43" s="230"/>
      <c r="P43" s="1854"/>
      <c r="Q43" s="1854"/>
      <c r="R43" s="1852"/>
    </row>
    <row r="44" spans="1:18">
      <c r="A44" s="1222">
        <v>3</v>
      </c>
      <c r="B44" s="446" t="s">
        <v>2806</v>
      </c>
      <c r="C44" s="2198">
        <v>310877.25</v>
      </c>
      <c r="D44" s="2198"/>
      <c r="E44" s="2198"/>
      <c r="F44" s="432">
        <f t="shared" si="0"/>
        <v>310877.25</v>
      </c>
      <c r="G44" s="121">
        <v>34</v>
      </c>
      <c r="H44" s="1807" t="s">
        <v>2812</v>
      </c>
      <c r="I44" s="2659">
        <f>65204.76/1000</f>
        <v>65.204760000000007</v>
      </c>
      <c r="J44" s="2660">
        <v>11.248593925759279</v>
      </c>
      <c r="K44" s="2661">
        <v>0.2</v>
      </c>
      <c r="L44" s="2665">
        <v>8.8900000000000007E-2</v>
      </c>
      <c r="M44" s="2662"/>
      <c r="N44" s="640"/>
      <c r="O44" s="230"/>
      <c r="P44" s="1854"/>
      <c r="Q44" s="1854"/>
      <c r="R44" s="1852"/>
    </row>
    <row r="45" spans="1:18">
      <c r="A45" s="1222">
        <v>4</v>
      </c>
      <c r="B45" s="446" t="s">
        <v>2807</v>
      </c>
      <c r="C45" s="2198">
        <v>753781.43</v>
      </c>
      <c r="D45" s="2198"/>
      <c r="E45" s="2198"/>
      <c r="F45" s="432">
        <f t="shared" si="0"/>
        <v>753781.43</v>
      </c>
      <c r="G45" s="121">
        <v>35</v>
      </c>
      <c r="H45" s="1807" t="s">
        <v>2813</v>
      </c>
      <c r="I45" s="2659">
        <f>11614.65/1000</f>
        <v>11.614649999999999</v>
      </c>
      <c r="J45" s="2660">
        <v>18.761726078799249</v>
      </c>
      <c r="K45" s="2661">
        <v>0.2</v>
      </c>
      <c r="L45" s="2665">
        <v>5.33E-2</v>
      </c>
      <c r="M45" s="2662"/>
      <c r="N45" s="640"/>
      <c r="O45" s="230"/>
      <c r="P45" s="1854"/>
      <c r="Q45" s="1854"/>
      <c r="R45" s="1852"/>
    </row>
    <row r="46" spans="1:18">
      <c r="A46" s="1222">
        <v>5</v>
      </c>
      <c r="B46" s="446" t="s">
        <v>2808</v>
      </c>
      <c r="C46" s="2198">
        <v>2267627.4500000002</v>
      </c>
      <c r="D46" s="2198"/>
      <c r="E46" s="2198"/>
      <c r="F46" s="432">
        <f t="shared" si="0"/>
        <v>2267627.4500000002</v>
      </c>
      <c r="G46" s="121">
        <v>36</v>
      </c>
      <c r="H46" s="120">
        <v>397</v>
      </c>
      <c r="I46" s="2659">
        <f>(167571.19+141004.33+54671.5)/1000</f>
        <v>363.24702000000002</v>
      </c>
      <c r="J46" s="2663">
        <v>11.111111111111111</v>
      </c>
      <c r="K46" s="2665">
        <v>0.1</v>
      </c>
      <c r="L46" s="2665">
        <v>0.09</v>
      </c>
      <c r="M46" s="2662"/>
      <c r="N46" s="640"/>
      <c r="O46" s="230"/>
      <c r="P46" s="1854"/>
      <c r="Q46" s="1854"/>
      <c r="R46" s="847"/>
    </row>
    <row r="47" spans="1:18">
      <c r="A47" s="1222">
        <v>6</v>
      </c>
      <c r="B47" s="446" t="s">
        <v>2809</v>
      </c>
      <c r="C47" s="2198">
        <v>903261.64</v>
      </c>
      <c r="D47" s="2198"/>
      <c r="E47" s="2198"/>
      <c r="F47" s="432">
        <f t="shared" si="0"/>
        <v>903261.64</v>
      </c>
      <c r="G47" s="121">
        <v>37</v>
      </c>
      <c r="H47" s="800">
        <v>398</v>
      </c>
      <c r="I47" s="2659">
        <f>363464.21/1000</f>
        <v>363.46421000000004</v>
      </c>
      <c r="J47" s="2669">
        <v>15.822784810126581</v>
      </c>
      <c r="K47" s="2670">
        <v>0.05</v>
      </c>
      <c r="L47" s="2933">
        <v>6.3200000000000006E-2</v>
      </c>
      <c r="M47" s="2671"/>
      <c r="N47" s="2672"/>
      <c r="O47" s="230"/>
      <c r="P47" s="1854"/>
      <c r="Q47" s="1854"/>
      <c r="R47" s="847"/>
    </row>
    <row r="48" spans="1:18">
      <c r="A48" s="1222">
        <v>7</v>
      </c>
      <c r="B48" s="446" t="s">
        <v>2810</v>
      </c>
      <c r="C48" s="2198"/>
      <c r="D48" s="2198"/>
      <c r="E48" s="2198">
        <v>18669.72</v>
      </c>
      <c r="F48" s="432">
        <f t="shared" si="0"/>
        <v>18669.72</v>
      </c>
      <c r="G48" s="121">
        <v>38</v>
      </c>
      <c r="H48" s="2170"/>
      <c r="I48" s="2171"/>
      <c r="J48" s="2171"/>
      <c r="K48" s="2171"/>
      <c r="L48" s="2171"/>
      <c r="M48" s="2673"/>
      <c r="N48" s="2674"/>
      <c r="O48" s="230"/>
      <c r="P48" s="1854"/>
      <c r="Q48" s="1854"/>
      <c r="R48" s="1852"/>
    </row>
    <row r="49" spans="1:18" ht="15.75" thickBot="1">
      <c r="A49" s="1222">
        <v>8</v>
      </c>
      <c r="B49" s="817" t="s">
        <v>1135</v>
      </c>
      <c r="C49" s="2199">
        <f>SUM(C42:C48)</f>
        <v>4437755.74</v>
      </c>
      <c r="D49" s="2199">
        <f>SUM(D42:D48)</f>
        <v>0</v>
      </c>
      <c r="E49" s="2199">
        <f>SUM(E42:E48)</f>
        <v>18669.72</v>
      </c>
      <c r="F49" s="562">
        <f>SUM(F42:F48)</f>
        <v>4456425.46</v>
      </c>
      <c r="G49" s="121">
        <v>39</v>
      </c>
      <c r="H49" s="2170"/>
      <c r="I49" s="2171"/>
      <c r="J49" s="2171"/>
      <c r="K49" s="2171"/>
      <c r="L49" s="2171"/>
      <c r="M49" s="275"/>
      <c r="N49" s="640"/>
      <c r="O49" s="230"/>
      <c r="P49" s="1854"/>
      <c r="Q49" s="1854"/>
      <c r="R49" s="1852"/>
    </row>
    <row r="50" spans="1:18" ht="15.75" thickTop="1">
      <c r="A50" s="663" t="s">
        <v>2811</v>
      </c>
      <c r="B50" s="146"/>
      <c r="C50" s="180"/>
      <c r="D50" s="180"/>
      <c r="E50" s="180"/>
      <c r="F50" s="603"/>
      <c r="G50" s="121">
        <v>40</v>
      </c>
      <c r="H50" s="840"/>
      <c r="I50" s="620">
        <f>SUM(I11:I47)</f>
        <v>215805.66748999999</v>
      </c>
      <c r="J50" s="106" t="s">
        <v>5162</v>
      </c>
      <c r="K50" s="2341"/>
      <c r="L50" s="2341"/>
      <c r="M50" s="275"/>
      <c r="N50" s="640"/>
      <c r="O50" s="230"/>
      <c r="P50" s="1854"/>
      <c r="Q50" s="1854"/>
      <c r="R50" s="1852"/>
    </row>
    <row r="51" spans="1:18">
      <c r="A51" s="96"/>
      <c r="B51" s="97"/>
      <c r="C51" s="195"/>
      <c r="D51" s="195"/>
      <c r="E51" s="195"/>
      <c r="F51" s="98"/>
      <c r="G51" s="121">
        <v>41</v>
      </c>
      <c r="H51" s="840"/>
      <c r="I51" s="557"/>
      <c r="J51" s="107"/>
      <c r="K51" s="2344"/>
      <c r="L51" s="2344"/>
      <c r="M51" s="275"/>
      <c r="N51" s="640"/>
      <c r="O51" s="230"/>
      <c r="P51" s="1854"/>
      <c r="Q51" s="1854"/>
      <c r="R51" s="847"/>
    </row>
    <row r="52" spans="1:18">
      <c r="A52" s="96"/>
      <c r="B52" s="97"/>
      <c r="C52" s="97"/>
      <c r="D52" s="97"/>
      <c r="E52" s="97"/>
      <c r="F52" s="98"/>
      <c r="G52" s="121">
        <v>42</v>
      </c>
      <c r="H52" s="275">
        <v>303</v>
      </c>
      <c r="I52" s="275" t="s">
        <v>4889</v>
      </c>
      <c r="J52" s="107"/>
      <c r="K52" s="840" t="s">
        <v>4521</v>
      </c>
      <c r="L52" s="107" t="s">
        <v>3004</v>
      </c>
      <c r="M52" s="275"/>
      <c r="N52" s="640"/>
      <c r="O52" s="230"/>
      <c r="P52" s="1854"/>
      <c r="Q52" s="1854"/>
      <c r="R52" s="847"/>
    </row>
    <row r="53" spans="1:18">
      <c r="A53" s="96"/>
      <c r="B53" s="97"/>
      <c r="C53" s="97"/>
      <c r="D53" s="97"/>
      <c r="E53" s="97"/>
      <c r="F53" s="98"/>
      <c r="G53" s="121">
        <v>43</v>
      </c>
      <c r="H53" s="275">
        <v>311</v>
      </c>
      <c r="I53" s="275" t="s">
        <v>4530</v>
      </c>
      <c r="J53" s="107"/>
      <c r="K53" s="840" t="s">
        <v>4522</v>
      </c>
      <c r="L53" s="107" t="s">
        <v>3005</v>
      </c>
      <c r="M53" s="275"/>
      <c r="N53" s="640"/>
      <c r="O53" s="230"/>
      <c r="P53" s="1854"/>
      <c r="Q53" s="1854"/>
      <c r="R53" s="1852"/>
    </row>
    <row r="54" spans="1:18">
      <c r="A54" s="96"/>
      <c r="B54" s="97"/>
      <c r="D54" s="97"/>
      <c r="E54" s="97"/>
      <c r="F54" s="98"/>
      <c r="G54" s="121">
        <v>44</v>
      </c>
      <c r="H54" s="840" t="s">
        <v>871</v>
      </c>
      <c r="I54" s="557" t="s">
        <v>2814</v>
      </c>
      <c r="J54" s="107"/>
      <c r="K54" s="840" t="s">
        <v>4523</v>
      </c>
      <c r="L54" s="107" t="s">
        <v>2815</v>
      </c>
      <c r="M54" s="275"/>
      <c r="N54" s="640"/>
      <c r="O54" s="230"/>
      <c r="P54" s="1854"/>
      <c r="Q54" s="1854"/>
      <c r="R54" s="1852"/>
    </row>
    <row r="55" spans="1:18">
      <c r="A55" s="96"/>
      <c r="B55" s="97"/>
      <c r="C55" s="97"/>
      <c r="D55" s="97"/>
      <c r="E55" s="97"/>
      <c r="F55" s="98"/>
      <c r="G55" s="121">
        <v>45</v>
      </c>
      <c r="H55" s="840" t="s">
        <v>3080</v>
      </c>
      <c r="I55" s="557" t="s">
        <v>2816</v>
      </c>
      <c r="J55" s="107"/>
      <c r="K55" s="840" t="s">
        <v>4524</v>
      </c>
      <c r="L55" s="107" t="s">
        <v>2817</v>
      </c>
      <c r="M55" s="275"/>
      <c r="N55" s="640"/>
      <c r="O55" s="230"/>
      <c r="P55" s="1854"/>
      <c r="Q55" s="1854"/>
      <c r="R55" s="1852"/>
    </row>
    <row r="56" spans="1:18">
      <c r="A56" s="96"/>
      <c r="B56" s="97"/>
      <c r="C56" s="97"/>
      <c r="D56" s="97"/>
      <c r="E56" s="97"/>
      <c r="F56" s="98"/>
      <c r="G56" s="121">
        <v>46</v>
      </c>
      <c r="H56" s="275">
        <v>321</v>
      </c>
      <c r="I56" s="275" t="s">
        <v>4531</v>
      </c>
      <c r="J56" s="557"/>
      <c r="K56" s="840" t="s">
        <v>4525</v>
      </c>
      <c r="L56" s="275" t="s">
        <v>4533</v>
      </c>
      <c r="M56" s="275"/>
      <c r="N56" s="640"/>
      <c r="O56" s="230"/>
      <c r="P56" s="1854"/>
      <c r="Q56" s="1854"/>
      <c r="R56" s="1852"/>
    </row>
    <row r="57" spans="1:18">
      <c r="A57" s="96"/>
      <c r="B57" s="97"/>
      <c r="C57" s="97"/>
      <c r="D57" s="97"/>
      <c r="E57" s="97"/>
      <c r="F57" s="98"/>
      <c r="G57" s="121">
        <v>47</v>
      </c>
      <c r="H57" s="275">
        <v>323</v>
      </c>
      <c r="I57" s="1623" t="s">
        <v>4532</v>
      </c>
      <c r="J57" s="107"/>
      <c r="K57" s="2346" t="s">
        <v>4526</v>
      </c>
      <c r="L57" s="275" t="s">
        <v>4890</v>
      </c>
      <c r="M57" s="275"/>
      <c r="N57" s="640"/>
      <c r="O57" s="230"/>
      <c r="P57" s="1854"/>
      <c r="Q57" s="1854"/>
      <c r="R57" s="1852"/>
    </row>
    <row r="58" spans="1:18">
      <c r="A58" s="96"/>
      <c r="B58" s="97"/>
      <c r="C58" s="97"/>
      <c r="D58" s="97"/>
      <c r="E58" s="97"/>
      <c r="F58" s="98"/>
      <c r="G58" s="121">
        <v>48</v>
      </c>
      <c r="H58" s="275">
        <v>325</v>
      </c>
      <c r="I58" s="1623" t="s">
        <v>4534</v>
      </c>
      <c r="J58" s="275"/>
      <c r="K58" s="2346" t="s">
        <v>4527</v>
      </c>
      <c r="L58" s="275" t="s">
        <v>4891</v>
      </c>
      <c r="M58" s="275"/>
      <c r="N58" s="640"/>
      <c r="O58" s="230"/>
      <c r="P58" s="1854"/>
      <c r="Q58" s="1854"/>
      <c r="R58" s="1852"/>
    </row>
    <row r="59" spans="1:18">
      <c r="A59" s="96"/>
      <c r="B59" s="97"/>
      <c r="C59" s="97"/>
      <c r="D59" s="97"/>
      <c r="E59" s="97"/>
      <c r="F59" s="98"/>
      <c r="G59" s="121">
        <v>49</v>
      </c>
      <c r="H59" s="275">
        <v>326</v>
      </c>
      <c r="I59" s="1623" t="s">
        <v>4535</v>
      </c>
      <c r="J59" s="275"/>
      <c r="K59" s="2675" t="s">
        <v>4887</v>
      </c>
      <c r="L59" s="275" t="s">
        <v>4536</v>
      </c>
      <c r="M59" s="275"/>
      <c r="N59" s="640"/>
      <c r="O59" s="230"/>
      <c r="P59" s="1854"/>
      <c r="Q59" s="1854"/>
      <c r="R59" s="1852"/>
    </row>
    <row r="60" spans="1:18">
      <c r="A60" s="96"/>
      <c r="B60" s="97"/>
      <c r="C60" s="97"/>
      <c r="D60" s="97"/>
      <c r="E60" s="97"/>
      <c r="F60" s="98"/>
      <c r="G60" s="121">
        <v>50</v>
      </c>
      <c r="H60" s="275">
        <v>327</v>
      </c>
      <c r="I60" s="1623" t="s">
        <v>4537</v>
      </c>
      <c r="J60" s="275"/>
      <c r="K60" s="2675" t="s">
        <v>4888</v>
      </c>
      <c r="L60" s="2344" t="s">
        <v>4892</v>
      </c>
      <c r="M60" s="275"/>
      <c r="N60" s="640"/>
      <c r="O60" s="230"/>
      <c r="P60" s="1854"/>
      <c r="Q60" s="1854"/>
      <c r="R60" s="1852"/>
    </row>
    <row r="61" spans="1:18">
      <c r="A61" s="96"/>
      <c r="B61" s="97"/>
      <c r="C61" s="97"/>
      <c r="D61" s="97"/>
      <c r="E61" s="97"/>
      <c r="F61" s="98"/>
      <c r="G61" s="121">
        <v>51</v>
      </c>
      <c r="H61" s="275">
        <v>331</v>
      </c>
      <c r="I61" s="1623" t="s">
        <v>4539</v>
      </c>
      <c r="J61" s="275"/>
      <c r="K61" s="275">
        <v>393</v>
      </c>
      <c r="L61" s="275" t="s">
        <v>4538</v>
      </c>
      <c r="M61" s="275"/>
      <c r="N61" s="640"/>
      <c r="O61" s="230"/>
      <c r="P61" s="1854"/>
      <c r="Q61" s="1854"/>
      <c r="R61" s="1852"/>
    </row>
    <row r="62" spans="1:18">
      <c r="A62" s="96"/>
      <c r="B62" s="97"/>
      <c r="C62" s="97"/>
      <c r="D62" s="97"/>
      <c r="E62" s="97"/>
      <c r="F62" s="98"/>
      <c r="G62" s="121">
        <v>52</v>
      </c>
      <c r="H62" s="840" t="s">
        <v>4383</v>
      </c>
      <c r="I62" s="557" t="s">
        <v>2818</v>
      </c>
      <c r="J62" s="1223"/>
      <c r="K62" s="840" t="s">
        <v>4528</v>
      </c>
      <c r="L62" s="2344" t="s">
        <v>4318</v>
      </c>
      <c r="M62" s="275"/>
      <c r="N62" s="640"/>
      <c r="O62" s="230"/>
      <c r="P62" s="1854"/>
      <c r="Q62" s="1854"/>
      <c r="R62" s="1852"/>
    </row>
    <row r="63" spans="1:18">
      <c r="A63" s="96"/>
      <c r="B63" s="97"/>
      <c r="C63" s="97"/>
      <c r="D63" s="97"/>
      <c r="E63" s="97"/>
      <c r="F63" s="98"/>
      <c r="G63" s="121">
        <v>53</v>
      </c>
      <c r="H63" s="840" t="s">
        <v>2765</v>
      </c>
      <c r="I63" s="557" t="s">
        <v>2995</v>
      </c>
      <c r="J63" s="107"/>
      <c r="K63" s="840" t="s">
        <v>4529</v>
      </c>
      <c r="L63" s="2344" t="s">
        <v>2996</v>
      </c>
      <c r="M63" s="275"/>
      <c r="N63" s="640"/>
      <c r="O63" s="230"/>
      <c r="P63" s="1854"/>
      <c r="Q63" s="1854"/>
      <c r="R63" s="1852"/>
    </row>
    <row r="64" spans="1:18">
      <c r="A64" s="96"/>
      <c r="B64" s="97"/>
      <c r="C64" s="97"/>
      <c r="D64" s="97"/>
      <c r="E64" s="97"/>
      <c r="F64" s="98"/>
      <c r="G64" s="121">
        <v>54</v>
      </c>
      <c r="H64" s="275">
        <v>342</v>
      </c>
      <c r="I64" s="1623" t="s">
        <v>4541</v>
      </c>
      <c r="J64" s="107"/>
      <c r="K64" s="275">
        <v>395</v>
      </c>
      <c r="L64" s="275" t="s">
        <v>4540</v>
      </c>
      <c r="M64" s="275"/>
      <c r="N64" s="640"/>
      <c r="O64" s="230"/>
      <c r="P64" s="1854"/>
      <c r="Q64" s="1854"/>
      <c r="R64" s="1852"/>
    </row>
    <row r="65" spans="1:18">
      <c r="A65" s="96"/>
      <c r="B65" s="97"/>
      <c r="C65" s="97"/>
      <c r="D65" s="97"/>
      <c r="E65" s="97"/>
      <c r="F65" s="98"/>
      <c r="G65" s="121">
        <v>55</v>
      </c>
      <c r="H65" s="840" t="s">
        <v>4518</v>
      </c>
      <c r="I65" s="598" t="s">
        <v>2997</v>
      </c>
      <c r="J65" s="107"/>
      <c r="K65" s="840" t="s">
        <v>2812</v>
      </c>
      <c r="L65" s="2344" t="s">
        <v>2998</v>
      </c>
      <c r="M65" s="107"/>
      <c r="N65" s="640"/>
      <c r="O65" s="230"/>
      <c r="P65" s="1854"/>
      <c r="Q65" s="1854"/>
      <c r="R65" s="1852"/>
    </row>
    <row r="66" spans="1:18">
      <c r="A66" s="96"/>
      <c r="B66" s="97"/>
      <c r="C66" s="97"/>
      <c r="D66" s="97"/>
      <c r="E66" s="97"/>
      <c r="F66" s="98"/>
      <c r="G66" s="121">
        <v>56</v>
      </c>
      <c r="H66" s="840" t="s">
        <v>4519</v>
      </c>
      <c r="I66" s="107" t="s">
        <v>2999</v>
      </c>
      <c r="J66" s="107"/>
      <c r="K66" s="840" t="s">
        <v>2813</v>
      </c>
      <c r="L66" s="2344" t="s">
        <v>3000</v>
      </c>
      <c r="M66" s="107"/>
      <c r="N66" s="640"/>
      <c r="O66" s="230"/>
      <c r="P66" s="1854"/>
      <c r="Q66" s="1854"/>
      <c r="R66" s="1852"/>
    </row>
    <row r="67" spans="1:18">
      <c r="A67" s="96"/>
      <c r="B67" s="97"/>
      <c r="C67" s="97"/>
      <c r="D67" s="97"/>
      <c r="E67" s="97"/>
      <c r="F67" s="98"/>
      <c r="G67" s="121">
        <v>57</v>
      </c>
      <c r="H67" s="840" t="s">
        <v>4520</v>
      </c>
      <c r="I67" s="2343" t="s">
        <v>3001</v>
      </c>
      <c r="J67" s="275"/>
      <c r="K67" s="2342">
        <v>397</v>
      </c>
      <c r="L67" s="2345" t="s">
        <v>4542</v>
      </c>
      <c r="M67" s="107"/>
      <c r="N67" s="640"/>
      <c r="O67" s="230"/>
      <c r="P67" s="1854"/>
      <c r="Q67" s="1854"/>
      <c r="R67" s="1852"/>
    </row>
    <row r="68" spans="1:18">
      <c r="A68" s="96"/>
      <c r="B68" s="97"/>
      <c r="C68" s="97"/>
      <c r="D68" s="97"/>
      <c r="E68" s="97"/>
      <c r="F68" s="98"/>
      <c r="G68" s="121">
        <v>58</v>
      </c>
      <c r="H68" s="275">
        <v>344</v>
      </c>
      <c r="I68" s="275" t="s">
        <v>1020</v>
      </c>
      <c r="J68" s="275"/>
      <c r="K68" s="2342">
        <v>398</v>
      </c>
      <c r="L68" s="2345" t="s">
        <v>4543</v>
      </c>
      <c r="M68" s="107"/>
      <c r="N68" s="640"/>
      <c r="O68" s="230"/>
      <c r="P68" s="1854"/>
      <c r="Q68" s="1854"/>
      <c r="R68" s="1852"/>
    </row>
    <row r="69" spans="1:18">
      <c r="A69" s="96"/>
      <c r="B69" s="97"/>
      <c r="C69" s="97"/>
      <c r="D69" s="97"/>
      <c r="E69" s="97"/>
      <c r="F69" s="98"/>
      <c r="G69" s="121">
        <v>59</v>
      </c>
      <c r="H69" s="2342">
        <v>345</v>
      </c>
      <c r="I69" s="275" t="s">
        <v>4544</v>
      </c>
      <c r="J69" s="275"/>
      <c r="K69" s="275"/>
      <c r="L69" s="275"/>
      <c r="M69" s="107"/>
      <c r="N69" s="640"/>
      <c r="O69" s="230"/>
      <c r="P69" s="1854"/>
      <c r="Q69" s="1854"/>
      <c r="R69" s="1852"/>
    </row>
    <row r="70" spans="1:18">
      <c r="A70" s="96"/>
      <c r="B70" s="97"/>
      <c r="C70" s="97"/>
      <c r="D70" s="97"/>
      <c r="E70" s="97"/>
      <c r="F70" s="98"/>
      <c r="G70" s="121">
        <v>60</v>
      </c>
      <c r="H70" s="840">
        <v>346</v>
      </c>
      <c r="I70" s="107" t="s">
        <v>3002</v>
      </c>
      <c r="J70" s="107"/>
      <c r="K70" s="107"/>
      <c r="L70" s="107"/>
      <c r="M70" s="107"/>
      <c r="N70" s="640"/>
      <c r="O70" s="230"/>
      <c r="P70" s="1854"/>
      <c r="Q70" s="1854"/>
      <c r="R70" s="1852"/>
    </row>
    <row r="71" spans="1:18">
      <c r="A71" s="96"/>
      <c r="B71" s="97"/>
      <c r="C71" s="97"/>
      <c r="D71" s="97"/>
      <c r="E71" s="97"/>
      <c r="F71" s="98"/>
      <c r="G71" s="121">
        <v>61</v>
      </c>
      <c r="H71" s="840">
        <v>347</v>
      </c>
      <c r="I71" s="107" t="s">
        <v>3003</v>
      </c>
      <c r="J71" s="275"/>
      <c r="K71" s="275"/>
      <c r="L71" s="275"/>
      <c r="M71" s="557"/>
      <c r="N71" s="640"/>
      <c r="O71" s="230"/>
      <c r="P71" s="1854"/>
      <c r="Q71" s="1854"/>
      <c r="R71" s="1852"/>
    </row>
    <row r="72" spans="1:18">
      <c r="A72" s="240"/>
      <c r="B72" s="952"/>
      <c r="C72" s="952"/>
      <c r="D72" s="952"/>
      <c r="E72" s="952"/>
      <c r="F72" s="237"/>
      <c r="G72" s="121">
        <v>62</v>
      </c>
      <c r="H72" s="840">
        <v>348</v>
      </c>
      <c r="I72" s="1729" t="s">
        <v>4545</v>
      </c>
      <c r="J72" s="107"/>
      <c r="K72" s="107"/>
      <c r="L72" s="107"/>
      <c r="M72" s="107"/>
      <c r="N72" s="640"/>
      <c r="O72" s="230"/>
      <c r="P72" s="1854"/>
      <c r="Q72" s="1854"/>
      <c r="R72" s="1852"/>
    </row>
    <row r="73" spans="1:18">
      <c r="A73" s="610"/>
      <c r="B73" s="1358"/>
      <c r="C73" s="1358"/>
      <c r="D73" s="1358"/>
      <c r="E73" s="1358"/>
      <c r="F73" s="145"/>
      <c r="G73" s="121">
        <v>63</v>
      </c>
      <c r="H73" s="840"/>
      <c r="I73" s="107"/>
      <c r="J73" s="107"/>
      <c r="K73" s="107"/>
      <c r="L73" s="107"/>
      <c r="M73" s="107"/>
      <c r="N73" s="640"/>
      <c r="O73" s="230"/>
    </row>
    <row r="74" spans="1:18">
      <c r="A74" s="96"/>
      <c r="B74" s="847"/>
      <c r="C74" s="847"/>
      <c r="D74" s="847"/>
      <c r="E74" s="847"/>
      <c r="F74" s="98"/>
      <c r="G74" s="121">
        <v>64</v>
      </c>
      <c r="H74" s="2347"/>
      <c r="I74" s="111"/>
      <c r="J74" s="111"/>
      <c r="K74" s="111"/>
      <c r="L74" s="111"/>
      <c r="M74" s="107"/>
      <c r="N74" s="640"/>
      <c r="O74" s="230"/>
    </row>
    <row r="75" spans="1:18" ht="15.75" thickBot="1">
      <c r="A75" s="172"/>
      <c r="B75" s="124"/>
      <c r="C75" s="124"/>
      <c r="D75" s="124"/>
      <c r="E75" s="124"/>
      <c r="F75" s="127"/>
      <c r="H75" s="126" t="s">
        <v>3006</v>
      </c>
      <c r="I75" s="126"/>
      <c r="J75" s="126"/>
      <c r="K75" s="126"/>
      <c r="L75" s="126"/>
      <c r="M75" s="436"/>
      <c r="N75" s="2676"/>
      <c r="O75" s="230"/>
    </row>
    <row r="76" spans="1:18">
      <c r="A76" s="97"/>
      <c r="B76" s="97"/>
      <c r="C76" s="97"/>
      <c r="D76" s="97"/>
      <c r="E76" s="97"/>
      <c r="F76" s="97" t="s">
        <v>4066</v>
      </c>
      <c r="G76" s="1119" t="s">
        <v>995</v>
      </c>
      <c r="H76" s="1794"/>
      <c r="I76" s="230"/>
      <c r="J76" s="230"/>
      <c r="K76" s="230"/>
      <c r="L76" s="230"/>
      <c r="M76" s="230"/>
      <c r="O76" s="230"/>
    </row>
    <row r="77" spans="1:18">
      <c r="A77" s="128" t="s">
        <v>996</v>
      </c>
      <c r="B77" s="128"/>
      <c r="C77" s="128"/>
      <c r="D77" s="128"/>
      <c r="E77" s="128"/>
      <c r="F77" s="128"/>
      <c r="K77" s="128" t="s">
        <v>997</v>
      </c>
      <c r="O77" s="230"/>
    </row>
    <row r="78" spans="1:18">
      <c r="K78" s="230"/>
      <c r="O78" s="230"/>
    </row>
    <row r="79" spans="1:18">
      <c r="A79" s="97"/>
      <c r="B79" s="97"/>
      <c r="C79" s="97"/>
      <c r="D79" s="97"/>
      <c r="E79" s="97"/>
      <c r="F79" s="97"/>
      <c r="G79" s="230"/>
      <c r="H79" s="230"/>
      <c r="I79" s="230"/>
      <c r="J79" s="230"/>
      <c r="K79" s="230"/>
      <c r="L79" s="230"/>
      <c r="M79" s="230"/>
      <c r="N79" s="230"/>
      <c r="O79" s="230"/>
    </row>
    <row r="80" spans="1:18">
      <c r="A80" s="119"/>
      <c r="B80" s="477"/>
      <c r="C80" s="97"/>
      <c r="D80" s="97"/>
      <c r="E80" s="97"/>
      <c r="F80" s="97"/>
      <c r="G80" s="230"/>
      <c r="H80" s="230"/>
      <c r="I80" s="230"/>
      <c r="J80" s="230"/>
      <c r="K80" s="230"/>
      <c r="L80" s="230"/>
      <c r="M80" s="230"/>
      <c r="N80" s="230"/>
      <c r="O80" s="230"/>
    </row>
    <row r="81" spans="1:15">
      <c r="A81" s="97"/>
      <c r="B81" s="97"/>
      <c r="C81" s="97"/>
      <c r="D81" s="97"/>
      <c r="E81" s="97"/>
      <c r="F81" s="97"/>
      <c r="G81" s="230"/>
      <c r="H81" s="230"/>
      <c r="I81" s="230"/>
      <c r="J81" s="230"/>
      <c r="K81" s="230"/>
      <c r="L81" s="230"/>
      <c r="M81" s="230"/>
      <c r="N81" s="230"/>
      <c r="O81" s="230"/>
    </row>
    <row r="82" spans="1:15">
      <c r="A82" s="97"/>
      <c r="B82" s="97"/>
      <c r="C82" s="97"/>
      <c r="D82" s="97"/>
      <c r="E82" s="97"/>
      <c r="F82" s="97"/>
      <c r="G82" s="230"/>
      <c r="H82" s="230"/>
      <c r="I82" s="230"/>
      <c r="J82" s="230"/>
      <c r="K82" s="230"/>
      <c r="L82" s="230"/>
      <c r="M82" s="230"/>
      <c r="N82" s="230"/>
      <c r="O82" s="230"/>
    </row>
    <row r="83" spans="1:15">
      <c r="A83" s="97"/>
      <c r="B83" s="97"/>
      <c r="C83" s="97"/>
      <c r="D83" s="97"/>
      <c r="E83" s="97"/>
      <c r="F83" s="97"/>
      <c r="G83" s="230"/>
      <c r="H83" s="230"/>
      <c r="I83" s="230"/>
      <c r="J83" s="230"/>
      <c r="K83" s="230"/>
      <c r="L83" s="230"/>
      <c r="M83" s="230"/>
      <c r="N83" s="230"/>
      <c r="O83" s="230"/>
    </row>
    <row r="84" spans="1:15">
      <c r="A84" s="97"/>
      <c r="B84" s="97"/>
      <c r="C84" s="97"/>
      <c r="D84" s="97"/>
      <c r="E84" s="97"/>
      <c r="F84" s="97"/>
      <c r="G84" s="230"/>
      <c r="H84" s="230"/>
      <c r="I84" s="230"/>
      <c r="J84" s="230"/>
      <c r="K84" s="230"/>
      <c r="L84" s="230"/>
      <c r="M84" s="230"/>
      <c r="N84" s="230"/>
      <c r="O84" s="230"/>
    </row>
    <row r="85" spans="1:15">
      <c r="A85" s="97"/>
      <c r="B85" s="97"/>
      <c r="C85" s="97"/>
      <c r="D85" s="97"/>
      <c r="E85" s="97"/>
      <c r="F85" s="97"/>
      <c r="G85" s="230"/>
      <c r="H85" s="230"/>
      <c r="I85" s="230"/>
      <c r="J85" s="230"/>
      <c r="K85" s="230"/>
      <c r="L85" s="230"/>
      <c r="M85" s="230"/>
      <c r="N85" s="230"/>
      <c r="O85" s="230"/>
    </row>
    <row r="86" spans="1:15">
      <c r="A86" s="97"/>
      <c r="B86" s="97"/>
      <c r="C86" s="97"/>
      <c r="D86" s="97"/>
      <c r="E86" s="97"/>
      <c r="F86" s="97"/>
      <c r="G86" s="230"/>
      <c r="H86" s="230"/>
      <c r="I86" s="230"/>
      <c r="J86" s="230"/>
      <c r="K86" s="230"/>
      <c r="L86" s="230"/>
      <c r="M86" s="230"/>
      <c r="N86" s="230"/>
      <c r="O86" s="230"/>
    </row>
    <row r="87" spans="1:15">
      <c r="A87" s="97"/>
      <c r="B87" s="97"/>
      <c r="C87" s="97"/>
      <c r="D87" s="97"/>
      <c r="E87" s="97"/>
      <c r="F87" s="97"/>
      <c r="G87" s="230"/>
      <c r="H87" s="230"/>
      <c r="I87" s="230"/>
      <c r="J87" s="230"/>
      <c r="K87" s="230"/>
      <c r="L87" s="230"/>
      <c r="M87" s="230"/>
      <c r="N87" s="230"/>
      <c r="O87" s="230"/>
    </row>
    <row r="88" spans="1:15">
      <c r="A88" s="97"/>
      <c r="B88" s="97"/>
      <c r="C88" s="97"/>
      <c r="D88" s="97"/>
      <c r="E88" s="97"/>
      <c r="F88" s="97"/>
      <c r="G88" s="230"/>
      <c r="H88" s="230"/>
      <c r="I88" s="230"/>
      <c r="J88" s="230"/>
      <c r="K88" s="230"/>
      <c r="L88" s="230"/>
      <c r="M88" s="230"/>
      <c r="N88" s="230"/>
      <c r="O88" s="230"/>
    </row>
    <row r="89" spans="1:15">
      <c r="A89" s="97"/>
      <c r="B89" s="97"/>
      <c r="C89" s="97"/>
      <c r="D89" s="97"/>
      <c r="E89" s="97"/>
      <c r="F89" s="97"/>
      <c r="G89" s="230"/>
      <c r="H89" s="230"/>
      <c r="I89" s="230"/>
      <c r="J89" s="230"/>
      <c r="K89" s="230"/>
      <c r="L89" s="230"/>
      <c r="M89" s="230"/>
      <c r="N89" s="230"/>
      <c r="O89" s="230"/>
    </row>
    <row r="90" spans="1:15">
      <c r="A90" s="97"/>
      <c r="B90" s="97"/>
      <c r="C90" s="230"/>
      <c r="D90" s="230"/>
      <c r="E90" s="230"/>
      <c r="F90" s="230"/>
      <c r="G90" s="230"/>
      <c r="H90" s="230"/>
      <c r="I90" s="230"/>
      <c r="J90" s="230"/>
      <c r="K90" s="230"/>
      <c r="L90" s="230"/>
      <c r="M90" s="230"/>
      <c r="N90" s="230"/>
      <c r="O90" s="230"/>
    </row>
    <row r="91" spans="1:15">
      <c r="A91" s="97"/>
      <c r="B91" s="97"/>
      <c r="C91" s="230"/>
      <c r="D91" s="230"/>
      <c r="E91" s="230"/>
      <c r="F91" s="230"/>
      <c r="G91" s="230"/>
      <c r="H91" s="230"/>
      <c r="I91" s="230"/>
      <c r="J91" s="230"/>
      <c r="K91" s="230"/>
      <c r="L91" s="230"/>
      <c r="M91" s="230"/>
      <c r="N91" s="230"/>
      <c r="O91" s="230"/>
    </row>
    <row r="92" spans="1:15">
      <c r="A92" s="230"/>
      <c r="B92" s="230"/>
      <c r="C92" s="230"/>
      <c r="D92" s="230"/>
      <c r="E92" s="230"/>
      <c r="F92" s="230"/>
      <c r="G92" s="230"/>
      <c r="H92" s="230"/>
      <c r="I92" s="230"/>
      <c r="J92" s="230"/>
      <c r="K92" s="230"/>
      <c r="L92" s="230"/>
      <c r="M92" s="230"/>
      <c r="N92" s="230"/>
      <c r="O92" s="230"/>
    </row>
    <row r="93" spans="1:15">
      <c r="A93" s="230"/>
      <c r="B93" s="230"/>
      <c r="C93" s="230"/>
      <c r="D93" s="230"/>
      <c r="E93" s="230"/>
      <c r="F93" s="230"/>
      <c r="G93" s="230"/>
      <c r="H93" s="230"/>
      <c r="I93" s="230"/>
      <c r="J93" s="230"/>
      <c r="K93" s="230"/>
      <c r="L93" s="230"/>
      <c r="M93" s="230"/>
      <c r="N93" s="230"/>
      <c r="O93" s="230"/>
    </row>
    <row r="94" spans="1:15">
      <c r="A94" s="230"/>
      <c r="B94" s="230"/>
      <c r="C94" s="230"/>
      <c r="D94" s="230"/>
      <c r="E94" s="230"/>
      <c r="F94" s="230"/>
      <c r="G94" s="230"/>
      <c r="H94" s="230"/>
      <c r="I94" s="230"/>
      <c r="J94" s="230"/>
      <c r="K94" s="230"/>
      <c r="L94" s="230"/>
      <c r="M94" s="230"/>
      <c r="N94" s="230"/>
      <c r="O94" s="230"/>
    </row>
    <row r="95" spans="1:15">
      <c r="A95" s="230"/>
      <c r="B95" s="230"/>
      <c r="C95" s="230"/>
      <c r="D95" s="230"/>
      <c r="E95" s="230"/>
      <c r="F95" s="230"/>
      <c r="G95" s="230"/>
      <c r="H95" s="230"/>
      <c r="I95" s="230"/>
      <c r="J95" s="230"/>
      <c r="K95" s="230"/>
      <c r="L95" s="230"/>
      <c r="M95" s="230"/>
      <c r="N95" s="230"/>
      <c r="O95" s="230"/>
    </row>
    <row r="96" spans="1:15">
      <c r="A96" s="230"/>
      <c r="B96" s="230"/>
      <c r="C96" s="230"/>
      <c r="D96" s="230"/>
      <c r="E96" s="230"/>
      <c r="F96" s="230"/>
      <c r="G96" s="230"/>
      <c r="H96" s="230"/>
      <c r="I96" s="230"/>
      <c r="J96" s="230"/>
      <c r="K96" s="230"/>
      <c r="L96" s="230"/>
      <c r="M96" s="230"/>
      <c r="N96" s="230"/>
      <c r="O96" s="230"/>
    </row>
    <row r="97" spans="1:15">
      <c r="A97" s="230"/>
      <c r="B97" s="230"/>
      <c r="C97" s="230"/>
      <c r="D97" s="230"/>
      <c r="E97" s="230"/>
      <c r="F97" s="230"/>
      <c r="G97" s="230"/>
      <c r="H97" s="230"/>
      <c r="I97" s="230"/>
      <c r="J97" s="230"/>
      <c r="K97" s="230"/>
      <c r="L97" s="230"/>
      <c r="M97" s="230"/>
      <c r="N97" s="230"/>
      <c r="O97" s="230"/>
    </row>
    <row r="98" spans="1:15">
      <c r="A98" s="230"/>
      <c r="B98" s="230"/>
      <c r="C98" s="230"/>
      <c r="D98" s="230"/>
      <c r="E98" s="230"/>
      <c r="F98" s="230"/>
      <c r="G98" s="230"/>
      <c r="H98" s="230"/>
      <c r="I98" s="230"/>
      <c r="J98" s="230"/>
      <c r="K98" s="230"/>
      <c r="L98" s="230"/>
      <c r="M98" s="230"/>
      <c r="N98" s="230"/>
      <c r="O98" s="230"/>
    </row>
    <row r="99" spans="1:15">
      <c r="A99" s="230"/>
      <c r="B99" s="230"/>
      <c r="C99" s="230"/>
      <c r="D99" s="230"/>
      <c r="E99" s="230"/>
      <c r="F99" s="230"/>
      <c r="G99" s="230"/>
      <c r="H99" s="230"/>
      <c r="I99" s="230"/>
      <c r="J99" s="230"/>
      <c r="K99" s="230"/>
      <c r="L99" s="230"/>
      <c r="M99" s="230"/>
      <c r="N99" s="230"/>
      <c r="O99" s="230"/>
    </row>
    <row r="100" spans="1:15">
      <c r="A100" s="230"/>
      <c r="B100" s="230"/>
      <c r="C100" s="230"/>
      <c r="D100" s="230"/>
      <c r="E100" s="230"/>
      <c r="F100" s="230"/>
      <c r="G100" s="230"/>
      <c r="H100" s="230"/>
      <c r="I100" s="230"/>
      <c r="J100" s="230"/>
      <c r="K100" s="230"/>
      <c r="L100" s="230"/>
      <c r="M100" s="230"/>
      <c r="N100" s="230"/>
      <c r="O100" s="230"/>
    </row>
    <row r="101" spans="1:15">
      <c r="A101" s="230"/>
      <c r="B101" s="230"/>
      <c r="C101" s="230"/>
      <c r="D101" s="230"/>
      <c r="E101" s="230"/>
      <c r="F101" s="230"/>
      <c r="G101" s="230"/>
      <c r="H101" s="230"/>
      <c r="I101" s="230"/>
      <c r="J101" s="230"/>
      <c r="K101" s="230"/>
      <c r="L101" s="230"/>
      <c r="M101" s="230"/>
      <c r="N101" s="230"/>
      <c r="O101" s="230"/>
    </row>
    <row r="102" spans="1:15">
      <c r="A102" s="230"/>
      <c r="B102" s="230"/>
      <c r="C102" s="230"/>
      <c r="D102" s="230"/>
      <c r="E102" s="230"/>
      <c r="F102" s="230"/>
      <c r="G102" s="230"/>
      <c r="H102" s="230"/>
      <c r="I102" s="230"/>
      <c r="J102" s="230"/>
      <c r="K102" s="230"/>
      <c r="L102" s="230"/>
      <c r="M102" s="230"/>
      <c r="N102" s="230"/>
      <c r="O102" s="230"/>
    </row>
    <row r="103" spans="1:15">
      <c r="A103" s="230"/>
      <c r="B103" s="230"/>
      <c r="C103" s="230"/>
      <c r="D103" s="230"/>
      <c r="E103" s="230"/>
      <c r="F103" s="230"/>
      <c r="G103" s="230"/>
      <c r="H103" s="230"/>
      <c r="I103" s="230"/>
      <c r="J103" s="230"/>
      <c r="K103" s="230"/>
      <c r="L103" s="230"/>
      <c r="M103" s="230"/>
      <c r="N103" s="230"/>
      <c r="O103" s="230"/>
    </row>
    <row r="104" spans="1:15">
      <c r="A104" s="230"/>
      <c r="B104" s="230"/>
      <c r="C104" s="230"/>
      <c r="D104" s="230"/>
      <c r="E104" s="230"/>
      <c r="F104" s="230"/>
      <c r="G104" s="230"/>
      <c r="H104" s="230"/>
      <c r="I104" s="230"/>
      <c r="J104" s="230"/>
      <c r="K104" s="230"/>
      <c r="L104" s="230"/>
      <c r="M104" s="230"/>
      <c r="N104" s="230"/>
      <c r="O104" s="230"/>
    </row>
    <row r="105" spans="1:15">
      <c r="A105" s="230"/>
      <c r="B105" s="230"/>
      <c r="C105" s="230"/>
      <c r="D105" s="230"/>
      <c r="E105" s="230"/>
      <c r="F105" s="230"/>
      <c r="G105" s="230"/>
      <c r="H105" s="230"/>
      <c r="I105" s="230"/>
      <c r="J105" s="230"/>
      <c r="K105" s="230"/>
      <c r="L105" s="230"/>
      <c r="M105" s="230"/>
      <c r="N105" s="230"/>
      <c r="O105" s="230"/>
    </row>
    <row r="106" spans="1:15">
      <c r="A106" s="230"/>
      <c r="B106" s="230"/>
      <c r="C106" s="230"/>
      <c r="D106" s="230"/>
      <c r="E106" s="230"/>
      <c r="F106" s="230"/>
      <c r="G106" s="230"/>
      <c r="H106" s="230"/>
      <c r="I106" s="230"/>
      <c r="J106" s="230"/>
      <c r="K106" s="230"/>
      <c r="L106" s="230"/>
      <c r="M106" s="230"/>
      <c r="N106" s="230"/>
      <c r="O106" s="230"/>
    </row>
    <row r="107" spans="1:15">
      <c r="A107" s="230"/>
      <c r="B107" s="230"/>
      <c r="C107" s="230"/>
      <c r="D107" s="230"/>
      <c r="E107" s="230"/>
      <c r="F107" s="230"/>
      <c r="G107" s="230"/>
      <c r="H107" s="230"/>
      <c r="I107" s="230"/>
      <c r="J107" s="230"/>
      <c r="K107" s="230"/>
      <c r="L107" s="230"/>
      <c r="M107" s="230"/>
      <c r="N107" s="230"/>
      <c r="O107" s="230"/>
    </row>
    <row r="108" spans="1:15">
      <c r="A108" s="230"/>
      <c r="B108" s="230"/>
      <c r="C108" s="230"/>
      <c r="D108" s="230"/>
      <c r="E108" s="230"/>
      <c r="F108" s="230"/>
      <c r="G108" s="230"/>
      <c r="H108" s="230"/>
      <c r="I108" s="230"/>
      <c r="J108" s="230"/>
      <c r="K108" s="230"/>
      <c r="L108" s="230"/>
      <c r="M108" s="230"/>
      <c r="N108" s="230"/>
      <c r="O108" s="230"/>
    </row>
    <row r="109" spans="1:15">
      <c r="A109" s="230"/>
      <c r="B109" s="230"/>
      <c r="C109" s="230"/>
      <c r="D109" s="230"/>
      <c r="E109" s="230"/>
      <c r="F109" s="230"/>
      <c r="G109" s="230"/>
      <c r="H109" s="230"/>
      <c r="I109" s="230"/>
      <c r="J109" s="230"/>
      <c r="K109" s="230"/>
      <c r="L109" s="230"/>
      <c r="M109" s="230"/>
      <c r="N109" s="230"/>
      <c r="O109" s="230"/>
    </row>
    <row r="110" spans="1:15">
      <c r="A110" s="230"/>
      <c r="B110" s="230"/>
      <c r="C110" s="230"/>
      <c r="D110" s="230"/>
      <c r="E110" s="230"/>
      <c r="F110" s="230"/>
      <c r="G110" s="230"/>
      <c r="H110" s="230"/>
      <c r="I110" s="230"/>
      <c r="J110" s="230"/>
      <c r="K110" s="230"/>
      <c r="L110" s="230"/>
      <c r="M110" s="230"/>
      <c r="N110" s="230"/>
      <c r="O110" s="230"/>
    </row>
    <row r="111" spans="1:15">
      <c r="A111" s="230"/>
      <c r="B111" s="230"/>
      <c r="C111" s="230"/>
      <c r="D111" s="230"/>
      <c r="E111" s="230"/>
      <c r="F111" s="230"/>
      <c r="G111" s="230"/>
      <c r="H111" s="230"/>
      <c r="I111" s="230"/>
      <c r="J111" s="230"/>
      <c r="K111" s="230"/>
      <c r="L111" s="230"/>
      <c r="M111" s="230"/>
      <c r="N111" s="230"/>
      <c r="O111" s="230"/>
    </row>
    <row r="112" spans="1:15">
      <c r="A112" s="230"/>
      <c r="B112" s="230"/>
      <c r="C112" s="230"/>
      <c r="D112" s="230"/>
      <c r="E112" s="230"/>
      <c r="F112" s="230"/>
      <c r="G112" s="230"/>
      <c r="H112" s="230"/>
      <c r="I112" s="230"/>
      <c r="J112" s="230"/>
      <c r="K112" s="230"/>
      <c r="L112" s="230"/>
      <c r="M112" s="230"/>
      <c r="N112" s="230"/>
      <c r="O112" s="230"/>
    </row>
    <row r="113" spans="1:15">
      <c r="A113" s="230"/>
      <c r="B113" s="230"/>
      <c r="C113" s="230"/>
      <c r="D113" s="230"/>
      <c r="E113" s="230"/>
      <c r="F113" s="230"/>
      <c r="G113" s="230"/>
      <c r="H113" s="230"/>
      <c r="I113" s="230"/>
      <c r="J113" s="230"/>
      <c r="K113" s="230"/>
      <c r="L113" s="230"/>
      <c r="M113" s="230"/>
      <c r="N113" s="230"/>
      <c r="O113" s="230"/>
    </row>
    <row r="114" spans="1:15">
      <c r="A114" s="230"/>
      <c r="B114" s="230"/>
      <c r="C114" s="230"/>
      <c r="D114" s="230"/>
      <c r="E114" s="230"/>
      <c r="F114" s="230"/>
      <c r="G114" s="230"/>
      <c r="H114" s="230"/>
      <c r="I114" s="230"/>
      <c r="J114" s="230"/>
      <c r="K114" s="230"/>
      <c r="L114" s="230"/>
      <c r="M114" s="230"/>
      <c r="N114" s="230"/>
      <c r="O114" s="230"/>
    </row>
    <row r="115" spans="1:15">
      <c r="A115" s="230"/>
      <c r="B115" s="230"/>
      <c r="C115" s="230"/>
      <c r="D115" s="230"/>
      <c r="E115" s="230"/>
      <c r="F115" s="230"/>
      <c r="G115" s="230"/>
      <c r="H115" s="230"/>
      <c r="I115" s="230"/>
      <c r="J115" s="230"/>
      <c r="K115" s="230"/>
      <c r="L115" s="230"/>
      <c r="M115" s="230"/>
      <c r="N115" s="230"/>
      <c r="O115" s="230"/>
    </row>
    <row r="116" spans="1:15">
      <c r="A116" s="230"/>
      <c r="B116" s="230"/>
      <c r="C116" s="230"/>
      <c r="D116" s="230"/>
      <c r="E116" s="230"/>
      <c r="F116" s="230"/>
      <c r="G116" s="230"/>
      <c r="H116" s="230"/>
      <c r="I116" s="230"/>
      <c r="J116" s="230"/>
      <c r="K116" s="230"/>
      <c r="L116" s="230"/>
      <c r="M116" s="230"/>
      <c r="N116" s="230"/>
      <c r="O116" s="230"/>
    </row>
    <row r="117" spans="1:15">
      <c r="A117" s="230"/>
      <c r="B117" s="230"/>
      <c r="C117" s="230"/>
      <c r="D117" s="230"/>
      <c r="E117" s="230"/>
      <c r="F117" s="230"/>
      <c r="G117" s="230"/>
      <c r="H117" s="230"/>
      <c r="I117" s="230"/>
      <c r="J117" s="230"/>
      <c r="K117" s="230"/>
      <c r="L117" s="230"/>
      <c r="M117" s="230"/>
      <c r="N117" s="230"/>
      <c r="O117" s="230"/>
    </row>
    <row r="118" spans="1:15">
      <c r="A118" s="230"/>
      <c r="B118" s="230"/>
      <c r="C118" s="230"/>
      <c r="D118" s="230"/>
      <c r="E118" s="230"/>
      <c r="F118" s="230"/>
      <c r="G118" s="230"/>
      <c r="H118" s="230"/>
      <c r="I118" s="230"/>
      <c r="J118" s="230"/>
      <c r="K118" s="230"/>
      <c r="L118" s="230"/>
      <c r="M118" s="230"/>
      <c r="N118" s="230"/>
      <c r="O118" s="230"/>
    </row>
    <row r="119" spans="1:15">
      <c r="A119" s="230"/>
      <c r="B119" s="230"/>
      <c r="C119" s="230"/>
      <c r="D119" s="230"/>
      <c r="E119" s="230"/>
      <c r="F119" s="230"/>
      <c r="G119" s="230"/>
      <c r="H119" s="230"/>
      <c r="I119" s="230"/>
      <c r="J119" s="230"/>
      <c r="K119" s="230"/>
      <c r="L119" s="230"/>
      <c r="M119" s="230"/>
      <c r="N119" s="230"/>
      <c r="O119" s="230"/>
    </row>
    <row r="120" spans="1:15">
      <c r="A120" s="230"/>
      <c r="B120" s="230"/>
      <c r="C120" s="230"/>
      <c r="D120" s="230"/>
      <c r="E120" s="230"/>
      <c r="F120" s="230"/>
      <c r="G120" s="230"/>
      <c r="H120" s="230"/>
      <c r="I120" s="230"/>
      <c r="J120" s="230"/>
      <c r="K120" s="230"/>
      <c r="L120" s="230"/>
      <c r="M120" s="230"/>
      <c r="N120" s="230"/>
      <c r="O120" s="230"/>
    </row>
    <row r="121" spans="1:15">
      <c r="A121" s="230"/>
      <c r="B121" s="230"/>
      <c r="C121" s="230"/>
      <c r="D121" s="230"/>
      <c r="E121" s="230"/>
      <c r="F121" s="230"/>
      <c r="G121" s="230"/>
      <c r="H121" s="230"/>
      <c r="I121" s="230"/>
      <c r="J121" s="230"/>
      <c r="K121" s="230"/>
      <c r="L121" s="230"/>
      <c r="M121" s="230"/>
      <c r="N121" s="230"/>
      <c r="O121" s="230"/>
    </row>
    <row r="122" spans="1:15">
      <c r="A122" s="230"/>
      <c r="B122" s="230"/>
      <c r="C122" s="230"/>
      <c r="D122" s="230"/>
      <c r="E122" s="230"/>
      <c r="F122" s="230"/>
      <c r="G122" s="230"/>
      <c r="H122" s="230"/>
      <c r="I122" s="230"/>
      <c r="J122" s="230"/>
      <c r="K122" s="230"/>
      <c r="L122" s="230"/>
      <c r="M122" s="230"/>
      <c r="N122" s="230"/>
      <c r="O122" s="230"/>
    </row>
    <row r="123" spans="1:15">
      <c r="A123" s="230"/>
      <c r="B123" s="230"/>
      <c r="C123" s="230"/>
      <c r="D123" s="230"/>
      <c r="E123" s="230"/>
      <c r="F123" s="230"/>
      <c r="G123" s="230"/>
      <c r="H123" s="230"/>
      <c r="I123" s="230"/>
      <c r="J123" s="230"/>
      <c r="K123" s="230"/>
      <c r="L123" s="230"/>
      <c r="M123" s="230"/>
      <c r="N123" s="230"/>
      <c r="O123" s="230"/>
    </row>
    <row r="124" spans="1:15">
      <c r="A124" s="230"/>
      <c r="B124" s="230"/>
      <c r="C124" s="230"/>
      <c r="D124" s="230"/>
      <c r="E124" s="230"/>
      <c r="F124" s="230"/>
      <c r="G124" s="230"/>
      <c r="H124" s="230"/>
      <c r="I124" s="230"/>
      <c r="J124" s="230"/>
      <c r="K124" s="230"/>
      <c r="L124" s="230"/>
      <c r="M124" s="230"/>
      <c r="N124" s="230"/>
      <c r="O124" s="230"/>
    </row>
    <row r="125" spans="1:15">
      <c r="A125" s="230"/>
      <c r="B125" s="230"/>
      <c r="C125" s="230"/>
      <c r="D125" s="230"/>
      <c r="E125" s="230"/>
      <c r="F125" s="230"/>
      <c r="G125" s="230"/>
      <c r="H125" s="230"/>
      <c r="I125" s="230"/>
      <c r="J125" s="230"/>
      <c r="K125" s="230"/>
      <c r="L125" s="230"/>
      <c r="M125" s="230"/>
      <c r="N125" s="230"/>
      <c r="O125" s="230"/>
    </row>
    <row r="126" spans="1:15">
      <c r="A126" s="230"/>
      <c r="B126" s="230"/>
      <c r="C126" s="230"/>
      <c r="D126" s="230"/>
      <c r="E126" s="230"/>
      <c r="F126" s="230"/>
      <c r="G126" s="230"/>
      <c r="H126" s="230"/>
      <c r="I126" s="230"/>
      <c r="J126" s="230"/>
      <c r="K126" s="230"/>
      <c r="L126" s="230"/>
      <c r="M126" s="230"/>
      <c r="N126" s="230"/>
      <c r="O126" s="230"/>
    </row>
    <row r="127" spans="1:15">
      <c r="A127" s="230"/>
      <c r="B127" s="230"/>
      <c r="C127" s="230"/>
      <c r="D127" s="230"/>
      <c r="E127" s="230"/>
      <c r="F127" s="230"/>
      <c r="G127" s="230"/>
      <c r="H127" s="230"/>
      <c r="I127" s="230"/>
      <c r="J127" s="230"/>
      <c r="K127" s="230"/>
      <c r="L127" s="230"/>
      <c r="M127" s="230"/>
      <c r="N127" s="230"/>
      <c r="O127" s="230"/>
    </row>
    <row r="128" spans="1:15">
      <c r="A128" s="230"/>
      <c r="B128" s="230"/>
      <c r="C128" s="230"/>
      <c r="D128" s="230"/>
      <c r="E128" s="230"/>
      <c r="F128" s="230"/>
      <c r="G128" s="230"/>
      <c r="H128" s="230"/>
      <c r="I128" s="230"/>
      <c r="J128" s="230"/>
      <c r="K128" s="230"/>
      <c r="L128" s="230"/>
      <c r="M128" s="230"/>
      <c r="N128" s="230"/>
      <c r="O128" s="230"/>
    </row>
    <row r="129" spans="1:15">
      <c r="A129" s="230"/>
      <c r="B129" s="230"/>
      <c r="C129" s="230"/>
      <c r="D129" s="230"/>
      <c r="E129" s="230"/>
      <c r="F129" s="230"/>
      <c r="G129" s="230"/>
      <c r="H129" s="230"/>
      <c r="I129" s="230"/>
      <c r="J129" s="230"/>
      <c r="K129" s="230"/>
      <c r="L129" s="230"/>
      <c r="M129" s="230"/>
      <c r="N129" s="230"/>
      <c r="O129" s="230"/>
    </row>
    <row r="130" spans="1:15">
      <c r="A130" s="230"/>
      <c r="B130" s="230"/>
      <c r="C130" s="230"/>
      <c r="D130" s="230"/>
      <c r="E130" s="230"/>
      <c r="F130" s="230"/>
      <c r="G130" s="230"/>
      <c r="H130" s="230"/>
      <c r="I130" s="230"/>
      <c r="J130" s="230"/>
      <c r="K130" s="230"/>
      <c r="L130" s="230"/>
      <c r="M130" s="230"/>
      <c r="N130" s="230"/>
      <c r="O130" s="230"/>
    </row>
    <row r="131" spans="1:15">
      <c r="A131" s="230"/>
      <c r="B131" s="230"/>
      <c r="C131" s="230"/>
      <c r="D131" s="230"/>
      <c r="E131" s="230"/>
      <c r="F131" s="230"/>
      <c r="G131" s="230"/>
      <c r="H131" s="230"/>
      <c r="I131" s="230"/>
      <c r="J131" s="230"/>
      <c r="K131" s="230"/>
      <c r="L131" s="230"/>
      <c r="M131" s="230"/>
      <c r="N131" s="230"/>
      <c r="O131" s="230"/>
    </row>
    <row r="132" spans="1:15">
      <c r="A132" s="230"/>
      <c r="B132" s="230"/>
      <c r="C132" s="230"/>
      <c r="D132" s="230"/>
      <c r="E132" s="230"/>
      <c r="F132" s="230"/>
      <c r="G132" s="230"/>
      <c r="H132" s="230"/>
      <c r="I132" s="230"/>
      <c r="J132" s="230"/>
      <c r="K132" s="230"/>
      <c r="L132" s="230"/>
      <c r="M132" s="230"/>
      <c r="N132" s="230"/>
      <c r="O132" s="230"/>
    </row>
    <row r="133" spans="1:15">
      <c r="A133" s="230"/>
      <c r="B133" s="230"/>
      <c r="C133" s="230"/>
      <c r="D133" s="230"/>
      <c r="E133" s="230"/>
      <c r="F133" s="230"/>
      <c r="G133" s="230"/>
      <c r="H133" s="230"/>
      <c r="I133" s="230"/>
      <c r="J133" s="230"/>
      <c r="K133" s="230"/>
      <c r="L133" s="230"/>
      <c r="M133" s="230"/>
      <c r="N133" s="230"/>
      <c r="O133" s="230"/>
    </row>
    <row r="134" spans="1:15">
      <c r="A134" s="230"/>
      <c r="B134" s="230"/>
      <c r="C134" s="230"/>
      <c r="D134" s="230"/>
      <c r="E134" s="230"/>
      <c r="F134" s="230"/>
      <c r="G134" s="230"/>
      <c r="H134" s="230"/>
      <c r="I134" s="230"/>
      <c r="J134" s="230"/>
      <c r="K134" s="230"/>
      <c r="L134" s="230"/>
      <c r="M134" s="230"/>
      <c r="N134" s="230"/>
      <c r="O134" s="230"/>
    </row>
    <row r="135" spans="1:15">
      <c r="A135" s="230"/>
      <c r="B135" s="230"/>
      <c r="C135" s="230"/>
      <c r="D135" s="230"/>
      <c r="E135" s="230"/>
      <c r="F135" s="230"/>
      <c r="G135" s="230"/>
      <c r="H135" s="230"/>
      <c r="I135" s="230"/>
      <c r="J135" s="230"/>
      <c r="K135" s="230"/>
      <c r="L135" s="230"/>
      <c r="M135" s="230"/>
      <c r="N135" s="230"/>
      <c r="O135" s="230"/>
    </row>
    <row r="136" spans="1:15">
      <c r="A136" s="230"/>
      <c r="B136" s="230"/>
      <c r="C136" s="230"/>
      <c r="D136" s="230"/>
      <c r="E136" s="230"/>
      <c r="F136" s="230"/>
      <c r="G136" s="230"/>
      <c r="H136" s="230"/>
      <c r="I136" s="230"/>
      <c r="J136" s="230"/>
      <c r="K136" s="230"/>
      <c r="L136" s="230"/>
      <c r="M136" s="230"/>
      <c r="N136" s="230"/>
      <c r="O136" s="230"/>
    </row>
    <row r="137" spans="1:15">
      <c r="A137" s="230"/>
      <c r="B137" s="230"/>
      <c r="C137" s="230"/>
      <c r="D137" s="230"/>
      <c r="E137" s="230"/>
      <c r="F137" s="230"/>
      <c r="G137" s="230"/>
      <c r="H137" s="230"/>
      <c r="I137" s="230"/>
      <c r="J137" s="230"/>
      <c r="K137" s="230"/>
      <c r="L137" s="230"/>
      <c r="M137" s="230"/>
      <c r="N137" s="230"/>
      <c r="O137" s="230"/>
    </row>
    <row r="138" spans="1:15">
      <c r="A138" s="230"/>
      <c r="B138" s="230"/>
      <c r="C138" s="230"/>
      <c r="D138" s="230"/>
      <c r="E138" s="230"/>
      <c r="F138" s="230"/>
      <c r="G138" s="230"/>
      <c r="H138" s="230"/>
      <c r="I138" s="230"/>
      <c r="J138" s="230"/>
      <c r="K138" s="230"/>
      <c r="L138" s="230"/>
      <c r="M138" s="230"/>
      <c r="N138" s="230"/>
      <c r="O138" s="230"/>
    </row>
    <row r="139" spans="1:15">
      <c r="A139" s="230"/>
      <c r="B139" s="230"/>
      <c r="C139" s="230"/>
      <c r="D139" s="230"/>
      <c r="E139" s="230"/>
      <c r="F139" s="230"/>
      <c r="G139" s="230"/>
      <c r="H139" s="230"/>
      <c r="I139" s="230"/>
      <c r="J139" s="230"/>
      <c r="K139" s="230"/>
      <c r="L139" s="230"/>
      <c r="M139" s="230"/>
      <c r="N139" s="230"/>
      <c r="O139" s="230"/>
    </row>
    <row r="140" spans="1:15">
      <c r="A140" s="230"/>
      <c r="B140" s="230"/>
      <c r="C140" s="230"/>
      <c r="D140" s="230"/>
      <c r="E140" s="230"/>
      <c r="F140" s="230"/>
      <c r="G140" s="230"/>
      <c r="H140" s="230"/>
      <c r="I140" s="230"/>
      <c r="J140" s="230"/>
      <c r="K140" s="230"/>
      <c r="L140" s="230"/>
      <c r="M140" s="230"/>
      <c r="N140" s="230"/>
      <c r="O140" s="230"/>
    </row>
    <row r="141" spans="1:15">
      <c r="A141" s="230"/>
      <c r="B141" s="230"/>
      <c r="C141" s="230"/>
      <c r="D141" s="230"/>
      <c r="E141" s="230"/>
      <c r="F141" s="230"/>
      <c r="G141" s="230"/>
      <c r="H141" s="230"/>
      <c r="I141" s="230"/>
      <c r="J141" s="230"/>
      <c r="K141" s="230"/>
      <c r="L141" s="230"/>
      <c r="M141" s="230"/>
      <c r="N141" s="230"/>
      <c r="O141" s="230"/>
    </row>
    <row r="142" spans="1:15">
      <c r="A142" s="230"/>
      <c r="B142" s="230"/>
      <c r="C142" s="230"/>
      <c r="D142" s="230"/>
      <c r="E142" s="230"/>
      <c r="F142" s="230"/>
      <c r="G142" s="230"/>
      <c r="H142" s="230"/>
      <c r="I142" s="230"/>
      <c r="J142" s="230"/>
      <c r="K142" s="230"/>
      <c r="L142" s="230"/>
      <c r="M142" s="230"/>
      <c r="N142" s="230"/>
      <c r="O142" s="230"/>
    </row>
    <row r="143" spans="1:15">
      <c r="A143" s="230"/>
      <c r="B143" s="230"/>
      <c r="C143" s="230"/>
      <c r="D143" s="230"/>
      <c r="E143" s="230"/>
      <c r="F143" s="230"/>
      <c r="G143" s="230"/>
      <c r="H143" s="230"/>
      <c r="I143" s="230"/>
      <c r="J143" s="230"/>
      <c r="K143" s="230"/>
      <c r="L143" s="230"/>
      <c r="M143" s="230"/>
      <c r="N143" s="230"/>
      <c r="O143" s="230"/>
    </row>
    <row r="144" spans="1:15">
      <c r="A144" s="230"/>
      <c r="B144" s="230"/>
      <c r="C144" s="230"/>
      <c r="D144" s="230"/>
      <c r="E144" s="230"/>
      <c r="F144" s="230"/>
      <c r="G144" s="230"/>
      <c r="H144" s="230"/>
      <c r="I144" s="230"/>
      <c r="J144" s="230"/>
      <c r="K144" s="230"/>
      <c r="L144" s="230"/>
      <c r="M144" s="230"/>
      <c r="N144" s="230"/>
      <c r="O144" s="230"/>
    </row>
    <row r="145" spans="1:15">
      <c r="A145" s="230"/>
      <c r="B145" s="230"/>
      <c r="C145" s="230"/>
      <c r="D145" s="230"/>
      <c r="E145" s="230"/>
      <c r="F145" s="230"/>
      <c r="G145" s="230"/>
      <c r="H145" s="230"/>
      <c r="I145" s="230"/>
      <c r="J145" s="230"/>
      <c r="K145" s="230"/>
      <c r="L145" s="230"/>
      <c r="M145" s="230"/>
      <c r="N145" s="230"/>
      <c r="O145" s="230"/>
    </row>
    <row r="146" spans="1:15">
      <c r="A146" s="230"/>
      <c r="B146" s="230"/>
      <c r="C146" s="230"/>
      <c r="D146" s="230"/>
      <c r="E146" s="230"/>
      <c r="F146" s="230"/>
      <c r="G146" s="230"/>
      <c r="H146" s="230"/>
      <c r="I146" s="230"/>
      <c r="J146" s="230"/>
      <c r="K146" s="230"/>
      <c r="L146" s="230"/>
      <c r="M146" s="230"/>
      <c r="N146" s="230"/>
      <c r="O146" s="230"/>
    </row>
    <row r="147" spans="1:15">
      <c r="A147" s="230"/>
      <c r="B147" s="230"/>
      <c r="C147" s="230"/>
      <c r="D147" s="230"/>
      <c r="E147" s="230"/>
      <c r="F147" s="230"/>
      <c r="G147" s="230"/>
      <c r="H147" s="230"/>
      <c r="I147" s="230"/>
      <c r="J147" s="230"/>
      <c r="K147" s="230"/>
      <c r="L147" s="230"/>
      <c r="M147" s="230"/>
      <c r="N147" s="230"/>
      <c r="O147" s="230"/>
    </row>
    <row r="148" spans="1:15">
      <c r="A148" s="230"/>
      <c r="B148" s="230"/>
      <c r="C148" s="230"/>
      <c r="D148" s="230"/>
      <c r="E148" s="230"/>
      <c r="F148" s="230"/>
      <c r="G148" s="230"/>
      <c r="H148" s="230"/>
      <c r="I148" s="230"/>
      <c r="J148" s="230"/>
      <c r="K148" s="230"/>
      <c r="L148" s="230"/>
      <c r="M148" s="230"/>
      <c r="N148" s="230"/>
      <c r="O148" s="230"/>
    </row>
    <row r="149" spans="1:15">
      <c r="A149" s="230"/>
      <c r="B149" s="230"/>
      <c r="C149" s="230"/>
      <c r="D149" s="230"/>
      <c r="E149" s="230"/>
      <c r="F149" s="230"/>
      <c r="G149" s="230"/>
      <c r="H149" s="230"/>
      <c r="I149" s="230"/>
      <c r="J149" s="230"/>
      <c r="K149" s="230"/>
      <c r="L149" s="230"/>
      <c r="M149" s="230"/>
      <c r="N149" s="230"/>
      <c r="O149" s="230"/>
    </row>
    <row r="150" spans="1:15">
      <c r="A150" s="230"/>
      <c r="B150" s="230"/>
      <c r="C150" s="230"/>
      <c r="D150" s="230"/>
      <c r="E150" s="230"/>
      <c r="F150" s="230"/>
      <c r="G150" s="230"/>
      <c r="H150" s="230"/>
      <c r="I150" s="230"/>
      <c r="J150" s="230"/>
      <c r="K150" s="230"/>
      <c r="L150" s="230"/>
      <c r="M150" s="230"/>
      <c r="N150" s="230"/>
      <c r="O150" s="230"/>
    </row>
    <row r="151" spans="1:15">
      <c r="A151" s="230"/>
      <c r="B151" s="230"/>
      <c r="C151" s="230"/>
      <c r="D151" s="230"/>
      <c r="E151" s="230"/>
      <c r="F151" s="230"/>
      <c r="G151" s="230"/>
      <c r="H151" s="230"/>
      <c r="I151" s="230"/>
      <c r="J151" s="230"/>
      <c r="K151" s="230"/>
      <c r="L151" s="230"/>
      <c r="M151" s="230"/>
      <c r="N151" s="230"/>
      <c r="O151" s="230"/>
    </row>
    <row r="152" spans="1:15">
      <c r="A152" s="230"/>
      <c r="B152" s="230"/>
      <c r="C152" s="230"/>
      <c r="D152" s="230"/>
      <c r="E152" s="230"/>
      <c r="F152" s="230"/>
      <c r="G152" s="230"/>
      <c r="H152" s="230"/>
      <c r="I152" s="230"/>
      <c r="J152" s="230"/>
      <c r="K152" s="230"/>
      <c r="L152" s="230"/>
      <c r="M152" s="230"/>
      <c r="N152" s="230"/>
      <c r="O152" s="230"/>
    </row>
    <row r="153" spans="1:15">
      <c r="A153" s="230"/>
      <c r="B153" s="230"/>
      <c r="C153" s="230"/>
      <c r="D153" s="230"/>
      <c r="E153" s="230"/>
      <c r="F153" s="230"/>
      <c r="G153" s="230"/>
      <c r="H153" s="230"/>
      <c r="I153" s="230"/>
      <c r="J153" s="230"/>
      <c r="K153" s="230"/>
      <c r="L153" s="230"/>
      <c r="M153" s="230"/>
      <c r="N153" s="230"/>
      <c r="O153" s="230"/>
    </row>
    <row r="154" spans="1:15">
      <c r="A154" s="230"/>
      <c r="B154" s="230"/>
      <c r="C154" s="230"/>
      <c r="D154" s="230"/>
      <c r="E154" s="230"/>
      <c r="F154" s="230"/>
      <c r="G154" s="230"/>
      <c r="H154" s="230"/>
      <c r="I154" s="230"/>
      <c r="J154" s="230"/>
      <c r="K154" s="230"/>
      <c r="L154" s="230"/>
      <c r="M154" s="230"/>
      <c r="N154" s="230"/>
      <c r="O154" s="230"/>
    </row>
    <row r="155" spans="1:15">
      <c r="A155" s="230"/>
      <c r="B155" s="230"/>
      <c r="C155" s="230"/>
      <c r="D155" s="230"/>
      <c r="E155" s="230"/>
      <c r="F155" s="230"/>
      <c r="G155" s="230"/>
      <c r="H155" s="230"/>
      <c r="I155" s="230"/>
      <c r="J155" s="230"/>
      <c r="K155" s="230"/>
      <c r="L155" s="230"/>
      <c r="M155" s="230"/>
      <c r="N155" s="230"/>
      <c r="O155" s="230"/>
    </row>
    <row r="156" spans="1:15">
      <c r="A156" s="230"/>
      <c r="B156" s="230"/>
      <c r="C156" s="230"/>
      <c r="D156" s="230"/>
      <c r="E156" s="230"/>
      <c r="F156" s="230"/>
      <c r="G156" s="230"/>
      <c r="H156" s="230"/>
      <c r="I156" s="230"/>
      <c r="J156" s="230"/>
      <c r="K156" s="230"/>
      <c r="L156" s="230"/>
      <c r="M156" s="230"/>
      <c r="N156" s="230"/>
      <c r="O156" s="230"/>
    </row>
    <row r="157" spans="1:15">
      <c r="A157" s="230"/>
      <c r="B157" s="230"/>
      <c r="C157" s="230"/>
      <c r="D157" s="230"/>
      <c r="E157" s="230"/>
      <c r="F157" s="230"/>
      <c r="G157" s="230"/>
      <c r="H157" s="230"/>
      <c r="I157" s="230"/>
      <c r="J157" s="230"/>
      <c r="K157" s="230"/>
      <c r="L157" s="230"/>
      <c r="M157" s="230"/>
      <c r="N157" s="230"/>
      <c r="O157" s="230"/>
    </row>
    <row r="158" spans="1:15">
      <c r="A158" s="230"/>
      <c r="B158" s="230"/>
      <c r="C158" s="230"/>
      <c r="D158" s="230"/>
      <c r="E158" s="230"/>
      <c r="F158" s="230"/>
      <c r="G158" s="230"/>
      <c r="H158" s="230"/>
      <c r="I158" s="230"/>
      <c r="J158" s="230"/>
      <c r="K158" s="230"/>
      <c r="L158" s="230"/>
      <c r="M158" s="230"/>
      <c r="N158" s="230"/>
      <c r="O158" s="230"/>
    </row>
    <row r="159" spans="1:15">
      <c r="A159" s="230"/>
      <c r="B159" s="230"/>
      <c r="C159" s="230"/>
      <c r="D159" s="230"/>
      <c r="E159" s="230"/>
      <c r="F159" s="230"/>
      <c r="G159" s="230"/>
      <c r="H159" s="230"/>
      <c r="I159" s="230"/>
      <c r="J159" s="230"/>
      <c r="K159" s="230"/>
      <c r="L159" s="230"/>
      <c r="M159" s="230"/>
      <c r="N159" s="230"/>
      <c r="O159" s="230"/>
    </row>
    <row r="160" spans="1:15">
      <c r="A160" s="230"/>
      <c r="B160" s="230"/>
      <c r="C160" s="230"/>
      <c r="D160" s="230"/>
      <c r="E160" s="230"/>
      <c r="F160" s="230"/>
      <c r="G160" s="230"/>
      <c r="H160" s="230"/>
      <c r="I160" s="230"/>
      <c r="J160" s="230"/>
      <c r="K160" s="230"/>
      <c r="L160" s="230"/>
      <c r="M160" s="230"/>
      <c r="N160" s="230"/>
      <c r="O160" s="230"/>
    </row>
    <row r="161" spans="1:15">
      <c r="A161" s="230"/>
      <c r="B161" s="230"/>
      <c r="C161" s="230"/>
      <c r="D161" s="230"/>
      <c r="E161" s="230"/>
      <c r="F161" s="230"/>
      <c r="G161" s="230"/>
      <c r="H161" s="230"/>
      <c r="I161" s="230"/>
      <c r="J161" s="230"/>
      <c r="K161" s="230"/>
      <c r="L161" s="230"/>
      <c r="M161" s="230"/>
      <c r="N161" s="230"/>
      <c r="O161" s="230"/>
    </row>
    <row r="162" spans="1:15">
      <c r="A162" s="230"/>
      <c r="B162" s="230"/>
      <c r="C162" s="230"/>
      <c r="D162" s="230"/>
      <c r="E162" s="230"/>
      <c r="F162" s="230"/>
      <c r="G162" s="230"/>
      <c r="H162" s="230"/>
      <c r="I162" s="230"/>
      <c r="J162" s="230"/>
      <c r="K162" s="230"/>
      <c r="L162" s="230"/>
      <c r="M162" s="230"/>
      <c r="N162" s="230"/>
      <c r="O162" s="230"/>
    </row>
    <row r="163" spans="1:15">
      <c r="A163" s="230"/>
      <c r="B163" s="230"/>
      <c r="C163" s="230"/>
      <c r="D163" s="230"/>
      <c r="E163" s="230"/>
      <c r="F163" s="230"/>
      <c r="G163" s="230"/>
      <c r="H163" s="230"/>
      <c r="I163" s="230"/>
      <c r="J163" s="230"/>
      <c r="K163" s="230"/>
      <c r="L163" s="230"/>
      <c r="M163" s="230"/>
      <c r="N163" s="230"/>
      <c r="O163" s="230"/>
    </row>
    <row r="164" spans="1:15">
      <c r="A164" s="230"/>
      <c r="B164" s="230"/>
      <c r="C164" s="230"/>
      <c r="D164" s="230"/>
      <c r="E164" s="230"/>
      <c r="F164" s="230"/>
      <c r="G164" s="230"/>
      <c r="H164" s="230"/>
      <c r="I164" s="230"/>
      <c r="J164" s="230"/>
      <c r="K164" s="230"/>
      <c r="L164" s="230"/>
      <c r="M164" s="230"/>
      <c r="N164" s="230"/>
      <c r="O164" s="230"/>
    </row>
    <row r="165" spans="1:15">
      <c r="A165" s="230"/>
      <c r="B165" s="230"/>
      <c r="C165" s="230"/>
      <c r="D165" s="230"/>
      <c r="E165" s="230"/>
      <c r="F165" s="230"/>
      <c r="G165" s="230"/>
      <c r="H165" s="230"/>
      <c r="I165" s="230"/>
      <c r="J165" s="230"/>
      <c r="K165" s="230"/>
      <c r="L165" s="230"/>
      <c r="M165" s="230"/>
      <c r="N165" s="230"/>
      <c r="O165" s="230"/>
    </row>
    <row r="166" spans="1:15">
      <c r="A166" s="230"/>
      <c r="B166" s="230"/>
      <c r="C166" s="230"/>
      <c r="D166" s="230"/>
      <c r="E166" s="230"/>
      <c r="F166" s="230"/>
      <c r="G166" s="230"/>
      <c r="H166" s="230"/>
      <c r="I166" s="230"/>
      <c r="J166" s="230"/>
      <c r="K166" s="230"/>
      <c r="L166" s="230"/>
      <c r="M166" s="230"/>
      <c r="N166" s="230"/>
      <c r="O166" s="230"/>
    </row>
    <row r="167" spans="1:15">
      <c r="A167" s="230"/>
      <c r="B167" s="230"/>
      <c r="C167" s="230"/>
      <c r="D167" s="230"/>
      <c r="E167" s="230"/>
      <c r="F167" s="230"/>
      <c r="G167" s="230"/>
      <c r="H167" s="230"/>
      <c r="I167" s="230"/>
      <c r="J167" s="230"/>
      <c r="K167" s="230"/>
      <c r="L167" s="230"/>
      <c r="M167" s="230"/>
      <c r="N167" s="230"/>
      <c r="O167" s="230"/>
    </row>
    <row r="168" spans="1:15">
      <c r="A168" s="230"/>
      <c r="B168" s="230"/>
      <c r="C168" s="230"/>
      <c r="D168" s="230"/>
      <c r="E168" s="230"/>
      <c r="F168" s="230"/>
      <c r="G168" s="230"/>
      <c r="H168" s="230"/>
      <c r="I168" s="230"/>
      <c r="J168" s="230"/>
      <c r="K168" s="230"/>
      <c r="L168" s="230"/>
      <c r="M168" s="230"/>
      <c r="N168" s="230"/>
      <c r="O168" s="230"/>
    </row>
    <row r="169" spans="1:15">
      <c r="A169" s="230"/>
      <c r="B169" s="230"/>
      <c r="C169" s="230"/>
      <c r="D169" s="230"/>
      <c r="E169" s="230"/>
      <c r="F169" s="230"/>
      <c r="G169" s="230"/>
      <c r="H169" s="230"/>
      <c r="I169" s="230"/>
      <c r="J169" s="230"/>
      <c r="K169" s="230"/>
      <c r="L169" s="230"/>
      <c r="M169" s="230"/>
      <c r="N169" s="230"/>
      <c r="O169" s="230"/>
    </row>
    <row r="170" spans="1:15">
      <c r="A170" s="230"/>
      <c r="B170" s="230"/>
      <c r="C170" s="230"/>
      <c r="D170" s="230"/>
      <c r="E170" s="230"/>
      <c r="F170" s="230"/>
      <c r="G170" s="230"/>
      <c r="H170" s="230"/>
      <c r="I170" s="230"/>
      <c r="J170" s="230"/>
      <c r="K170" s="230"/>
      <c r="L170" s="230"/>
      <c r="M170" s="230"/>
      <c r="N170" s="230"/>
      <c r="O170" s="230"/>
    </row>
    <row r="171" spans="1:15">
      <c r="A171" s="230"/>
      <c r="B171" s="230"/>
      <c r="C171" s="230"/>
      <c r="D171" s="230"/>
      <c r="E171" s="230"/>
      <c r="F171" s="230"/>
      <c r="G171" s="230"/>
      <c r="H171" s="230"/>
      <c r="I171" s="230"/>
      <c r="J171" s="230"/>
      <c r="K171" s="230"/>
      <c r="L171" s="230"/>
      <c r="M171" s="230"/>
      <c r="N171" s="230"/>
      <c r="O171" s="230"/>
    </row>
    <row r="172" spans="1:15">
      <c r="A172" s="230"/>
      <c r="B172" s="230"/>
      <c r="C172" s="230"/>
      <c r="D172" s="230"/>
      <c r="E172" s="230"/>
      <c r="F172" s="230"/>
      <c r="G172" s="230"/>
      <c r="H172" s="230"/>
      <c r="I172" s="230"/>
      <c r="J172" s="230"/>
      <c r="K172" s="230"/>
      <c r="L172" s="230"/>
      <c r="M172" s="230"/>
      <c r="N172" s="230"/>
      <c r="O172" s="230"/>
    </row>
    <row r="173" spans="1:15">
      <c r="A173" s="230"/>
      <c r="B173" s="230"/>
      <c r="C173" s="230"/>
      <c r="D173" s="230"/>
      <c r="E173" s="230"/>
      <c r="F173" s="230"/>
      <c r="G173" s="230"/>
      <c r="H173" s="230"/>
      <c r="I173" s="230"/>
      <c r="J173" s="230"/>
      <c r="K173" s="230"/>
      <c r="L173" s="230"/>
      <c r="M173" s="230"/>
      <c r="N173" s="230"/>
      <c r="O173" s="230"/>
    </row>
    <row r="174" spans="1:15">
      <c r="A174" s="230"/>
      <c r="B174" s="230"/>
      <c r="C174" s="230"/>
      <c r="D174" s="230"/>
      <c r="E174" s="230"/>
      <c r="F174" s="230"/>
      <c r="G174" s="230"/>
      <c r="H174" s="230"/>
      <c r="I174" s="230"/>
      <c r="J174" s="230"/>
      <c r="K174" s="230"/>
      <c r="L174" s="230"/>
      <c r="M174" s="230"/>
      <c r="N174" s="230"/>
      <c r="O174" s="230"/>
    </row>
    <row r="175" spans="1:15">
      <c r="A175" s="230"/>
      <c r="B175" s="230"/>
      <c r="C175" s="230"/>
      <c r="D175" s="230"/>
      <c r="E175" s="230"/>
      <c r="F175" s="230"/>
      <c r="G175" s="230"/>
      <c r="H175" s="230"/>
      <c r="I175" s="230"/>
      <c r="J175" s="230"/>
      <c r="K175" s="230"/>
      <c r="L175" s="230"/>
      <c r="M175" s="230"/>
      <c r="N175" s="230"/>
      <c r="O175" s="230"/>
    </row>
    <row r="176" spans="1:15">
      <c r="A176" s="230"/>
      <c r="B176" s="230"/>
      <c r="C176" s="230"/>
      <c r="D176" s="230"/>
      <c r="E176" s="230"/>
      <c r="F176" s="230"/>
      <c r="G176" s="230"/>
      <c r="H176" s="230"/>
      <c r="I176" s="230"/>
      <c r="J176" s="230"/>
      <c r="K176" s="230"/>
      <c r="L176" s="230"/>
      <c r="M176" s="230"/>
      <c r="N176" s="230"/>
      <c r="O176" s="230"/>
    </row>
    <row r="177" spans="1:15">
      <c r="A177" s="230"/>
      <c r="B177" s="230"/>
      <c r="C177" s="230"/>
      <c r="D177" s="230"/>
      <c r="E177" s="230"/>
      <c r="F177" s="230"/>
      <c r="G177" s="230"/>
      <c r="H177" s="230"/>
      <c r="I177" s="230"/>
      <c r="J177" s="230"/>
      <c r="K177" s="230"/>
      <c r="L177" s="230"/>
      <c r="M177" s="230"/>
      <c r="N177" s="230"/>
      <c r="O177" s="230"/>
    </row>
    <row r="178" spans="1:15">
      <c r="A178" s="230"/>
      <c r="B178" s="230"/>
      <c r="C178" s="230"/>
      <c r="D178" s="230"/>
      <c r="E178" s="230"/>
      <c r="F178" s="230"/>
      <c r="G178" s="230"/>
      <c r="H178" s="230"/>
      <c r="I178" s="230"/>
      <c r="J178" s="230"/>
      <c r="K178" s="230"/>
      <c r="L178" s="230"/>
      <c r="M178" s="230"/>
      <c r="N178" s="230"/>
      <c r="O178" s="230"/>
    </row>
    <row r="179" spans="1:15">
      <c r="A179" s="230"/>
      <c r="B179" s="230"/>
      <c r="C179" s="230"/>
      <c r="D179" s="230"/>
      <c r="E179" s="230"/>
      <c r="F179" s="230"/>
      <c r="G179" s="230"/>
      <c r="H179" s="230"/>
      <c r="I179" s="230"/>
      <c r="J179" s="230"/>
      <c r="K179" s="230"/>
      <c r="L179" s="230"/>
      <c r="M179" s="230"/>
      <c r="N179" s="230"/>
      <c r="O179" s="230"/>
    </row>
    <row r="180" spans="1:15">
      <c r="A180" s="230"/>
      <c r="B180" s="230"/>
      <c r="C180" s="230"/>
      <c r="D180" s="230"/>
      <c r="E180" s="230"/>
      <c r="F180" s="230"/>
      <c r="G180" s="230"/>
      <c r="H180" s="230"/>
      <c r="I180" s="230"/>
      <c r="J180" s="230"/>
      <c r="K180" s="230"/>
      <c r="L180" s="230"/>
      <c r="M180" s="230"/>
      <c r="N180" s="230"/>
      <c r="O180" s="230"/>
    </row>
    <row r="181" spans="1:15">
      <c r="A181" s="230"/>
      <c r="B181" s="230"/>
      <c r="C181" s="230"/>
      <c r="D181" s="230"/>
      <c r="E181" s="230"/>
      <c r="F181" s="230"/>
      <c r="G181" s="230"/>
      <c r="H181" s="230"/>
      <c r="I181" s="230"/>
      <c r="J181" s="230"/>
      <c r="K181" s="230"/>
      <c r="L181" s="230"/>
      <c r="M181" s="230"/>
      <c r="N181" s="230"/>
      <c r="O181" s="230"/>
    </row>
    <row r="182" spans="1:15">
      <c r="A182" s="230"/>
      <c r="B182" s="230"/>
      <c r="C182" s="230"/>
      <c r="D182" s="230"/>
      <c r="E182" s="230"/>
      <c r="F182" s="230"/>
      <c r="G182" s="230"/>
      <c r="H182" s="230"/>
      <c r="I182" s="230"/>
      <c r="J182" s="230"/>
      <c r="K182" s="230"/>
      <c r="L182" s="230"/>
      <c r="M182" s="230"/>
      <c r="N182" s="230"/>
      <c r="O182" s="230"/>
    </row>
    <row r="183" spans="1:15">
      <c r="A183" s="230"/>
      <c r="B183" s="230"/>
      <c r="C183" s="230"/>
      <c r="D183" s="230"/>
      <c r="E183" s="230"/>
      <c r="F183" s="230"/>
      <c r="G183" s="230"/>
      <c r="H183" s="230"/>
      <c r="I183" s="230"/>
      <c r="J183" s="230"/>
      <c r="K183" s="230"/>
      <c r="L183" s="230"/>
      <c r="M183" s="230"/>
      <c r="N183" s="230"/>
      <c r="O183" s="230"/>
    </row>
    <row r="184" spans="1:15">
      <c r="A184" s="230"/>
      <c r="B184" s="230"/>
      <c r="C184" s="230"/>
      <c r="D184" s="230"/>
      <c r="E184" s="230"/>
      <c r="F184" s="230"/>
      <c r="G184" s="230"/>
      <c r="H184" s="230"/>
      <c r="I184" s="230"/>
      <c r="J184" s="230"/>
      <c r="K184" s="230"/>
      <c r="L184" s="230"/>
      <c r="M184" s="230"/>
      <c r="N184" s="230"/>
      <c r="O184" s="230"/>
    </row>
    <row r="185" spans="1:15">
      <c r="A185" s="230"/>
      <c r="B185" s="230"/>
      <c r="C185" s="230"/>
      <c r="D185" s="230"/>
      <c r="E185" s="230"/>
      <c r="F185" s="230"/>
      <c r="G185" s="230"/>
      <c r="H185" s="230"/>
      <c r="I185" s="230"/>
      <c r="J185" s="230"/>
      <c r="K185" s="230"/>
      <c r="L185" s="230"/>
      <c r="M185" s="230"/>
      <c r="N185" s="230"/>
      <c r="O185" s="230"/>
    </row>
    <row r="186" spans="1:15">
      <c r="A186" s="230"/>
      <c r="B186" s="230"/>
      <c r="C186" s="230"/>
      <c r="D186" s="230"/>
      <c r="E186" s="230"/>
      <c r="F186" s="230"/>
      <c r="G186" s="230"/>
      <c r="H186" s="230"/>
      <c r="I186" s="230"/>
      <c r="J186" s="230"/>
      <c r="K186" s="230"/>
      <c r="L186" s="230"/>
      <c r="M186" s="230"/>
      <c r="N186" s="230"/>
      <c r="O186" s="230"/>
    </row>
    <row r="187" spans="1:15">
      <c r="A187" s="230"/>
      <c r="B187" s="230"/>
      <c r="C187" s="230"/>
      <c r="D187" s="230"/>
      <c r="E187" s="230"/>
      <c r="F187" s="230"/>
      <c r="G187" s="230"/>
      <c r="H187" s="230"/>
      <c r="I187" s="230"/>
      <c r="J187" s="230"/>
      <c r="K187" s="230"/>
      <c r="L187" s="230"/>
      <c r="M187" s="230"/>
      <c r="N187" s="230"/>
      <c r="O187" s="230"/>
    </row>
    <row r="188" spans="1:15">
      <c r="A188" s="230"/>
      <c r="B188" s="230"/>
      <c r="C188" s="230"/>
      <c r="D188" s="230"/>
      <c r="E188" s="230"/>
      <c r="F188" s="230"/>
      <c r="G188" s="230"/>
      <c r="H188" s="230"/>
      <c r="I188" s="230"/>
      <c r="J188" s="230"/>
      <c r="K188" s="230"/>
      <c r="L188" s="230"/>
      <c r="M188" s="230"/>
      <c r="N188" s="230"/>
      <c r="O188" s="230"/>
    </row>
    <row r="189" spans="1:15">
      <c r="A189" s="230"/>
      <c r="B189" s="230"/>
      <c r="C189" s="230"/>
      <c r="D189" s="230"/>
      <c r="E189" s="230"/>
      <c r="F189" s="230"/>
      <c r="G189" s="230"/>
      <c r="H189" s="230"/>
      <c r="I189" s="230"/>
      <c r="J189" s="230"/>
      <c r="K189" s="230"/>
      <c r="L189" s="230"/>
      <c r="M189" s="230"/>
      <c r="N189" s="230"/>
      <c r="O189" s="230"/>
    </row>
    <row r="190" spans="1:15">
      <c r="A190" s="230"/>
      <c r="B190" s="230"/>
      <c r="C190" s="230"/>
      <c r="D190" s="230"/>
      <c r="E190" s="230"/>
      <c r="F190" s="230"/>
      <c r="G190" s="230"/>
      <c r="H190" s="230"/>
      <c r="I190" s="230"/>
      <c r="J190" s="230"/>
      <c r="K190" s="230"/>
      <c r="L190" s="230"/>
      <c r="M190" s="230"/>
      <c r="N190" s="230"/>
      <c r="O190" s="230"/>
    </row>
    <row r="191" spans="1:15">
      <c r="A191" s="230"/>
      <c r="B191" s="230"/>
      <c r="C191" s="230"/>
      <c r="D191" s="230"/>
      <c r="E191" s="230"/>
      <c r="F191" s="230"/>
      <c r="G191" s="230"/>
      <c r="H191" s="230"/>
      <c r="I191" s="230"/>
      <c r="J191" s="230"/>
      <c r="K191" s="230"/>
      <c r="L191" s="230"/>
      <c r="M191" s="230"/>
      <c r="N191" s="230"/>
      <c r="O191" s="230"/>
    </row>
    <row r="192" spans="1:15">
      <c r="A192" s="230"/>
      <c r="B192" s="230"/>
      <c r="C192" s="230"/>
      <c r="D192" s="230"/>
      <c r="E192" s="230"/>
      <c r="F192" s="230"/>
      <c r="G192" s="230"/>
      <c r="H192" s="230"/>
      <c r="I192" s="230"/>
      <c r="J192" s="230"/>
      <c r="K192" s="230"/>
      <c r="L192" s="230"/>
      <c r="M192" s="230"/>
      <c r="N192" s="230"/>
      <c r="O192" s="230"/>
    </row>
    <row r="193" spans="1:15">
      <c r="A193" s="230"/>
      <c r="B193" s="230"/>
      <c r="C193" s="230"/>
      <c r="D193" s="230"/>
      <c r="E193" s="230"/>
      <c r="F193" s="230"/>
      <c r="G193" s="230"/>
      <c r="H193" s="230"/>
      <c r="I193" s="230"/>
      <c r="J193" s="230"/>
      <c r="K193" s="230"/>
      <c r="L193" s="230"/>
      <c r="M193" s="230"/>
      <c r="N193" s="230"/>
      <c r="O193" s="230"/>
    </row>
    <row r="194" spans="1:15">
      <c r="A194" s="230"/>
      <c r="B194" s="230"/>
      <c r="C194" s="230"/>
      <c r="D194" s="230"/>
      <c r="E194" s="230"/>
      <c r="F194" s="230"/>
      <c r="G194" s="230"/>
      <c r="H194" s="230"/>
      <c r="I194" s="230"/>
      <c r="J194" s="230"/>
      <c r="K194" s="230"/>
      <c r="L194" s="230"/>
      <c r="M194" s="230"/>
      <c r="N194" s="230"/>
      <c r="O194" s="230"/>
    </row>
    <row r="195" spans="1:15">
      <c r="A195" s="230"/>
      <c r="B195" s="230"/>
      <c r="C195" s="230"/>
      <c r="D195" s="230"/>
      <c r="E195" s="230"/>
      <c r="F195" s="230"/>
      <c r="G195" s="230"/>
      <c r="H195" s="230"/>
      <c r="I195" s="230"/>
      <c r="J195" s="230"/>
      <c r="K195" s="230"/>
      <c r="L195" s="230"/>
      <c r="M195" s="230"/>
      <c r="N195" s="230"/>
      <c r="O195" s="230"/>
    </row>
    <row r="196" spans="1:15">
      <c r="A196" s="230"/>
      <c r="B196" s="230"/>
      <c r="C196" s="230"/>
      <c r="D196" s="230"/>
      <c r="E196" s="230"/>
      <c r="F196" s="230"/>
      <c r="G196" s="230"/>
      <c r="H196" s="230"/>
      <c r="I196" s="230"/>
      <c r="J196" s="230"/>
      <c r="K196" s="230"/>
      <c r="L196" s="230"/>
      <c r="M196" s="230"/>
      <c r="N196" s="230"/>
      <c r="O196" s="230"/>
    </row>
    <row r="197" spans="1:15">
      <c r="A197" s="230"/>
      <c r="B197" s="230"/>
      <c r="C197" s="230"/>
      <c r="D197" s="230"/>
      <c r="E197" s="230"/>
      <c r="F197" s="230"/>
      <c r="G197" s="230"/>
      <c r="H197" s="230"/>
      <c r="I197" s="230"/>
      <c r="J197" s="230"/>
      <c r="K197" s="230"/>
      <c r="L197" s="230"/>
      <c r="M197" s="230"/>
      <c r="N197" s="230"/>
      <c r="O197" s="230"/>
    </row>
    <row r="198" spans="1:15">
      <c r="A198" s="230"/>
      <c r="B198" s="230"/>
      <c r="C198" s="230"/>
      <c r="D198" s="230"/>
      <c r="E198" s="230"/>
      <c r="F198" s="230"/>
      <c r="G198" s="230"/>
      <c r="H198" s="230"/>
      <c r="I198" s="230"/>
      <c r="J198" s="230"/>
      <c r="K198" s="230"/>
      <c r="L198" s="230"/>
      <c r="M198" s="230"/>
      <c r="N198" s="230"/>
      <c r="O198" s="230"/>
    </row>
    <row r="199" spans="1:15">
      <c r="A199" s="230"/>
      <c r="B199" s="230"/>
      <c r="C199" s="230"/>
      <c r="D199" s="230"/>
      <c r="E199" s="230"/>
      <c r="F199" s="230"/>
      <c r="G199" s="230"/>
      <c r="H199" s="230"/>
      <c r="I199" s="230"/>
      <c r="J199" s="230"/>
      <c r="K199" s="230"/>
      <c r="L199" s="230"/>
      <c r="M199" s="230"/>
      <c r="N199" s="230"/>
      <c r="O199" s="230"/>
    </row>
    <row r="200" spans="1:15">
      <c r="A200" s="230"/>
      <c r="B200" s="230"/>
      <c r="C200" s="230"/>
      <c r="D200" s="230"/>
      <c r="E200" s="230"/>
      <c r="F200" s="230"/>
      <c r="G200" s="230"/>
      <c r="H200" s="230"/>
      <c r="I200" s="230"/>
      <c r="J200" s="230"/>
      <c r="K200" s="230"/>
      <c r="L200" s="230"/>
      <c r="M200" s="230"/>
      <c r="N200" s="230"/>
      <c r="O200" s="230"/>
    </row>
    <row r="201" spans="1:15">
      <c r="A201" s="230"/>
      <c r="B201" s="230"/>
      <c r="C201" s="230"/>
      <c r="D201" s="230"/>
      <c r="E201" s="230"/>
      <c r="F201" s="230"/>
      <c r="G201" s="230"/>
      <c r="H201" s="230"/>
      <c r="I201" s="230"/>
      <c r="J201" s="230"/>
      <c r="K201" s="230"/>
      <c r="L201" s="230"/>
      <c r="M201" s="230"/>
      <c r="N201" s="230"/>
      <c r="O201" s="230"/>
    </row>
    <row r="202" spans="1:15">
      <c r="A202" s="230"/>
      <c r="B202" s="230"/>
      <c r="C202" s="230"/>
      <c r="D202" s="230"/>
      <c r="E202" s="230"/>
      <c r="F202" s="230"/>
      <c r="G202" s="230"/>
      <c r="H202" s="230"/>
      <c r="I202" s="230"/>
      <c r="J202" s="230"/>
      <c r="K202" s="230"/>
      <c r="L202" s="230"/>
      <c r="M202" s="230"/>
      <c r="N202" s="230"/>
      <c r="O202" s="230"/>
    </row>
    <row r="203" spans="1:15">
      <c r="A203" s="230"/>
      <c r="B203" s="230"/>
      <c r="C203" s="230"/>
      <c r="D203" s="230"/>
      <c r="E203" s="230"/>
      <c r="F203" s="230"/>
      <c r="G203" s="230"/>
      <c r="H203" s="230"/>
      <c r="I203" s="230"/>
      <c r="J203" s="230"/>
      <c r="K203" s="230"/>
      <c r="L203" s="230"/>
      <c r="M203" s="230"/>
      <c r="N203" s="230"/>
      <c r="O203" s="230"/>
    </row>
    <row r="204" spans="1:15">
      <c r="A204" s="230"/>
      <c r="B204" s="230"/>
      <c r="C204" s="230"/>
      <c r="D204" s="230"/>
      <c r="E204" s="230"/>
      <c r="F204" s="230"/>
      <c r="G204" s="230"/>
      <c r="H204" s="230"/>
      <c r="I204" s="230"/>
      <c r="J204" s="230"/>
      <c r="K204" s="230"/>
      <c r="L204" s="230"/>
      <c r="M204" s="230"/>
      <c r="N204" s="230"/>
      <c r="O204" s="230"/>
    </row>
    <row r="205" spans="1:15">
      <c r="A205" s="230"/>
      <c r="B205" s="230"/>
      <c r="C205" s="230"/>
      <c r="D205" s="230"/>
      <c r="E205" s="230"/>
      <c r="F205" s="230"/>
      <c r="G205" s="230"/>
      <c r="H205" s="230"/>
      <c r="I205" s="230"/>
      <c r="J205" s="230"/>
      <c r="K205" s="230"/>
      <c r="L205" s="230"/>
      <c r="M205" s="230"/>
      <c r="N205" s="230"/>
      <c r="O205" s="230"/>
    </row>
    <row r="206" spans="1:15">
      <c r="A206" s="230"/>
      <c r="B206" s="230"/>
      <c r="C206" s="230"/>
      <c r="D206" s="230"/>
      <c r="E206" s="230"/>
      <c r="F206" s="230"/>
      <c r="G206" s="230"/>
      <c r="H206" s="230"/>
      <c r="I206" s="230"/>
      <c r="J206" s="230"/>
      <c r="K206" s="230"/>
      <c r="L206" s="230"/>
      <c r="M206" s="230"/>
      <c r="N206" s="230"/>
      <c r="O206" s="230"/>
    </row>
    <row r="207" spans="1:15">
      <c r="A207" s="230"/>
      <c r="B207" s="230"/>
      <c r="C207" s="230"/>
      <c r="D207" s="230"/>
      <c r="E207" s="230"/>
      <c r="F207" s="230"/>
      <c r="G207" s="230"/>
      <c r="H207" s="230"/>
      <c r="I207" s="230"/>
      <c r="J207" s="230"/>
      <c r="K207" s="230"/>
      <c r="L207" s="230"/>
      <c r="M207" s="230"/>
      <c r="N207" s="230"/>
      <c r="O207" s="230"/>
    </row>
    <row r="208" spans="1:15">
      <c r="A208" s="230"/>
      <c r="B208" s="230"/>
      <c r="C208" s="230"/>
      <c r="D208" s="230"/>
      <c r="E208" s="230"/>
      <c r="F208" s="230"/>
      <c r="G208" s="230"/>
      <c r="H208" s="230"/>
      <c r="I208" s="230"/>
      <c r="J208" s="230"/>
      <c r="K208" s="230"/>
      <c r="L208" s="230"/>
      <c r="M208" s="230"/>
      <c r="N208" s="230"/>
      <c r="O208" s="230"/>
    </row>
    <row r="209" spans="1:15">
      <c r="A209" s="230"/>
      <c r="B209" s="230"/>
      <c r="C209" s="230"/>
      <c r="D209" s="230"/>
      <c r="E209" s="230"/>
      <c r="F209" s="230"/>
      <c r="G209" s="230"/>
      <c r="H209" s="230"/>
      <c r="I209" s="230"/>
      <c r="J209" s="230"/>
      <c r="K209" s="230"/>
      <c r="L209" s="230"/>
      <c r="M209" s="230"/>
      <c r="N209" s="230"/>
      <c r="O209" s="230"/>
    </row>
    <row r="210" spans="1:15">
      <c r="A210" s="230"/>
      <c r="B210" s="230"/>
      <c r="C210" s="230"/>
      <c r="D210" s="230"/>
      <c r="E210" s="230"/>
      <c r="F210" s="230"/>
      <c r="G210" s="230"/>
      <c r="H210" s="230"/>
      <c r="I210" s="230"/>
      <c r="J210" s="230"/>
      <c r="K210" s="230"/>
      <c r="L210" s="230"/>
      <c r="M210" s="230"/>
      <c r="N210" s="230"/>
      <c r="O210" s="230"/>
    </row>
    <row r="211" spans="1:15">
      <c r="A211" s="230"/>
      <c r="B211" s="230"/>
      <c r="C211" s="230"/>
      <c r="D211" s="230"/>
      <c r="E211" s="230"/>
      <c r="F211" s="230"/>
      <c r="G211" s="230"/>
      <c r="H211" s="230"/>
      <c r="I211" s="230"/>
      <c r="J211" s="230"/>
      <c r="K211" s="230"/>
      <c r="L211" s="230"/>
      <c r="M211" s="230"/>
      <c r="N211" s="230"/>
      <c r="O211" s="230"/>
    </row>
    <row r="212" spans="1:15">
      <c r="A212" s="230"/>
      <c r="B212" s="230"/>
      <c r="C212" s="230"/>
      <c r="D212" s="230"/>
      <c r="E212" s="230"/>
      <c r="F212" s="230"/>
      <c r="G212" s="230"/>
      <c r="H212" s="230"/>
      <c r="I212" s="230"/>
      <c r="J212" s="230"/>
      <c r="K212" s="230"/>
      <c r="L212" s="230"/>
      <c r="M212" s="230"/>
      <c r="N212" s="230"/>
      <c r="O212" s="230"/>
    </row>
    <row r="213" spans="1:15">
      <c r="A213" s="230"/>
      <c r="B213" s="230"/>
      <c r="C213" s="230"/>
      <c r="D213" s="230"/>
      <c r="E213" s="230"/>
      <c r="F213" s="230"/>
      <c r="G213" s="230"/>
      <c r="H213" s="230"/>
      <c r="I213" s="230"/>
      <c r="J213" s="230"/>
      <c r="K213" s="230"/>
      <c r="L213" s="230"/>
      <c r="M213" s="230"/>
      <c r="N213" s="230"/>
      <c r="O213" s="230"/>
    </row>
    <row r="214" spans="1:15">
      <c r="A214" s="230"/>
      <c r="B214" s="230"/>
      <c r="C214" s="230"/>
      <c r="D214" s="230"/>
      <c r="E214" s="230"/>
      <c r="F214" s="230"/>
      <c r="G214" s="230"/>
      <c r="H214" s="230"/>
      <c r="I214" s="230"/>
      <c r="J214" s="230"/>
      <c r="K214" s="230"/>
      <c r="L214" s="230"/>
      <c r="M214" s="230"/>
      <c r="N214" s="230"/>
      <c r="O214" s="230"/>
    </row>
    <row r="215" spans="1:15">
      <c r="A215" s="230"/>
      <c r="B215" s="230"/>
      <c r="C215" s="230"/>
      <c r="D215" s="230"/>
      <c r="E215" s="230"/>
      <c r="F215" s="230"/>
      <c r="G215" s="230"/>
      <c r="H215" s="230"/>
      <c r="I215" s="230"/>
      <c r="J215" s="230"/>
      <c r="K215" s="230"/>
      <c r="L215" s="230"/>
      <c r="M215" s="230"/>
      <c r="N215" s="230"/>
      <c r="O215" s="230"/>
    </row>
    <row r="216" spans="1:15">
      <c r="A216" s="230"/>
      <c r="B216" s="230"/>
      <c r="C216" s="230"/>
      <c r="D216" s="230"/>
      <c r="E216" s="230"/>
      <c r="F216" s="230"/>
      <c r="G216" s="230"/>
      <c r="H216" s="230"/>
      <c r="I216" s="230"/>
      <c r="J216" s="230"/>
      <c r="K216" s="230"/>
      <c r="L216" s="230"/>
      <c r="M216" s="230"/>
      <c r="N216" s="230"/>
      <c r="O216" s="230"/>
    </row>
    <row r="217" spans="1:15">
      <c r="A217" s="230"/>
      <c r="B217" s="230"/>
      <c r="C217" s="230"/>
      <c r="D217" s="230"/>
      <c r="E217" s="230"/>
      <c r="F217" s="230"/>
      <c r="G217" s="230"/>
      <c r="H217" s="230"/>
      <c r="I217" s="230"/>
      <c r="J217" s="230"/>
      <c r="K217" s="230"/>
      <c r="L217" s="230"/>
      <c r="M217" s="230"/>
      <c r="N217" s="230"/>
      <c r="O217" s="230"/>
    </row>
    <row r="218" spans="1:15">
      <c r="A218" s="230"/>
      <c r="B218" s="230"/>
      <c r="C218" s="230"/>
      <c r="D218" s="230"/>
      <c r="E218" s="230"/>
      <c r="F218" s="230"/>
      <c r="G218" s="230"/>
      <c r="H218" s="230"/>
      <c r="I218" s="230"/>
      <c r="J218" s="230"/>
      <c r="K218" s="230"/>
      <c r="L218" s="230"/>
      <c r="M218" s="230"/>
      <c r="N218" s="230"/>
      <c r="O218" s="230"/>
    </row>
    <row r="219" spans="1:15">
      <c r="A219" s="230"/>
      <c r="B219" s="230"/>
      <c r="C219" s="230"/>
      <c r="D219" s="230"/>
      <c r="E219" s="230"/>
      <c r="F219" s="230"/>
      <c r="G219" s="230"/>
      <c r="H219" s="230"/>
      <c r="I219" s="230"/>
      <c r="J219" s="230"/>
      <c r="K219" s="230"/>
      <c r="L219" s="230"/>
      <c r="M219" s="230"/>
      <c r="N219" s="230"/>
      <c r="O219" s="230"/>
    </row>
    <row r="220" spans="1:15">
      <c r="A220" s="230"/>
      <c r="B220" s="230"/>
      <c r="C220" s="230"/>
      <c r="D220" s="230"/>
      <c r="E220" s="230"/>
      <c r="F220" s="230"/>
      <c r="G220" s="230"/>
      <c r="H220" s="230"/>
      <c r="I220" s="230"/>
      <c r="J220" s="230"/>
      <c r="K220" s="230"/>
      <c r="L220" s="230"/>
      <c r="M220" s="230"/>
      <c r="N220" s="230"/>
      <c r="O220" s="230"/>
    </row>
    <row r="221" spans="1:15">
      <c r="A221" s="230"/>
      <c r="B221" s="230"/>
      <c r="C221" s="230"/>
      <c r="D221" s="230"/>
      <c r="E221" s="230"/>
      <c r="F221" s="230"/>
      <c r="G221" s="230"/>
      <c r="H221" s="230"/>
      <c r="I221" s="230"/>
      <c r="J221" s="230"/>
      <c r="K221" s="230"/>
      <c r="L221" s="230"/>
      <c r="M221" s="230"/>
      <c r="N221" s="230"/>
      <c r="O221" s="230"/>
    </row>
    <row r="222" spans="1:15">
      <c r="A222" s="230"/>
      <c r="B222" s="230"/>
      <c r="C222" s="230"/>
      <c r="D222" s="230"/>
      <c r="E222" s="230"/>
      <c r="F222" s="230"/>
      <c r="G222" s="230"/>
      <c r="H222" s="230"/>
      <c r="I222" s="230"/>
      <c r="J222" s="230"/>
      <c r="K222" s="230"/>
      <c r="L222" s="230"/>
      <c r="M222" s="230"/>
      <c r="N222" s="230"/>
      <c r="O222" s="230"/>
    </row>
    <row r="223" spans="1:15">
      <c r="A223" s="230"/>
      <c r="B223" s="230"/>
      <c r="C223" s="230"/>
      <c r="D223" s="230"/>
      <c r="E223" s="230"/>
      <c r="F223" s="230"/>
      <c r="G223" s="230"/>
      <c r="H223" s="230"/>
      <c r="I223" s="230"/>
      <c r="J223" s="230"/>
      <c r="K223" s="230"/>
      <c r="L223" s="230"/>
      <c r="M223" s="230"/>
      <c r="N223" s="230"/>
      <c r="O223" s="230"/>
    </row>
    <row r="224" spans="1:15">
      <c r="A224" s="230"/>
      <c r="B224" s="230"/>
      <c r="C224" s="230"/>
      <c r="D224" s="230"/>
      <c r="E224" s="230"/>
      <c r="F224" s="230"/>
      <c r="G224" s="230"/>
      <c r="H224" s="230"/>
      <c r="I224" s="230"/>
      <c r="J224" s="230"/>
      <c r="K224" s="230"/>
      <c r="L224" s="230"/>
      <c r="M224" s="230"/>
      <c r="N224" s="230"/>
      <c r="O224" s="230"/>
    </row>
    <row r="225" spans="1:15">
      <c r="A225" s="230"/>
      <c r="B225" s="230"/>
      <c r="C225" s="230"/>
      <c r="D225" s="230"/>
      <c r="E225" s="230"/>
      <c r="F225" s="230"/>
      <c r="G225" s="230"/>
      <c r="H225" s="230"/>
      <c r="I225" s="230"/>
      <c r="J225" s="230"/>
      <c r="K225" s="230"/>
      <c r="L225" s="230"/>
      <c r="M225" s="230"/>
      <c r="N225" s="230"/>
      <c r="O225" s="230"/>
    </row>
    <row r="226" spans="1:15">
      <c r="A226" s="230"/>
      <c r="B226" s="230"/>
      <c r="C226" s="230"/>
      <c r="D226" s="230"/>
      <c r="E226" s="230"/>
      <c r="F226" s="230"/>
      <c r="G226" s="230"/>
      <c r="H226" s="230"/>
      <c r="I226" s="230"/>
      <c r="J226" s="230"/>
      <c r="K226" s="230"/>
      <c r="L226" s="230"/>
      <c r="M226" s="230"/>
      <c r="N226" s="230"/>
      <c r="O226" s="230"/>
    </row>
    <row r="227" spans="1:15">
      <c r="A227" s="230"/>
      <c r="B227" s="230"/>
      <c r="C227" s="230"/>
      <c r="D227" s="230"/>
      <c r="E227" s="230"/>
      <c r="F227" s="230"/>
      <c r="G227" s="230"/>
      <c r="H227" s="230"/>
      <c r="I227" s="230"/>
      <c r="J227" s="230"/>
      <c r="K227" s="230"/>
      <c r="L227" s="230"/>
      <c r="M227" s="230"/>
      <c r="N227" s="230"/>
      <c r="O227" s="230"/>
    </row>
    <row r="228" spans="1:15">
      <c r="A228" s="230"/>
      <c r="B228" s="230"/>
      <c r="C228" s="230"/>
      <c r="D228" s="230"/>
      <c r="E228" s="230"/>
      <c r="F228" s="230"/>
      <c r="G228" s="230"/>
      <c r="H228" s="230"/>
      <c r="I228" s="230"/>
      <c r="J228" s="230"/>
      <c r="K228" s="230"/>
      <c r="L228" s="230"/>
      <c r="M228" s="230"/>
      <c r="N228" s="230"/>
      <c r="O228" s="230"/>
    </row>
    <row r="229" spans="1:15">
      <c r="A229" s="230"/>
      <c r="B229" s="230"/>
      <c r="C229" s="230"/>
      <c r="D229" s="230"/>
      <c r="E229" s="230"/>
      <c r="F229" s="230"/>
      <c r="G229" s="230"/>
      <c r="H229" s="230"/>
      <c r="I229" s="230"/>
      <c r="J229" s="230"/>
      <c r="K229" s="230"/>
      <c r="L229" s="230"/>
      <c r="M229" s="230"/>
      <c r="N229" s="230"/>
      <c r="O229" s="230"/>
    </row>
    <row r="230" spans="1:15">
      <c r="A230" s="230"/>
      <c r="B230" s="230"/>
      <c r="C230" s="230"/>
      <c r="D230" s="230"/>
      <c r="E230" s="230"/>
      <c r="F230" s="230"/>
      <c r="G230" s="230"/>
      <c r="H230" s="230"/>
      <c r="I230" s="230"/>
      <c r="J230" s="230"/>
      <c r="K230" s="230"/>
      <c r="L230" s="230"/>
      <c r="M230" s="230"/>
      <c r="N230" s="230"/>
      <c r="O230" s="230"/>
    </row>
    <row r="231" spans="1:15">
      <c r="A231" s="230"/>
      <c r="B231" s="230"/>
      <c r="C231" s="230"/>
      <c r="D231" s="230"/>
      <c r="E231" s="230"/>
      <c r="F231" s="230"/>
      <c r="G231" s="230"/>
      <c r="H231" s="230"/>
      <c r="I231" s="230"/>
      <c r="J231" s="230"/>
      <c r="K231" s="230"/>
      <c r="L231" s="230"/>
      <c r="M231" s="230"/>
      <c r="N231" s="230"/>
      <c r="O231" s="230"/>
    </row>
    <row r="232" spans="1:15">
      <c r="A232" s="230"/>
      <c r="B232" s="230"/>
      <c r="C232" s="230"/>
      <c r="D232" s="230"/>
      <c r="E232" s="230"/>
      <c r="F232" s="230"/>
      <c r="G232" s="230"/>
      <c r="H232" s="230"/>
      <c r="I232" s="230"/>
      <c r="J232" s="230"/>
      <c r="K232" s="230"/>
      <c r="L232" s="230"/>
      <c r="M232" s="230"/>
      <c r="N232" s="230"/>
      <c r="O232" s="230"/>
    </row>
    <row r="233" spans="1:15">
      <c r="A233" s="230"/>
      <c r="B233" s="230"/>
      <c r="C233" s="230"/>
      <c r="D233" s="230"/>
      <c r="E233" s="230"/>
      <c r="F233" s="230"/>
      <c r="G233" s="230"/>
      <c r="H233" s="230"/>
      <c r="I233" s="230"/>
      <c r="J233" s="230"/>
      <c r="K233" s="230"/>
      <c r="L233" s="230"/>
      <c r="M233" s="230"/>
      <c r="N233" s="230"/>
      <c r="O233" s="230"/>
    </row>
    <row r="234" spans="1:15">
      <c r="A234" s="230"/>
      <c r="B234" s="230"/>
      <c r="C234" s="230"/>
      <c r="D234" s="230"/>
      <c r="E234" s="230"/>
      <c r="F234" s="230"/>
      <c r="G234" s="230"/>
      <c r="H234" s="230"/>
      <c r="I234" s="230"/>
      <c r="J234" s="230"/>
      <c r="K234" s="230"/>
      <c r="L234" s="230"/>
      <c r="M234" s="230"/>
      <c r="N234" s="230"/>
      <c r="O234" s="230"/>
    </row>
    <row r="235" spans="1:15">
      <c r="A235" s="230"/>
      <c r="B235" s="230"/>
      <c r="C235" s="230"/>
      <c r="D235" s="230"/>
      <c r="E235" s="230"/>
      <c r="F235" s="230"/>
      <c r="G235" s="230"/>
      <c r="H235" s="230"/>
      <c r="I235" s="230"/>
      <c r="J235" s="230"/>
      <c r="K235" s="230"/>
      <c r="L235" s="230"/>
      <c r="M235" s="230"/>
      <c r="N235" s="230"/>
      <c r="O235" s="230"/>
    </row>
    <row r="236" spans="1:15">
      <c r="A236" s="230"/>
      <c r="B236" s="230"/>
      <c r="C236" s="230"/>
      <c r="D236" s="230"/>
      <c r="E236" s="230"/>
      <c r="F236" s="230"/>
      <c r="G236" s="230"/>
      <c r="H236" s="230"/>
      <c r="I236" s="230"/>
      <c r="J236" s="230"/>
      <c r="K236" s="230"/>
      <c r="L236" s="230"/>
      <c r="M236" s="230"/>
      <c r="N236" s="230"/>
      <c r="O236" s="230"/>
    </row>
    <row r="237" spans="1:15">
      <c r="A237" s="230"/>
      <c r="B237" s="230"/>
      <c r="C237" s="230"/>
      <c r="D237" s="230"/>
      <c r="E237" s="230"/>
      <c r="F237" s="230"/>
      <c r="G237" s="230"/>
      <c r="H237" s="230"/>
      <c r="I237" s="230"/>
      <c r="J237" s="230"/>
      <c r="K237" s="230"/>
      <c r="L237" s="230"/>
      <c r="M237" s="230"/>
      <c r="N237" s="230"/>
      <c r="O237" s="230"/>
    </row>
    <row r="238" spans="1:15">
      <c r="A238" s="230"/>
      <c r="B238" s="230"/>
      <c r="C238" s="230"/>
      <c r="D238" s="230"/>
      <c r="E238" s="230"/>
      <c r="F238" s="230"/>
      <c r="G238" s="230"/>
      <c r="H238" s="230"/>
      <c r="I238" s="230"/>
      <c r="J238" s="230"/>
      <c r="K238" s="230"/>
      <c r="L238" s="230"/>
      <c r="M238" s="230"/>
      <c r="N238" s="230"/>
      <c r="O238" s="230"/>
    </row>
    <row r="239" spans="1:15">
      <c r="A239" s="230"/>
      <c r="B239" s="230"/>
      <c r="C239" s="230"/>
      <c r="D239" s="230"/>
      <c r="E239" s="230"/>
      <c r="F239" s="230"/>
      <c r="G239" s="230"/>
      <c r="H239" s="230"/>
      <c r="I239" s="230"/>
      <c r="J239" s="230"/>
      <c r="K239" s="230"/>
      <c r="L239" s="230"/>
      <c r="M239" s="230"/>
      <c r="N239" s="230"/>
      <c r="O239" s="230"/>
    </row>
    <row r="240" spans="1:15">
      <c r="A240" s="230"/>
      <c r="B240" s="230"/>
      <c r="C240" s="230"/>
      <c r="D240" s="230"/>
      <c r="E240" s="230"/>
      <c r="F240" s="230"/>
      <c r="G240" s="230"/>
      <c r="H240" s="230"/>
      <c r="I240" s="230"/>
      <c r="J240" s="230"/>
      <c r="K240" s="230"/>
      <c r="L240" s="230"/>
      <c r="M240" s="230"/>
      <c r="N240" s="230"/>
      <c r="O240" s="230"/>
    </row>
    <row r="241" spans="1:15">
      <c r="A241" s="230"/>
      <c r="B241" s="230"/>
      <c r="C241" s="230"/>
      <c r="D241" s="230"/>
      <c r="E241" s="230"/>
      <c r="F241" s="230"/>
      <c r="G241" s="230"/>
      <c r="H241" s="230"/>
      <c r="I241" s="230"/>
      <c r="J241" s="230"/>
      <c r="K241" s="230"/>
      <c r="L241" s="230"/>
      <c r="M241" s="230"/>
      <c r="N241" s="230"/>
      <c r="O241" s="230"/>
    </row>
    <row r="242" spans="1:15">
      <c r="A242" s="230"/>
      <c r="B242" s="230"/>
      <c r="C242" s="230"/>
      <c r="D242" s="230"/>
      <c r="E242" s="230"/>
      <c r="F242" s="230"/>
      <c r="G242" s="230"/>
      <c r="H242" s="230"/>
      <c r="I242" s="230"/>
      <c r="J242" s="230"/>
      <c r="K242" s="230"/>
      <c r="L242" s="230"/>
      <c r="M242" s="230"/>
      <c r="N242" s="230"/>
      <c r="O242" s="230"/>
    </row>
    <row r="243" spans="1:15">
      <c r="A243" s="230"/>
      <c r="B243" s="230"/>
      <c r="C243" s="230"/>
      <c r="D243" s="230"/>
      <c r="E243" s="230"/>
      <c r="F243" s="230"/>
      <c r="G243" s="230"/>
      <c r="H243" s="230"/>
      <c r="I243" s="230"/>
      <c r="J243" s="230"/>
      <c r="K243" s="230"/>
      <c r="L243" s="230"/>
      <c r="M243" s="230"/>
      <c r="N243" s="230"/>
      <c r="O243" s="230"/>
    </row>
    <row r="244" spans="1:15">
      <c r="A244" s="230"/>
      <c r="B244" s="230"/>
      <c r="C244" s="230"/>
      <c r="D244" s="230"/>
      <c r="E244" s="230"/>
      <c r="F244" s="230"/>
      <c r="G244" s="230"/>
      <c r="H244" s="230"/>
      <c r="I244" s="230"/>
      <c r="J244" s="230"/>
      <c r="K244" s="230"/>
      <c r="L244" s="230"/>
      <c r="M244" s="230"/>
      <c r="N244" s="230"/>
      <c r="O244" s="230"/>
    </row>
    <row r="245" spans="1:15">
      <c r="A245" s="230"/>
      <c r="B245" s="230"/>
      <c r="C245" s="230"/>
      <c r="D245" s="230"/>
      <c r="E245" s="230"/>
      <c r="F245" s="230"/>
      <c r="G245" s="230"/>
      <c r="H245" s="230"/>
      <c r="I245" s="230"/>
      <c r="J245" s="230"/>
      <c r="K245" s="230"/>
      <c r="L245" s="230"/>
      <c r="M245" s="230"/>
      <c r="N245" s="230"/>
      <c r="O245" s="230"/>
    </row>
    <row r="246" spans="1:15">
      <c r="A246" s="230"/>
      <c r="B246" s="230"/>
      <c r="C246" s="230"/>
      <c r="D246" s="230"/>
      <c r="E246" s="230"/>
      <c r="F246" s="230"/>
      <c r="G246" s="230"/>
      <c r="H246" s="230"/>
      <c r="I246" s="230"/>
      <c r="J246" s="230"/>
      <c r="K246" s="230"/>
      <c r="L246" s="230"/>
      <c r="M246" s="230"/>
      <c r="N246" s="230"/>
      <c r="O246" s="230"/>
    </row>
    <row r="247" spans="1:15">
      <c r="A247" s="230"/>
      <c r="B247" s="230"/>
      <c r="C247" s="230"/>
      <c r="D247" s="230"/>
      <c r="E247" s="230"/>
      <c r="F247" s="230"/>
      <c r="G247" s="230"/>
      <c r="H247" s="230"/>
      <c r="I247" s="230"/>
      <c r="J247" s="230"/>
      <c r="K247" s="230"/>
      <c r="L247" s="230"/>
      <c r="M247" s="230"/>
      <c r="N247" s="230"/>
      <c r="O247" s="230"/>
    </row>
    <row r="248" spans="1:15">
      <c r="A248" s="230"/>
      <c r="B248" s="230"/>
      <c r="C248" s="230"/>
      <c r="D248" s="230"/>
      <c r="E248" s="230"/>
      <c r="F248" s="230"/>
      <c r="G248" s="230"/>
      <c r="H248" s="230"/>
      <c r="I248" s="230"/>
      <c r="J248" s="230"/>
      <c r="K248" s="230"/>
      <c r="L248" s="230"/>
      <c r="M248" s="230"/>
      <c r="N248" s="230"/>
      <c r="O248" s="230"/>
    </row>
    <row r="249" spans="1:15">
      <c r="A249" s="230"/>
      <c r="B249" s="230"/>
      <c r="C249" s="230"/>
      <c r="D249" s="230"/>
      <c r="E249" s="230"/>
      <c r="F249" s="230"/>
      <c r="G249" s="230"/>
      <c r="H249" s="230"/>
      <c r="I249" s="230"/>
      <c r="J249" s="230"/>
      <c r="K249" s="230"/>
      <c r="L249" s="230"/>
      <c r="M249" s="230"/>
      <c r="N249" s="230"/>
      <c r="O249" s="230"/>
    </row>
    <row r="250" spans="1:15">
      <c r="A250" s="230"/>
      <c r="B250" s="230"/>
      <c r="C250" s="230"/>
      <c r="D250" s="230"/>
      <c r="E250" s="230"/>
      <c r="F250" s="230"/>
      <c r="G250" s="230"/>
      <c r="H250" s="230"/>
      <c r="I250" s="230"/>
      <c r="J250" s="230"/>
      <c r="K250" s="230"/>
      <c r="L250" s="230"/>
      <c r="M250" s="230"/>
      <c r="N250" s="230"/>
      <c r="O250" s="230"/>
    </row>
    <row r="251" spans="1:15">
      <c r="A251" s="230"/>
      <c r="B251" s="230"/>
      <c r="C251" s="230"/>
      <c r="D251" s="230"/>
      <c r="E251" s="230"/>
      <c r="F251" s="230"/>
      <c r="G251" s="230"/>
      <c r="H251" s="230"/>
      <c r="I251" s="230"/>
      <c r="J251" s="230"/>
      <c r="K251" s="230"/>
      <c r="L251" s="230"/>
      <c r="M251" s="230"/>
      <c r="N251" s="230"/>
      <c r="O251" s="230"/>
    </row>
    <row r="252" spans="1:15">
      <c r="A252" s="230"/>
      <c r="B252" s="230"/>
      <c r="C252" s="230"/>
      <c r="D252" s="230"/>
      <c r="E252" s="230"/>
      <c r="F252" s="230"/>
      <c r="G252" s="230"/>
      <c r="H252" s="230"/>
      <c r="I252" s="230"/>
      <c r="J252" s="230"/>
      <c r="K252" s="230"/>
      <c r="L252" s="230"/>
      <c r="M252" s="230"/>
      <c r="N252" s="230"/>
      <c r="O252" s="230"/>
    </row>
    <row r="253" spans="1:15">
      <c r="A253" s="230"/>
      <c r="B253" s="230"/>
      <c r="C253" s="230"/>
      <c r="D253" s="230"/>
      <c r="E253" s="230"/>
      <c r="F253" s="230"/>
      <c r="G253" s="230"/>
      <c r="H253" s="230"/>
      <c r="I253" s="230"/>
      <c r="J253" s="230"/>
      <c r="K253" s="230"/>
      <c r="L253" s="230"/>
      <c r="M253" s="230"/>
      <c r="N253" s="230"/>
      <c r="O253" s="230"/>
    </row>
    <row r="254" spans="1:15">
      <c r="A254" s="230"/>
      <c r="B254" s="230"/>
      <c r="C254" s="230"/>
      <c r="D254" s="230"/>
      <c r="E254" s="230"/>
      <c r="F254" s="230"/>
      <c r="G254" s="230"/>
      <c r="H254" s="230"/>
      <c r="I254" s="230"/>
      <c r="J254" s="230"/>
      <c r="K254" s="230"/>
      <c r="L254" s="230"/>
      <c r="M254" s="230"/>
      <c r="N254" s="230"/>
      <c r="O254" s="230"/>
    </row>
    <row r="255" spans="1:15">
      <c r="A255" s="230"/>
      <c r="B255" s="230"/>
      <c r="C255" s="230"/>
      <c r="D255" s="230"/>
      <c r="E255" s="230"/>
      <c r="F255" s="230"/>
      <c r="G255" s="230"/>
      <c r="H255" s="230"/>
      <c r="I255" s="230"/>
      <c r="J255" s="230"/>
      <c r="K255" s="230"/>
      <c r="L255" s="230"/>
      <c r="M255" s="230"/>
      <c r="N255" s="230"/>
      <c r="O255" s="230"/>
    </row>
    <row r="256" spans="1:15">
      <c r="A256" s="230"/>
      <c r="B256" s="230"/>
      <c r="C256" s="230"/>
      <c r="D256" s="230"/>
      <c r="E256" s="230"/>
      <c r="F256" s="230"/>
      <c r="G256" s="230"/>
      <c r="H256" s="230"/>
      <c r="I256" s="230"/>
      <c r="J256" s="230"/>
      <c r="K256" s="230"/>
      <c r="L256" s="230"/>
      <c r="M256" s="230"/>
      <c r="N256" s="230"/>
      <c r="O256" s="230"/>
    </row>
    <row r="257" spans="1:15">
      <c r="A257" s="230"/>
      <c r="B257" s="230"/>
      <c r="C257" s="230"/>
      <c r="D257" s="230"/>
      <c r="E257" s="230"/>
      <c r="F257" s="230"/>
      <c r="G257" s="230"/>
      <c r="H257" s="230"/>
      <c r="I257" s="230"/>
      <c r="J257" s="230"/>
      <c r="K257" s="230"/>
      <c r="L257" s="230"/>
      <c r="M257" s="230"/>
      <c r="N257" s="230"/>
      <c r="O257" s="230"/>
    </row>
    <row r="258" spans="1:15">
      <c r="A258" s="230"/>
      <c r="B258" s="230"/>
      <c r="C258" s="230"/>
      <c r="D258" s="230"/>
      <c r="E258" s="230"/>
      <c r="F258" s="230"/>
      <c r="G258" s="230"/>
      <c r="H258" s="230"/>
      <c r="I258" s="230"/>
      <c r="J258" s="230"/>
      <c r="K258" s="230"/>
      <c r="L258" s="230"/>
      <c r="M258" s="230"/>
      <c r="N258" s="230"/>
      <c r="O258" s="230"/>
    </row>
    <row r="259" spans="1:15">
      <c r="A259" s="230"/>
      <c r="B259" s="230"/>
      <c r="C259" s="230"/>
      <c r="D259" s="230"/>
      <c r="E259" s="230"/>
      <c r="F259" s="230"/>
      <c r="G259" s="230"/>
      <c r="H259" s="230"/>
      <c r="I259" s="230"/>
      <c r="J259" s="230"/>
      <c r="K259" s="230"/>
      <c r="L259" s="230"/>
      <c r="M259" s="230"/>
      <c r="N259" s="230"/>
      <c r="O259" s="230"/>
    </row>
    <row r="260" spans="1:15">
      <c r="A260" s="230"/>
      <c r="B260" s="230"/>
      <c r="C260" s="230"/>
      <c r="D260" s="230"/>
      <c r="E260" s="230"/>
      <c r="F260" s="230"/>
      <c r="G260" s="230"/>
      <c r="H260" s="230"/>
      <c r="I260" s="230"/>
      <c r="J260" s="230"/>
      <c r="K260" s="230"/>
      <c r="L260" s="230"/>
      <c r="M260" s="230"/>
      <c r="N260" s="230"/>
      <c r="O260" s="230"/>
    </row>
    <row r="261" spans="1:15">
      <c r="A261" s="230"/>
      <c r="B261" s="230"/>
      <c r="C261" s="230"/>
      <c r="D261" s="230"/>
      <c r="E261" s="230"/>
      <c r="F261" s="230"/>
      <c r="G261" s="230"/>
      <c r="H261" s="230"/>
      <c r="I261" s="230"/>
      <c r="J261" s="230"/>
      <c r="K261" s="230"/>
      <c r="L261" s="230"/>
      <c r="M261" s="230"/>
      <c r="N261" s="230"/>
      <c r="O261" s="230"/>
    </row>
    <row r="262" spans="1:15">
      <c r="A262" s="230"/>
      <c r="B262" s="230"/>
      <c r="C262" s="230"/>
      <c r="D262" s="230"/>
      <c r="E262" s="230"/>
      <c r="F262" s="230"/>
      <c r="G262" s="230"/>
      <c r="H262" s="230"/>
      <c r="I262" s="230"/>
      <c r="J262" s="230"/>
      <c r="K262" s="230"/>
      <c r="L262" s="230"/>
      <c r="M262" s="230"/>
      <c r="N262" s="230"/>
      <c r="O262" s="230"/>
    </row>
    <row r="263" spans="1:15">
      <c r="A263" s="230"/>
      <c r="B263" s="230"/>
      <c r="C263" s="230"/>
      <c r="D263" s="230"/>
      <c r="E263" s="230"/>
      <c r="F263" s="230"/>
      <c r="G263" s="230"/>
      <c r="H263" s="230"/>
      <c r="I263" s="230"/>
      <c r="J263" s="230"/>
      <c r="K263" s="230"/>
      <c r="L263" s="230"/>
      <c r="M263" s="230"/>
      <c r="N263" s="230"/>
      <c r="O263" s="230"/>
    </row>
    <row r="264" spans="1:15">
      <c r="A264" s="230"/>
      <c r="B264" s="230"/>
      <c r="C264" s="230"/>
      <c r="D264" s="230"/>
      <c r="E264" s="230"/>
      <c r="F264" s="230"/>
      <c r="G264" s="230"/>
      <c r="H264" s="230"/>
      <c r="I264" s="230"/>
      <c r="J264" s="230"/>
      <c r="K264" s="230"/>
      <c r="L264" s="230"/>
      <c r="M264" s="230"/>
      <c r="N264" s="230"/>
      <c r="O264" s="230"/>
    </row>
    <row r="265" spans="1:15">
      <c r="A265" s="230"/>
      <c r="B265" s="230"/>
      <c r="C265" s="230"/>
      <c r="D265" s="230"/>
      <c r="E265" s="230"/>
      <c r="F265" s="230"/>
      <c r="G265" s="230"/>
      <c r="H265" s="230"/>
      <c r="I265" s="230"/>
      <c r="J265" s="230"/>
      <c r="K265" s="230"/>
      <c r="L265" s="230"/>
      <c r="M265" s="230"/>
      <c r="N265" s="230"/>
      <c r="O265" s="230"/>
    </row>
    <row r="266" spans="1:15">
      <c r="A266" s="230"/>
      <c r="B266" s="230"/>
      <c r="C266" s="230"/>
      <c r="D266" s="230"/>
      <c r="E266" s="230"/>
      <c r="F266" s="230"/>
      <c r="G266" s="230"/>
      <c r="H266" s="230"/>
      <c r="I266" s="230"/>
      <c r="J266" s="230"/>
      <c r="K266" s="230"/>
      <c r="L266" s="230"/>
      <c r="M266" s="230"/>
      <c r="N266" s="230"/>
      <c r="O266" s="230"/>
    </row>
    <row r="267" spans="1:15">
      <c r="A267" s="230"/>
      <c r="B267" s="230"/>
      <c r="C267" s="230"/>
      <c r="D267" s="230"/>
      <c r="E267" s="230"/>
      <c r="F267" s="230"/>
      <c r="G267" s="230"/>
      <c r="H267" s="230"/>
      <c r="I267" s="230"/>
      <c r="J267" s="230"/>
      <c r="K267" s="230"/>
      <c r="L267" s="230"/>
      <c r="M267" s="230"/>
      <c r="N267" s="230"/>
      <c r="O267" s="230"/>
    </row>
    <row r="268" spans="1:15">
      <c r="A268" s="230"/>
      <c r="B268" s="230"/>
      <c r="C268" s="230"/>
      <c r="D268" s="230"/>
      <c r="E268" s="230"/>
      <c r="F268" s="230"/>
      <c r="G268" s="230"/>
      <c r="H268" s="230"/>
      <c r="I268" s="230"/>
      <c r="J268" s="230"/>
      <c r="K268" s="230"/>
      <c r="L268" s="230"/>
      <c r="M268" s="230"/>
      <c r="N268" s="230"/>
      <c r="O268" s="230"/>
    </row>
    <row r="269" spans="1:15">
      <c r="A269" s="230"/>
      <c r="B269" s="230"/>
      <c r="C269" s="230"/>
      <c r="D269" s="230"/>
      <c r="E269" s="230"/>
      <c r="F269" s="230"/>
      <c r="G269" s="230"/>
      <c r="H269" s="230"/>
      <c r="I269" s="230"/>
      <c r="J269" s="230"/>
      <c r="K269" s="230"/>
      <c r="L269" s="230"/>
      <c r="M269" s="230"/>
      <c r="N269" s="230"/>
      <c r="O269" s="230"/>
    </row>
    <row r="270" spans="1:15">
      <c r="A270" s="230"/>
      <c r="B270" s="230"/>
      <c r="C270" s="230"/>
      <c r="D270" s="230"/>
      <c r="E270" s="230"/>
      <c r="F270" s="230"/>
      <c r="G270" s="230"/>
      <c r="H270" s="230"/>
      <c r="I270" s="230"/>
      <c r="J270" s="230"/>
      <c r="K270" s="230"/>
      <c r="L270" s="230"/>
      <c r="M270" s="230"/>
      <c r="N270" s="230"/>
      <c r="O270" s="230"/>
    </row>
    <row r="271" spans="1:15">
      <c r="A271" s="230"/>
      <c r="B271" s="230"/>
      <c r="C271" s="230"/>
      <c r="D271" s="230"/>
      <c r="E271" s="230"/>
      <c r="F271" s="230"/>
      <c r="G271" s="230"/>
      <c r="H271" s="230"/>
      <c r="I271" s="230"/>
      <c r="J271" s="230"/>
      <c r="K271" s="230"/>
      <c r="L271" s="230"/>
      <c r="M271" s="230"/>
      <c r="N271" s="230"/>
      <c r="O271" s="230"/>
    </row>
    <row r="272" spans="1:15">
      <c r="A272" s="230"/>
      <c r="B272" s="230"/>
      <c r="C272" s="230"/>
      <c r="D272" s="230"/>
      <c r="E272" s="230"/>
      <c r="F272" s="230"/>
      <c r="G272" s="230"/>
      <c r="H272" s="230"/>
      <c r="I272" s="230"/>
      <c r="J272" s="230"/>
      <c r="K272" s="230"/>
      <c r="L272" s="230"/>
      <c r="M272" s="230"/>
      <c r="N272" s="230"/>
      <c r="O272" s="230"/>
    </row>
    <row r="273" spans="1:15">
      <c r="A273" s="230"/>
      <c r="B273" s="230"/>
      <c r="C273" s="230"/>
      <c r="D273" s="230"/>
      <c r="E273" s="230"/>
      <c r="F273" s="230"/>
      <c r="G273" s="230"/>
      <c r="H273" s="230"/>
      <c r="I273" s="230"/>
      <c r="J273" s="230"/>
      <c r="K273" s="230"/>
      <c r="L273" s="230"/>
      <c r="M273" s="230"/>
      <c r="N273" s="230"/>
      <c r="O273" s="230"/>
    </row>
    <row r="274" spans="1:15">
      <c r="A274" s="230"/>
      <c r="B274" s="230"/>
      <c r="C274" s="230"/>
      <c r="D274" s="230"/>
      <c r="E274" s="230"/>
      <c r="F274" s="230"/>
      <c r="G274" s="230"/>
      <c r="H274" s="230"/>
      <c r="I274" s="230"/>
      <c r="J274" s="230"/>
      <c r="K274" s="230"/>
      <c r="L274" s="230"/>
      <c r="M274" s="230"/>
      <c r="N274" s="230"/>
      <c r="O274" s="230"/>
    </row>
    <row r="275" spans="1:15">
      <c r="A275" s="230"/>
      <c r="B275" s="230"/>
      <c r="C275" s="230"/>
      <c r="D275" s="230"/>
      <c r="E275" s="230"/>
      <c r="F275" s="230"/>
      <c r="G275" s="230"/>
      <c r="H275" s="230"/>
      <c r="I275" s="230"/>
      <c r="J275" s="230"/>
      <c r="K275" s="230"/>
      <c r="L275" s="230"/>
      <c r="M275" s="230"/>
      <c r="N275" s="230"/>
      <c r="O275" s="230"/>
    </row>
    <row r="276" spans="1:15">
      <c r="A276" s="230"/>
      <c r="B276" s="230"/>
      <c r="C276" s="230"/>
      <c r="D276" s="230"/>
      <c r="E276" s="230"/>
      <c r="F276" s="230"/>
      <c r="G276" s="230"/>
      <c r="H276" s="230"/>
      <c r="I276" s="230"/>
      <c r="J276" s="230"/>
      <c r="K276" s="230"/>
      <c r="L276" s="230"/>
      <c r="M276" s="230"/>
      <c r="N276" s="230"/>
      <c r="O276" s="230"/>
    </row>
    <row r="277" spans="1:15">
      <c r="A277" s="230"/>
      <c r="B277" s="230"/>
      <c r="C277" s="230"/>
      <c r="D277" s="230"/>
      <c r="E277" s="230"/>
      <c r="F277" s="230"/>
      <c r="G277" s="230"/>
      <c r="H277" s="230"/>
      <c r="I277" s="230"/>
      <c r="J277" s="230"/>
      <c r="K277" s="230"/>
      <c r="L277" s="230"/>
      <c r="M277" s="230"/>
      <c r="N277" s="230"/>
      <c r="O277" s="230"/>
    </row>
    <row r="278" spans="1:15">
      <c r="A278" s="230"/>
      <c r="B278" s="230"/>
      <c r="C278" s="230"/>
      <c r="D278" s="230"/>
      <c r="E278" s="230"/>
      <c r="F278" s="230"/>
      <c r="G278" s="230"/>
      <c r="H278" s="230"/>
      <c r="I278" s="230"/>
      <c r="J278" s="230"/>
      <c r="K278" s="230"/>
      <c r="L278" s="230"/>
      <c r="M278" s="230"/>
      <c r="N278" s="230"/>
      <c r="O278" s="230"/>
    </row>
    <row r="279" spans="1:15">
      <c r="A279" s="230"/>
      <c r="B279" s="230"/>
      <c r="C279" s="230"/>
      <c r="D279" s="230"/>
      <c r="E279" s="230"/>
      <c r="F279" s="230"/>
      <c r="G279" s="230"/>
      <c r="H279" s="230"/>
      <c r="I279" s="230"/>
      <c r="J279" s="230"/>
      <c r="K279" s="230"/>
      <c r="L279" s="230"/>
      <c r="M279" s="230"/>
      <c r="N279" s="230"/>
      <c r="O279" s="230"/>
    </row>
    <row r="280" spans="1:15">
      <c r="A280" s="230"/>
      <c r="B280" s="230"/>
      <c r="C280" s="230"/>
      <c r="D280" s="230"/>
      <c r="E280" s="230"/>
      <c r="F280" s="230"/>
      <c r="G280" s="230"/>
      <c r="H280" s="230"/>
      <c r="I280" s="230"/>
      <c r="J280" s="230"/>
      <c r="K280" s="230"/>
      <c r="L280" s="230"/>
      <c r="M280" s="230"/>
      <c r="N280" s="230"/>
      <c r="O280" s="230"/>
    </row>
    <row r="281" spans="1:15">
      <c r="A281" s="230"/>
      <c r="B281" s="230"/>
      <c r="C281" s="230"/>
      <c r="D281" s="230"/>
      <c r="E281" s="230"/>
      <c r="F281" s="230"/>
      <c r="G281" s="230"/>
      <c r="H281" s="230"/>
      <c r="I281" s="230"/>
      <c r="J281" s="230"/>
      <c r="K281" s="230"/>
      <c r="L281" s="230"/>
      <c r="M281" s="230"/>
      <c r="N281" s="230"/>
      <c r="O281" s="230"/>
    </row>
    <row r="282" spans="1:15">
      <c r="A282" s="230"/>
      <c r="B282" s="230"/>
      <c r="C282" s="230"/>
      <c r="D282" s="230"/>
      <c r="E282" s="230"/>
      <c r="F282" s="230"/>
      <c r="G282" s="230"/>
      <c r="H282" s="230"/>
      <c r="I282" s="230"/>
      <c r="J282" s="230"/>
      <c r="K282" s="230"/>
      <c r="L282" s="230"/>
      <c r="M282" s="230"/>
      <c r="N282" s="230"/>
      <c r="O282" s="230"/>
    </row>
    <row r="283" spans="1:15">
      <c r="A283" s="230"/>
      <c r="B283" s="230"/>
      <c r="C283" s="230"/>
      <c r="D283" s="230"/>
      <c r="E283" s="230"/>
      <c r="F283" s="230"/>
      <c r="G283" s="230"/>
      <c r="H283" s="230"/>
      <c r="I283" s="230"/>
      <c r="J283" s="230"/>
      <c r="K283" s="230"/>
      <c r="L283" s="230"/>
      <c r="M283" s="230"/>
      <c r="N283" s="230"/>
      <c r="O283" s="230"/>
    </row>
    <row r="284" spans="1:15">
      <c r="A284" s="230"/>
      <c r="B284" s="230"/>
      <c r="C284" s="230"/>
      <c r="D284" s="230"/>
      <c r="E284" s="230"/>
      <c r="F284" s="230"/>
      <c r="G284" s="230"/>
      <c r="H284" s="230"/>
      <c r="I284" s="230"/>
      <c r="J284" s="230"/>
      <c r="K284" s="230"/>
      <c r="L284" s="230"/>
      <c r="M284" s="230"/>
      <c r="N284" s="230"/>
      <c r="O284" s="230"/>
    </row>
    <row r="285" spans="1:15">
      <c r="A285" s="230"/>
      <c r="B285" s="230"/>
      <c r="C285" s="230"/>
      <c r="D285" s="230"/>
      <c r="E285" s="230"/>
      <c r="F285" s="230"/>
      <c r="G285" s="230"/>
      <c r="H285" s="230"/>
      <c r="I285" s="230"/>
      <c r="J285" s="230"/>
      <c r="K285" s="230"/>
      <c r="L285" s="230"/>
      <c r="M285" s="230"/>
      <c r="N285" s="230"/>
      <c r="O285" s="230"/>
    </row>
    <row r="286" spans="1:15">
      <c r="A286" s="230"/>
      <c r="B286" s="230"/>
      <c r="C286" s="230"/>
      <c r="D286" s="230"/>
      <c r="E286" s="230"/>
      <c r="F286" s="230"/>
      <c r="G286" s="230"/>
      <c r="H286" s="230"/>
      <c r="I286" s="230"/>
      <c r="J286" s="230"/>
      <c r="K286" s="230"/>
      <c r="L286" s="230"/>
      <c r="M286" s="230"/>
      <c r="N286" s="230"/>
      <c r="O286" s="230"/>
    </row>
    <row r="287" spans="1:15">
      <c r="A287" s="230"/>
      <c r="B287" s="230"/>
      <c r="C287" s="230"/>
      <c r="D287" s="230"/>
      <c r="E287" s="230"/>
      <c r="F287" s="230"/>
      <c r="G287" s="230"/>
      <c r="H287" s="230"/>
      <c r="I287" s="230"/>
      <c r="J287" s="230"/>
      <c r="K287" s="230"/>
      <c r="L287" s="230"/>
      <c r="M287" s="230"/>
      <c r="N287" s="230"/>
      <c r="O287" s="230"/>
    </row>
    <row r="288" spans="1:15">
      <c r="A288" s="230"/>
      <c r="B288" s="230"/>
      <c r="C288" s="230"/>
      <c r="D288" s="230"/>
      <c r="E288" s="230"/>
      <c r="F288" s="230"/>
      <c r="G288" s="230"/>
      <c r="H288" s="230"/>
      <c r="I288" s="230"/>
      <c r="J288" s="230"/>
      <c r="K288" s="230"/>
      <c r="L288" s="230"/>
      <c r="M288" s="230"/>
      <c r="N288" s="230"/>
      <c r="O288" s="230"/>
    </row>
    <row r="289" spans="1:15">
      <c r="A289" s="230"/>
      <c r="B289" s="230"/>
      <c r="C289" s="230"/>
      <c r="D289" s="230"/>
      <c r="E289" s="230"/>
      <c r="F289" s="230"/>
      <c r="G289" s="230"/>
      <c r="H289" s="230"/>
      <c r="I289" s="230"/>
      <c r="J289" s="230"/>
      <c r="K289" s="230"/>
      <c r="L289" s="230"/>
      <c r="M289" s="230"/>
      <c r="N289" s="230"/>
      <c r="O289" s="230"/>
    </row>
    <row r="290" spans="1:15">
      <c r="A290" s="230"/>
      <c r="B290" s="230"/>
      <c r="C290" s="230"/>
      <c r="D290" s="230"/>
      <c r="E290" s="230"/>
      <c r="F290" s="230"/>
      <c r="G290" s="230"/>
      <c r="H290" s="230"/>
      <c r="I290" s="230"/>
      <c r="J290" s="230"/>
      <c r="K290" s="230"/>
      <c r="L290" s="230"/>
      <c r="M290" s="230"/>
      <c r="N290" s="230"/>
      <c r="O290" s="230"/>
    </row>
    <row r="291" spans="1:15">
      <c r="A291" s="230"/>
      <c r="B291" s="230"/>
      <c r="C291" s="230"/>
      <c r="D291" s="230"/>
      <c r="E291" s="230"/>
      <c r="F291" s="230"/>
      <c r="G291" s="230"/>
      <c r="H291" s="230"/>
      <c r="I291" s="230"/>
      <c r="J291" s="230"/>
      <c r="K291" s="230"/>
      <c r="L291" s="230"/>
      <c r="M291" s="230"/>
      <c r="N291" s="230"/>
      <c r="O291" s="230"/>
    </row>
    <row r="292" spans="1:15">
      <c r="A292" s="230"/>
      <c r="B292" s="230"/>
      <c r="C292" s="230"/>
      <c r="D292" s="230"/>
      <c r="E292" s="230"/>
      <c r="F292" s="230"/>
      <c r="G292" s="230"/>
      <c r="H292" s="230"/>
      <c r="I292" s="230"/>
      <c r="J292" s="230"/>
      <c r="K292" s="230"/>
      <c r="L292" s="230"/>
      <c r="M292" s="230"/>
      <c r="N292" s="230"/>
      <c r="O292" s="230"/>
    </row>
    <row r="293" spans="1:15">
      <c r="A293" s="230"/>
      <c r="B293" s="230"/>
      <c r="C293" s="230"/>
      <c r="D293" s="230"/>
      <c r="E293" s="230"/>
      <c r="F293" s="230"/>
      <c r="G293" s="230"/>
      <c r="H293" s="230"/>
      <c r="I293" s="230"/>
      <c r="J293" s="230"/>
      <c r="K293" s="230"/>
      <c r="L293" s="230"/>
      <c r="M293" s="230"/>
      <c r="N293" s="230"/>
      <c r="O293" s="230"/>
    </row>
    <row r="294" spans="1:15">
      <c r="A294" s="230"/>
      <c r="B294" s="230"/>
      <c r="C294" s="230"/>
      <c r="D294" s="230"/>
      <c r="E294" s="230"/>
      <c r="F294" s="230"/>
      <c r="G294" s="230"/>
      <c r="H294" s="230"/>
      <c r="I294" s="230"/>
      <c r="J294" s="230"/>
      <c r="K294" s="230"/>
      <c r="L294" s="230"/>
      <c r="M294" s="230"/>
      <c r="N294" s="230"/>
      <c r="O294" s="230"/>
    </row>
    <row r="295" spans="1:15">
      <c r="A295" s="230"/>
      <c r="B295" s="230"/>
      <c r="C295" s="230"/>
      <c r="D295" s="230"/>
      <c r="E295" s="230"/>
      <c r="F295" s="230"/>
      <c r="G295" s="230"/>
      <c r="H295" s="230"/>
      <c r="I295" s="230"/>
      <c r="J295" s="230"/>
      <c r="K295" s="230"/>
      <c r="L295" s="230"/>
      <c r="M295" s="230"/>
      <c r="N295" s="230"/>
      <c r="O295" s="230"/>
    </row>
    <row r="296" spans="1:15">
      <c r="A296" s="230"/>
      <c r="B296" s="230"/>
      <c r="C296" s="230"/>
      <c r="D296" s="230"/>
      <c r="E296" s="230"/>
      <c r="F296" s="230"/>
      <c r="G296" s="230"/>
      <c r="H296" s="230"/>
      <c r="I296" s="230"/>
      <c r="J296" s="230"/>
      <c r="K296" s="230"/>
      <c r="L296" s="230"/>
      <c r="M296" s="230"/>
      <c r="N296" s="230"/>
      <c r="O296" s="230"/>
    </row>
    <row r="297" spans="1:15">
      <c r="A297" s="230"/>
      <c r="B297" s="230"/>
      <c r="C297" s="230"/>
      <c r="D297" s="230"/>
      <c r="E297" s="230"/>
      <c r="F297" s="230"/>
      <c r="G297" s="230"/>
      <c r="H297" s="230"/>
      <c r="I297" s="230"/>
      <c r="J297" s="230"/>
      <c r="K297" s="230"/>
      <c r="L297" s="230"/>
      <c r="M297" s="230"/>
      <c r="N297" s="230"/>
      <c r="O297" s="230"/>
    </row>
    <row r="298" spans="1:15">
      <c r="A298" s="230"/>
      <c r="B298" s="230"/>
      <c r="C298" s="230"/>
      <c r="D298" s="230"/>
      <c r="E298" s="230"/>
      <c r="F298" s="230"/>
      <c r="G298" s="230"/>
      <c r="H298" s="230"/>
      <c r="I298" s="230"/>
      <c r="J298" s="230"/>
      <c r="K298" s="230"/>
      <c r="L298" s="230"/>
      <c r="M298" s="230"/>
      <c r="N298" s="230"/>
      <c r="O298" s="230"/>
    </row>
    <row r="299" spans="1:15">
      <c r="A299" s="230"/>
      <c r="B299" s="230"/>
      <c r="C299" s="230"/>
      <c r="D299" s="230"/>
      <c r="E299" s="230"/>
      <c r="F299" s="230"/>
      <c r="G299" s="230"/>
      <c r="H299" s="230"/>
      <c r="I299" s="230"/>
      <c r="J299" s="230"/>
      <c r="K299" s="230"/>
      <c r="L299" s="230"/>
      <c r="M299" s="230"/>
      <c r="N299" s="230"/>
      <c r="O299" s="230"/>
    </row>
    <row r="300" spans="1:15">
      <c r="A300" s="230"/>
      <c r="B300" s="230"/>
      <c r="C300" s="230"/>
      <c r="D300" s="230"/>
      <c r="E300" s="230"/>
      <c r="F300" s="230"/>
      <c r="G300" s="230"/>
      <c r="H300" s="230"/>
      <c r="I300" s="230"/>
      <c r="J300" s="230"/>
      <c r="K300" s="230"/>
      <c r="L300" s="230"/>
      <c r="M300" s="230"/>
      <c r="N300" s="230"/>
      <c r="O300" s="230"/>
    </row>
    <row r="301" spans="1:15">
      <c r="A301" s="230"/>
      <c r="B301" s="230"/>
      <c r="C301" s="230"/>
      <c r="D301" s="230"/>
      <c r="E301" s="230"/>
      <c r="F301" s="230"/>
      <c r="G301" s="230"/>
      <c r="H301" s="230"/>
      <c r="I301" s="230"/>
      <c r="J301" s="230"/>
      <c r="K301" s="230"/>
      <c r="L301" s="230"/>
      <c r="M301" s="230"/>
      <c r="N301" s="230"/>
      <c r="O301" s="230"/>
    </row>
    <row r="302" spans="1:15">
      <c r="A302" s="230"/>
      <c r="B302" s="230"/>
      <c r="C302" s="230"/>
      <c r="D302" s="230"/>
      <c r="E302" s="230"/>
      <c r="F302" s="230"/>
      <c r="G302" s="230"/>
      <c r="H302" s="230"/>
      <c r="I302" s="230"/>
      <c r="J302" s="230"/>
      <c r="K302" s="230"/>
      <c r="L302" s="230"/>
      <c r="M302" s="230"/>
      <c r="N302" s="230"/>
      <c r="O302" s="230"/>
    </row>
    <row r="303" spans="1:15">
      <c r="A303" s="230"/>
      <c r="B303" s="230"/>
      <c r="C303" s="230"/>
      <c r="D303" s="230"/>
      <c r="E303" s="230"/>
      <c r="F303" s="230"/>
      <c r="G303" s="230"/>
      <c r="H303" s="230"/>
      <c r="I303" s="230"/>
      <c r="J303" s="230"/>
      <c r="K303" s="230"/>
      <c r="L303" s="230"/>
      <c r="M303" s="230"/>
      <c r="N303" s="230"/>
      <c r="O303" s="230"/>
    </row>
    <row r="304" spans="1:15">
      <c r="A304" s="230"/>
      <c r="B304" s="230"/>
      <c r="C304" s="230"/>
      <c r="D304" s="230"/>
      <c r="E304" s="230"/>
      <c r="F304" s="230"/>
      <c r="G304" s="230"/>
      <c r="H304" s="230"/>
      <c r="I304" s="230"/>
      <c r="J304" s="230"/>
      <c r="K304" s="230"/>
      <c r="L304" s="230"/>
      <c r="M304" s="230"/>
      <c r="N304" s="230"/>
      <c r="O304" s="230"/>
    </row>
    <row r="305" spans="1:15">
      <c r="A305" s="230"/>
      <c r="B305" s="230"/>
      <c r="C305" s="230"/>
      <c r="D305" s="230"/>
      <c r="E305" s="230"/>
      <c r="F305" s="230"/>
      <c r="G305" s="230"/>
      <c r="H305" s="230"/>
      <c r="I305" s="230"/>
      <c r="J305" s="230"/>
      <c r="K305" s="230"/>
      <c r="L305" s="230"/>
      <c r="M305" s="230"/>
      <c r="N305" s="230"/>
      <c r="O305" s="230"/>
    </row>
    <row r="306" spans="1:15">
      <c r="A306" s="230"/>
      <c r="B306" s="230"/>
      <c r="C306" s="230"/>
      <c r="D306" s="230"/>
      <c r="E306" s="230"/>
      <c r="F306" s="230"/>
      <c r="G306" s="230"/>
      <c r="H306" s="230"/>
      <c r="I306" s="230"/>
      <c r="J306" s="230"/>
      <c r="K306" s="230"/>
      <c r="L306" s="230"/>
      <c r="M306" s="230"/>
      <c r="N306" s="230"/>
      <c r="O306" s="230"/>
    </row>
    <row r="307" spans="1:15">
      <c r="A307" s="230"/>
      <c r="B307" s="230"/>
      <c r="C307" s="230"/>
      <c r="D307" s="230"/>
      <c r="E307" s="230"/>
      <c r="F307" s="230"/>
      <c r="G307" s="230"/>
      <c r="H307" s="230"/>
      <c r="I307" s="230"/>
      <c r="J307" s="230"/>
      <c r="K307" s="230"/>
      <c r="L307" s="230"/>
      <c r="M307" s="230"/>
      <c r="N307" s="230"/>
      <c r="O307" s="230"/>
    </row>
    <row r="308" spans="1:15">
      <c r="A308" s="230"/>
      <c r="B308" s="230"/>
      <c r="C308" s="230"/>
      <c r="D308" s="230"/>
      <c r="E308" s="230"/>
      <c r="F308" s="230"/>
      <c r="G308" s="230"/>
      <c r="H308" s="230"/>
      <c r="I308" s="230"/>
      <c r="J308" s="230"/>
      <c r="K308" s="230"/>
      <c r="L308" s="230"/>
      <c r="M308" s="230"/>
      <c r="N308" s="230"/>
      <c r="O308" s="230"/>
    </row>
    <row r="309" spans="1:15">
      <c r="A309" s="230"/>
      <c r="B309" s="230"/>
      <c r="C309" s="230"/>
      <c r="D309" s="230"/>
      <c r="E309" s="230"/>
      <c r="F309" s="230"/>
      <c r="G309" s="230"/>
      <c r="H309" s="230"/>
      <c r="I309" s="230"/>
      <c r="J309" s="230"/>
      <c r="K309" s="230"/>
      <c r="L309" s="230"/>
      <c r="M309" s="230"/>
      <c r="N309" s="230"/>
      <c r="O309" s="230"/>
    </row>
    <row r="310" spans="1:15">
      <c r="A310" s="230"/>
      <c r="B310" s="230"/>
      <c r="C310" s="230"/>
      <c r="D310" s="230"/>
      <c r="E310" s="230"/>
      <c r="F310" s="230"/>
      <c r="G310" s="230"/>
      <c r="H310" s="230"/>
      <c r="I310" s="230"/>
      <c r="J310" s="230"/>
      <c r="K310" s="230"/>
      <c r="L310" s="230"/>
      <c r="M310" s="230"/>
      <c r="N310" s="230"/>
      <c r="O310" s="230"/>
    </row>
    <row r="311" spans="1:15">
      <c r="A311" s="230"/>
      <c r="B311" s="230"/>
      <c r="C311" s="230"/>
      <c r="D311" s="230"/>
      <c r="E311" s="230"/>
      <c r="F311" s="230"/>
      <c r="G311" s="230"/>
      <c r="H311" s="230"/>
      <c r="I311" s="230"/>
      <c r="J311" s="230"/>
      <c r="K311" s="230"/>
      <c r="L311" s="230"/>
      <c r="M311" s="230"/>
      <c r="N311" s="230"/>
      <c r="O311" s="230"/>
    </row>
    <row r="312" spans="1:15">
      <c r="A312" s="230"/>
      <c r="B312" s="230"/>
      <c r="C312" s="230"/>
      <c r="D312" s="230"/>
      <c r="E312" s="230"/>
      <c r="F312" s="230"/>
      <c r="G312" s="230"/>
      <c r="H312" s="230"/>
      <c r="I312" s="230"/>
      <c r="J312" s="230"/>
      <c r="K312" s="230"/>
      <c r="L312" s="230"/>
      <c r="M312" s="230"/>
      <c r="N312" s="230"/>
      <c r="O312" s="230"/>
    </row>
    <row r="313" spans="1:15">
      <c r="A313" s="230"/>
      <c r="B313" s="230"/>
      <c r="C313" s="230"/>
      <c r="D313" s="230"/>
      <c r="E313" s="230"/>
      <c r="F313" s="230"/>
      <c r="G313" s="230"/>
      <c r="H313" s="230"/>
      <c r="I313" s="230"/>
      <c r="J313" s="230"/>
      <c r="K313" s="230"/>
      <c r="L313" s="230"/>
      <c r="M313" s="230"/>
      <c r="N313" s="230"/>
      <c r="O313" s="230"/>
    </row>
    <row r="314" spans="1:15">
      <c r="A314" s="230"/>
      <c r="B314" s="230"/>
      <c r="C314" s="230"/>
      <c r="D314" s="230"/>
      <c r="E314" s="230"/>
      <c r="F314" s="230"/>
      <c r="G314" s="230"/>
      <c r="H314" s="230"/>
      <c r="I314" s="230"/>
      <c r="J314" s="230"/>
      <c r="K314" s="230"/>
      <c r="L314" s="230"/>
      <c r="M314" s="230"/>
      <c r="N314" s="230"/>
      <c r="O314" s="230"/>
    </row>
    <row r="315" spans="1:15">
      <c r="A315" s="230"/>
      <c r="B315" s="230"/>
      <c r="C315" s="230"/>
      <c r="D315" s="230"/>
      <c r="E315" s="230"/>
      <c r="F315" s="230"/>
      <c r="G315" s="230"/>
      <c r="H315" s="230"/>
      <c r="I315" s="230"/>
      <c r="J315" s="230"/>
      <c r="K315" s="230"/>
      <c r="L315" s="230"/>
      <c r="M315" s="230"/>
      <c r="N315" s="230"/>
      <c r="O315" s="230"/>
    </row>
    <row r="316" spans="1:15">
      <c r="A316" s="230"/>
      <c r="B316" s="230"/>
      <c r="C316" s="230"/>
      <c r="D316" s="230"/>
      <c r="E316" s="230"/>
      <c r="F316" s="230"/>
      <c r="G316" s="230"/>
      <c r="H316" s="230"/>
      <c r="I316" s="230"/>
      <c r="J316" s="230"/>
      <c r="K316" s="230"/>
      <c r="L316" s="230"/>
      <c r="M316" s="230"/>
      <c r="N316" s="230"/>
      <c r="O316" s="230"/>
    </row>
    <row r="317" spans="1:15">
      <c r="A317" s="230"/>
      <c r="B317" s="230"/>
      <c r="C317" s="230"/>
      <c r="D317" s="230"/>
      <c r="E317" s="230"/>
      <c r="F317" s="230"/>
      <c r="G317" s="230"/>
      <c r="H317" s="230"/>
      <c r="I317" s="230"/>
      <c r="J317" s="230"/>
      <c r="K317" s="230"/>
      <c r="L317" s="230"/>
      <c r="M317" s="230"/>
      <c r="N317" s="230"/>
      <c r="O317" s="230"/>
    </row>
    <row r="318" spans="1:15">
      <c r="A318" s="230"/>
      <c r="B318" s="230"/>
      <c r="C318" s="230"/>
      <c r="D318" s="230"/>
      <c r="E318" s="230"/>
      <c r="F318" s="230"/>
      <c r="G318" s="230"/>
      <c r="H318" s="230"/>
      <c r="I318" s="230"/>
      <c r="J318" s="230"/>
      <c r="K318" s="230"/>
      <c r="L318" s="230"/>
      <c r="M318" s="230"/>
      <c r="N318" s="230"/>
      <c r="O318" s="230"/>
    </row>
    <row r="319" spans="1:15">
      <c r="A319" s="230"/>
      <c r="B319" s="230"/>
      <c r="C319" s="230"/>
      <c r="D319" s="230"/>
      <c r="E319" s="230"/>
      <c r="F319" s="230"/>
      <c r="G319" s="230"/>
      <c r="H319" s="230"/>
      <c r="I319" s="230"/>
      <c r="J319" s="230"/>
      <c r="K319" s="230"/>
      <c r="L319" s="230"/>
      <c r="M319" s="230"/>
      <c r="N319" s="230"/>
      <c r="O319" s="230"/>
    </row>
    <row r="320" spans="1:15">
      <c r="A320" s="230"/>
      <c r="B320" s="230"/>
      <c r="C320" s="230"/>
      <c r="D320" s="230"/>
      <c r="E320" s="230"/>
      <c r="F320" s="230"/>
      <c r="G320" s="230"/>
      <c r="H320" s="230"/>
      <c r="I320" s="230"/>
      <c r="J320" s="230"/>
      <c r="K320" s="230"/>
      <c r="L320" s="230"/>
      <c r="M320" s="230"/>
      <c r="N320" s="230"/>
      <c r="O320" s="230"/>
    </row>
    <row r="321" spans="1:15">
      <c r="A321" s="230"/>
      <c r="B321" s="230"/>
      <c r="C321" s="230"/>
      <c r="D321" s="230"/>
      <c r="E321" s="230"/>
      <c r="F321" s="230"/>
      <c r="G321" s="230"/>
      <c r="H321" s="230"/>
      <c r="I321" s="230"/>
      <c r="J321" s="230"/>
      <c r="K321" s="230"/>
      <c r="L321" s="230"/>
      <c r="M321" s="230"/>
      <c r="N321" s="230"/>
      <c r="O321" s="230"/>
    </row>
    <row r="322" spans="1:15">
      <c r="A322" s="230"/>
      <c r="B322" s="230"/>
      <c r="C322" s="230"/>
      <c r="D322" s="230"/>
      <c r="E322" s="230"/>
      <c r="F322" s="230"/>
      <c r="G322" s="230"/>
      <c r="H322" s="230"/>
      <c r="I322" s="230"/>
      <c r="J322" s="230"/>
      <c r="K322" s="230"/>
      <c r="L322" s="230"/>
      <c r="M322" s="230"/>
      <c r="N322" s="230"/>
      <c r="O322" s="230"/>
    </row>
    <row r="323" spans="1:15">
      <c r="A323" s="230"/>
      <c r="B323" s="230"/>
      <c r="C323" s="230"/>
      <c r="D323" s="230"/>
      <c r="E323" s="230"/>
      <c r="F323" s="230"/>
      <c r="G323" s="230"/>
      <c r="H323" s="230"/>
      <c r="I323" s="230"/>
      <c r="J323" s="230"/>
      <c r="K323" s="230"/>
      <c r="L323" s="230"/>
      <c r="M323" s="230"/>
      <c r="N323" s="230"/>
      <c r="O323" s="230"/>
    </row>
    <row r="324" spans="1:15">
      <c r="A324" s="230"/>
      <c r="B324" s="230"/>
      <c r="C324" s="230"/>
      <c r="D324" s="230"/>
      <c r="E324" s="230"/>
      <c r="F324" s="230"/>
      <c r="G324" s="230"/>
      <c r="H324" s="230"/>
      <c r="I324" s="230"/>
      <c r="J324" s="230"/>
      <c r="K324" s="230"/>
      <c r="L324" s="230"/>
      <c r="M324" s="230"/>
      <c r="N324" s="230"/>
      <c r="O324" s="230"/>
    </row>
    <row r="325" spans="1:15">
      <c r="A325" s="230"/>
      <c r="B325" s="230"/>
      <c r="C325" s="230"/>
      <c r="D325" s="230"/>
      <c r="E325" s="230"/>
      <c r="F325" s="230"/>
      <c r="G325" s="230"/>
      <c r="H325" s="230"/>
      <c r="I325" s="230"/>
      <c r="J325" s="230"/>
      <c r="K325" s="230"/>
      <c r="L325" s="230"/>
      <c r="M325" s="230"/>
      <c r="N325" s="230"/>
      <c r="O325" s="230"/>
    </row>
    <row r="326" spans="1:15">
      <c r="A326" s="230"/>
      <c r="B326" s="230"/>
      <c r="C326" s="230"/>
      <c r="D326" s="230"/>
      <c r="E326" s="230"/>
      <c r="F326" s="230"/>
      <c r="G326" s="230"/>
      <c r="H326" s="230"/>
      <c r="I326" s="230"/>
      <c r="J326" s="230"/>
      <c r="K326" s="230"/>
      <c r="L326" s="230"/>
      <c r="M326" s="230"/>
      <c r="N326" s="230"/>
      <c r="O326" s="230"/>
    </row>
    <row r="327" spans="1:15">
      <c r="A327" s="230"/>
      <c r="B327" s="230"/>
      <c r="C327" s="230"/>
      <c r="D327" s="230"/>
      <c r="E327" s="230"/>
      <c r="F327" s="230"/>
      <c r="G327" s="230"/>
      <c r="H327" s="230"/>
      <c r="I327" s="230"/>
      <c r="J327" s="230"/>
      <c r="K327" s="230"/>
      <c r="L327" s="230"/>
      <c r="M327" s="230"/>
      <c r="N327" s="230"/>
      <c r="O327" s="230"/>
    </row>
    <row r="328" spans="1:15">
      <c r="A328" s="230"/>
      <c r="B328" s="230"/>
      <c r="C328" s="230"/>
      <c r="D328" s="230"/>
      <c r="E328" s="230"/>
      <c r="F328" s="230"/>
      <c r="G328" s="230"/>
      <c r="H328" s="230"/>
      <c r="I328" s="230"/>
      <c r="J328" s="230"/>
      <c r="K328" s="230"/>
      <c r="L328" s="230"/>
      <c r="M328" s="230"/>
      <c r="N328" s="230"/>
      <c r="O328" s="230"/>
    </row>
    <row r="329" spans="1:15">
      <c r="A329" s="230"/>
      <c r="B329" s="230"/>
      <c r="C329" s="230"/>
      <c r="D329" s="230"/>
      <c r="E329" s="230"/>
      <c r="F329" s="230"/>
      <c r="G329" s="230"/>
      <c r="H329" s="230"/>
      <c r="I329" s="230"/>
      <c r="J329" s="230"/>
      <c r="K329" s="230"/>
      <c r="L329" s="230"/>
      <c r="M329" s="230"/>
      <c r="N329" s="230"/>
      <c r="O329" s="230"/>
    </row>
    <row r="330" spans="1:15">
      <c r="A330" s="230"/>
      <c r="B330" s="230"/>
      <c r="C330" s="230"/>
      <c r="D330" s="230"/>
      <c r="E330" s="230"/>
      <c r="F330" s="230"/>
      <c r="G330" s="230"/>
      <c r="H330" s="230"/>
      <c r="I330" s="230"/>
      <c r="J330" s="230"/>
      <c r="K330" s="230"/>
      <c r="L330" s="230"/>
      <c r="M330" s="230"/>
      <c r="N330" s="230"/>
      <c r="O330" s="230"/>
    </row>
    <row r="331" spans="1:15">
      <c r="A331" s="230"/>
      <c r="B331" s="230"/>
      <c r="C331" s="230"/>
      <c r="D331" s="230"/>
      <c r="E331" s="230"/>
      <c r="F331" s="230"/>
      <c r="G331" s="230"/>
      <c r="H331" s="230"/>
      <c r="I331" s="230"/>
      <c r="J331" s="230"/>
      <c r="K331" s="230"/>
      <c r="L331" s="230"/>
      <c r="M331" s="230"/>
      <c r="N331" s="230"/>
      <c r="O331" s="230"/>
    </row>
    <row r="332" spans="1:15">
      <c r="A332" s="230"/>
      <c r="B332" s="230"/>
      <c r="C332" s="230"/>
      <c r="D332" s="230"/>
      <c r="E332" s="230"/>
      <c r="F332" s="230"/>
      <c r="G332" s="230"/>
      <c r="H332" s="230"/>
      <c r="I332" s="230"/>
      <c r="J332" s="230"/>
      <c r="K332" s="230"/>
      <c r="L332" s="230"/>
      <c r="M332" s="230"/>
      <c r="N332" s="230"/>
      <c r="O332" s="230"/>
    </row>
    <row r="333" spans="1:15">
      <c r="A333" s="230"/>
      <c r="B333" s="230"/>
      <c r="C333" s="230"/>
      <c r="D333" s="230"/>
      <c r="E333" s="230"/>
      <c r="F333" s="230"/>
      <c r="G333" s="230"/>
      <c r="H333" s="230"/>
      <c r="I333" s="230"/>
      <c r="J333" s="230"/>
      <c r="K333" s="230"/>
      <c r="L333" s="230"/>
      <c r="M333" s="230"/>
      <c r="N333" s="230"/>
      <c r="O333" s="230"/>
    </row>
    <row r="334" spans="1:15">
      <c r="A334" s="230"/>
      <c r="B334" s="230"/>
      <c r="C334" s="230"/>
      <c r="D334" s="230"/>
      <c r="E334" s="230"/>
      <c r="F334" s="230"/>
      <c r="G334" s="230"/>
      <c r="H334" s="230"/>
      <c r="I334" s="230"/>
      <c r="J334" s="230"/>
      <c r="K334" s="230"/>
      <c r="L334" s="230"/>
      <c r="M334" s="230"/>
      <c r="N334" s="230"/>
      <c r="O334" s="230"/>
    </row>
    <row r="335" spans="1:15">
      <c r="A335" s="230"/>
      <c r="B335" s="230"/>
      <c r="C335" s="230"/>
      <c r="D335" s="230"/>
      <c r="E335" s="230"/>
      <c r="F335" s="230"/>
      <c r="G335" s="230"/>
      <c r="H335" s="230"/>
      <c r="I335" s="230"/>
      <c r="J335" s="230"/>
      <c r="K335" s="230"/>
      <c r="L335" s="230"/>
      <c r="M335" s="230"/>
      <c r="N335" s="230"/>
      <c r="O335" s="230"/>
    </row>
    <row r="336" spans="1:15">
      <c r="A336" s="230"/>
      <c r="B336" s="230"/>
      <c r="C336" s="230"/>
      <c r="D336" s="230"/>
      <c r="E336" s="230"/>
      <c r="F336" s="230"/>
      <c r="G336" s="230"/>
      <c r="H336" s="230"/>
      <c r="I336" s="230"/>
      <c r="J336" s="230"/>
      <c r="K336" s="230"/>
      <c r="L336" s="230"/>
      <c r="M336" s="230"/>
      <c r="N336" s="230"/>
      <c r="O336" s="230"/>
    </row>
    <row r="337" spans="1:15">
      <c r="A337" s="230"/>
      <c r="B337" s="230"/>
      <c r="C337" s="230"/>
      <c r="D337" s="230"/>
      <c r="E337" s="230"/>
      <c r="F337" s="230"/>
      <c r="G337" s="230"/>
      <c r="H337" s="230"/>
      <c r="I337" s="230"/>
      <c r="J337" s="230"/>
      <c r="K337" s="230"/>
      <c r="L337" s="230"/>
      <c r="M337" s="230"/>
      <c r="N337" s="230"/>
      <c r="O337" s="230"/>
    </row>
    <row r="338" spans="1:15">
      <c r="A338" s="230"/>
      <c r="B338" s="230"/>
      <c r="C338" s="230"/>
      <c r="D338" s="230"/>
      <c r="E338" s="230"/>
      <c r="F338" s="230"/>
      <c r="G338" s="230"/>
      <c r="H338" s="230"/>
      <c r="I338" s="230"/>
      <c r="J338" s="230"/>
      <c r="K338" s="230"/>
      <c r="L338" s="230"/>
      <c r="M338" s="230"/>
      <c r="N338" s="230"/>
      <c r="O338" s="230"/>
    </row>
    <row r="339" spans="1:15">
      <c r="A339" s="230"/>
      <c r="B339" s="230"/>
      <c r="C339" s="230"/>
      <c r="D339" s="230"/>
      <c r="E339" s="230"/>
      <c r="F339" s="230"/>
      <c r="G339" s="230"/>
      <c r="H339" s="230"/>
      <c r="I339" s="230"/>
      <c r="J339" s="230"/>
      <c r="K339" s="230"/>
      <c r="L339" s="230"/>
      <c r="M339" s="230"/>
      <c r="N339" s="230"/>
      <c r="O339" s="230"/>
    </row>
    <row r="340" spans="1:15">
      <c r="A340" s="230"/>
      <c r="B340" s="230"/>
      <c r="C340" s="230"/>
      <c r="D340" s="230"/>
      <c r="E340" s="230"/>
      <c r="F340" s="230"/>
      <c r="G340" s="230"/>
      <c r="H340" s="230"/>
      <c r="I340" s="230"/>
      <c r="J340" s="230"/>
      <c r="K340" s="230"/>
      <c r="L340" s="230"/>
      <c r="M340" s="230"/>
      <c r="N340" s="230"/>
      <c r="O340" s="230"/>
    </row>
    <row r="341" spans="1:15">
      <c r="A341" s="230"/>
      <c r="B341" s="230"/>
      <c r="C341" s="230"/>
      <c r="D341" s="230"/>
      <c r="E341" s="230"/>
      <c r="F341" s="230"/>
      <c r="G341" s="230"/>
      <c r="H341" s="230"/>
      <c r="I341" s="230"/>
      <c r="J341" s="230"/>
      <c r="K341" s="230"/>
      <c r="L341" s="230"/>
      <c r="M341" s="230"/>
      <c r="N341" s="230"/>
      <c r="O341" s="230"/>
    </row>
    <row r="342" spans="1:15">
      <c r="A342" s="230"/>
      <c r="B342" s="230"/>
      <c r="C342" s="230"/>
      <c r="D342" s="230"/>
      <c r="E342" s="230"/>
      <c r="F342" s="230"/>
      <c r="G342" s="230"/>
      <c r="H342" s="230"/>
      <c r="I342" s="230"/>
      <c r="J342" s="230"/>
      <c r="K342" s="230"/>
      <c r="L342" s="230"/>
      <c r="M342" s="230"/>
      <c r="N342" s="230"/>
      <c r="O342" s="230"/>
    </row>
    <row r="343" spans="1:15">
      <c r="A343" s="230"/>
      <c r="B343" s="230"/>
      <c r="C343" s="230"/>
      <c r="D343" s="230"/>
      <c r="E343" s="230"/>
      <c r="F343" s="230"/>
      <c r="G343" s="230"/>
      <c r="H343" s="230"/>
      <c r="I343" s="230"/>
      <c r="J343" s="230"/>
      <c r="K343" s="230"/>
      <c r="L343" s="230"/>
      <c r="M343" s="230"/>
      <c r="N343" s="230"/>
      <c r="O343" s="230"/>
    </row>
    <row r="344" spans="1:15">
      <c r="A344" s="230"/>
      <c r="B344" s="230"/>
      <c r="C344" s="230"/>
      <c r="D344" s="230"/>
      <c r="E344" s="230"/>
      <c r="F344" s="230"/>
      <c r="G344" s="230"/>
      <c r="H344" s="230"/>
      <c r="I344" s="230"/>
      <c r="J344" s="230"/>
      <c r="K344" s="230"/>
      <c r="L344" s="230"/>
      <c r="M344" s="230"/>
      <c r="N344" s="230"/>
      <c r="O344" s="230"/>
    </row>
    <row r="345" spans="1:15">
      <c r="A345" s="230"/>
      <c r="B345" s="230"/>
      <c r="C345" s="230"/>
      <c r="D345" s="230"/>
      <c r="E345" s="230"/>
      <c r="F345" s="230"/>
      <c r="G345" s="230"/>
      <c r="H345" s="230"/>
      <c r="I345" s="230"/>
      <c r="J345" s="230"/>
      <c r="K345" s="230"/>
      <c r="L345" s="230"/>
      <c r="M345" s="230"/>
      <c r="N345" s="230"/>
      <c r="O345" s="230"/>
    </row>
    <row r="346" spans="1:15">
      <c r="A346" s="230"/>
      <c r="B346" s="230"/>
      <c r="C346" s="230"/>
      <c r="D346" s="230"/>
      <c r="E346" s="230"/>
      <c r="F346" s="230"/>
      <c r="G346" s="230"/>
      <c r="H346" s="230"/>
      <c r="I346" s="230"/>
      <c r="J346" s="230"/>
      <c r="K346" s="230"/>
      <c r="L346" s="230"/>
      <c r="M346" s="230"/>
      <c r="N346" s="230"/>
      <c r="O346" s="230"/>
    </row>
    <row r="347" spans="1:15">
      <c r="A347" s="230"/>
      <c r="B347" s="230"/>
      <c r="C347" s="230"/>
      <c r="D347" s="230"/>
      <c r="E347" s="230"/>
      <c r="F347" s="230"/>
      <c r="G347" s="230"/>
      <c r="H347" s="230"/>
      <c r="I347" s="230"/>
      <c r="J347" s="230"/>
      <c r="K347" s="230"/>
      <c r="L347" s="230"/>
      <c r="M347" s="230"/>
      <c r="N347" s="230"/>
      <c r="O347" s="230"/>
    </row>
    <row r="348" spans="1:15">
      <c r="A348" s="230"/>
      <c r="B348" s="230"/>
      <c r="C348" s="230"/>
      <c r="D348" s="230"/>
      <c r="E348" s="230"/>
      <c r="F348" s="230"/>
      <c r="G348" s="230"/>
      <c r="H348" s="230"/>
      <c r="I348" s="230"/>
      <c r="J348" s="230"/>
      <c r="K348" s="230"/>
      <c r="L348" s="230"/>
      <c r="M348" s="230"/>
      <c r="N348" s="230"/>
      <c r="O348" s="230"/>
    </row>
    <row r="349" spans="1:15">
      <c r="A349" s="230"/>
      <c r="B349" s="230"/>
      <c r="C349" s="230"/>
      <c r="D349" s="230"/>
      <c r="E349" s="230"/>
      <c r="F349" s="230"/>
      <c r="G349" s="230"/>
      <c r="H349" s="230"/>
      <c r="I349" s="230"/>
      <c r="J349" s="230"/>
      <c r="K349" s="230"/>
      <c r="L349" s="230"/>
      <c r="M349" s="230"/>
      <c r="N349" s="230"/>
      <c r="O349" s="230"/>
    </row>
    <row r="350" spans="1:15">
      <c r="A350" s="230"/>
      <c r="B350" s="230"/>
      <c r="C350" s="230"/>
      <c r="D350" s="230"/>
      <c r="E350" s="230"/>
      <c r="F350" s="230"/>
      <c r="G350" s="230"/>
      <c r="H350" s="230"/>
      <c r="I350" s="230"/>
      <c r="J350" s="230"/>
      <c r="K350" s="230"/>
      <c r="L350" s="230"/>
      <c r="M350" s="230"/>
      <c r="N350" s="230"/>
      <c r="O350" s="230"/>
    </row>
    <row r="351" spans="1:15">
      <c r="A351" s="230"/>
      <c r="B351" s="230"/>
      <c r="C351" s="230"/>
      <c r="D351" s="230"/>
      <c r="E351" s="230"/>
      <c r="F351" s="230"/>
      <c r="G351" s="230"/>
      <c r="H351" s="230"/>
      <c r="I351" s="230"/>
      <c r="J351" s="230"/>
      <c r="K351" s="230"/>
      <c r="L351" s="230"/>
      <c r="M351" s="230"/>
      <c r="N351" s="230"/>
      <c r="O351" s="230"/>
    </row>
    <row r="352" spans="1:15">
      <c r="A352" s="230"/>
      <c r="B352" s="230"/>
      <c r="C352" s="230"/>
      <c r="D352" s="230"/>
      <c r="E352" s="230"/>
      <c r="F352" s="230"/>
      <c r="G352" s="230"/>
      <c r="H352" s="230"/>
      <c r="I352" s="230"/>
      <c r="J352" s="230"/>
      <c r="K352" s="230"/>
      <c r="L352" s="230"/>
      <c r="M352" s="230"/>
      <c r="N352" s="230"/>
      <c r="O352" s="230"/>
    </row>
    <row r="353" spans="1:15">
      <c r="A353" s="230"/>
      <c r="B353" s="230"/>
      <c r="C353" s="230"/>
      <c r="D353" s="230"/>
      <c r="E353" s="230"/>
      <c r="F353" s="230"/>
      <c r="G353" s="230"/>
      <c r="H353" s="230"/>
      <c r="I353" s="230"/>
      <c r="J353" s="230"/>
      <c r="K353" s="230"/>
      <c r="L353" s="230"/>
      <c r="M353" s="230"/>
      <c r="N353" s="230"/>
      <c r="O353" s="230"/>
    </row>
    <row r="354" spans="1:15">
      <c r="A354" s="230"/>
      <c r="B354" s="230"/>
      <c r="C354" s="230"/>
      <c r="D354" s="230"/>
      <c r="E354" s="230"/>
      <c r="F354" s="230"/>
      <c r="G354" s="230"/>
      <c r="H354" s="230"/>
      <c r="I354" s="230"/>
      <c r="J354" s="230"/>
      <c r="K354" s="230"/>
      <c r="L354" s="230"/>
      <c r="M354" s="230"/>
      <c r="N354" s="230"/>
      <c r="O354" s="230"/>
    </row>
    <row r="355" spans="1:15">
      <c r="A355" s="230"/>
      <c r="B355" s="230"/>
      <c r="C355" s="230"/>
      <c r="D355" s="230"/>
      <c r="E355" s="230"/>
      <c r="F355" s="230"/>
      <c r="G355" s="230"/>
      <c r="H355" s="230"/>
      <c r="I355" s="230"/>
      <c r="J355" s="230"/>
      <c r="K355" s="230"/>
      <c r="L355" s="230"/>
      <c r="M355" s="230"/>
      <c r="N355" s="230"/>
      <c r="O355" s="230"/>
    </row>
    <row r="356" spans="1:15">
      <c r="A356" s="230"/>
      <c r="B356" s="230"/>
      <c r="C356" s="230"/>
      <c r="D356" s="230"/>
      <c r="E356" s="230"/>
      <c r="F356" s="230"/>
      <c r="G356" s="230"/>
      <c r="H356" s="230"/>
      <c r="I356" s="230"/>
      <c r="J356" s="230"/>
      <c r="K356" s="230"/>
      <c r="L356" s="230"/>
      <c r="M356" s="230"/>
      <c r="N356" s="230"/>
      <c r="O356" s="230"/>
    </row>
    <row r="357" spans="1:15">
      <c r="A357" s="230"/>
      <c r="B357" s="230"/>
      <c r="C357" s="230"/>
      <c r="D357" s="230"/>
      <c r="E357" s="230"/>
      <c r="F357" s="230"/>
      <c r="G357" s="230"/>
      <c r="H357" s="230"/>
      <c r="I357" s="230"/>
      <c r="J357" s="230"/>
      <c r="K357" s="230"/>
      <c r="L357" s="230"/>
      <c r="M357" s="230"/>
      <c r="N357" s="230"/>
      <c r="O357" s="230"/>
    </row>
    <row r="358" spans="1:15">
      <c r="A358" s="230"/>
      <c r="B358" s="230"/>
      <c r="C358" s="230"/>
      <c r="D358" s="230"/>
      <c r="E358" s="230"/>
      <c r="F358" s="230"/>
      <c r="G358" s="230"/>
      <c r="H358" s="230"/>
      <c r="I358" s="230"/>
      <c r="J358" s="230"/>
      <c r="K358" s="230"/>
      <c r="L358" s="230"/>
      <c r="M358" s="230"/>
      <c r="N358" s="230"/>
      <c r="O358" s="230"/>
    </row>
    <row r="359" spans="1:15">
      <c r="A359" s="230"/>
      <c r="B359" s="230"/>
      <c r="C359" s="230"/>
      <c r="D359" s="230"/>
      <c r="E359" s="230"/>
      <c r="F359" s="230"/>
      <c r="G359" s="230"/>
      <c r="H359" s="230"/>
      <c r="I359" s="230"/>
      <c r="J359" s="230"/>
      <c r="K359" s="230"/>
      <c r="L359" s="230"/>
      <c r="M359" s="230"/>
      <c r="N359" s="230"/>
      <c r="O359" s="230"/>
    </row>
    <row r="360" spans="1:15">
      <c r="A360" s="230"/>
      <c r="B360" s="230"/>
      <c r="C360" s="230"/>
      <c r="D360" s="230"/>
      <c r="E360" s="230"/>
      <c r="F360" s="230"/>
      <c r="G360" s="230"/>
      <c r="H360" s="230"/>
      <c r="I360" s="230"/>
      <c r="J360" s="230"/>
      <c r="K360" s="230"/>
      <c r="L360" s="230"/>
      <c r="M360" s="230"/>
      <c r="N360" s="230"/>
      <c r="O360" s="230"/>
    </row>
    <row r="361" spans="1:15">
      <c r="A361" s="230"/>
      <c r="B361" s="230"/>
      <c r="C361" s="230"/>
      <c r="D361" s="230"/>
      <c r="E361" s="230"/>
      <c r="F361" s="230"/>
      <c r="G361" s="230"/>
      <c r="H361" s="230"/>
      <c r="I361" s="230"/>
      <c r="J361" s="230"/>
      <c r="K361" s="230"/>
      <c r="L361" s="230"/>
      <c r="M361" s="230"/>
      <c r="N361" s="230"/>
      <c r="O361" s="230"/>
    </row>
    <row r="362" spans="1:15">
      <c r="A362" s="230"/>
      <c r="B362" s="230"/>
      <c r="C362" s="230"/>
      <c r="D362" s="230"/>
      <c r="E362" s="230"/>
      <c r="F362" s="230"/>
      <c r="G362" s="230"/>
      <c r="H362" s="230"/>
      <c r="I362" s="230"/>
      <c r="J362" s="230"/>
      <c r="K362" s="230"/>
      <c r="L362" s="230"/>
      <c r="M362" s="230"/>
      <c r="N362" s="230"/>
      <c r="O362" s="230"/>
    </row>
    <row r="363" spans="1:15">
      <c r="A363" s="230"/>
      <c r="B363" s="230"/>
      <c r="C363" s="230"/>
      <c r="D363" s="230"/>
      <c r="E363" s="230"/>
      <c r="F363" s="230"/>
      <c r="G363" s="230"/>
      <c r="H363" s="230"/>
      <c r="I363" s="230"/>
      <c r="J363" s="230"/>
      <c r="K363" s="230"/>
      <c r="L363" s="230"/>
      <c r="M363" s="230"/>
      <c r="N363" s="230"/>
      <c r="O363" s="230"/>
    </row>
    <row r="364" spans="1:15">
      <c r="A364" s="230"/>
      <c r="B364" s="230"/>
      <c r="C364" s="230"/>
      <c r="D364" s="230"/>
      <c r="E364" s="230"/>
      <c r="F364" s="230"/>
      <c r="G364" s="230"/>
      <c r="H364" s="230"/>
      <c r="I364" s="230"/>
      <c r="J364" s="230"/>
      <c r="K364" s="230"/>
      <c r="L364" s="230"/>
      <c r="M364" s="230"/>
      <c r="N364" s="230"/>
      <c r="O364" s="230"/>
    </row>
    <row r="365" spans="1:15">
      <c r="A365" s="230"/>
      <c r="B365" s="230"/>
      <c r="C365" s="230"/>
      <c r="D365" s="230"/>
      <c r="E365" s="230"/>
      <c r="F365" s="230"/>
      <c r="G365" s="230"/>
      <c r="H365" s="230"/>
      <c r="I365" s="230"/>
      <c r="J365" s="230"/>
      <c r="K365" s="230"/>
      <c r="L365" s="230"/>
      <c r="M365" s="230"/>
      <c r="N365" s="230"/>
      <c r="O365" s="230"/>
    </row>
    <row r="366" spans="1:15">
      <c r="A366" s="230"/>
      <c r="B366" s="230"/>
      <c r="C366" s="230"/>
      <c r="D366" s="230"/>
      <c r="E366" s="230"/>
      <c r="F366" s="230"/>
      <c r="G366" s="230"/>
      <c r="H366" s="230"/>
      <c r="I366" s="230"/>
      <c r="J366" s="230"/>
      <c r="K366" s="230"/>
      <c r="L366" s="230"/>
      <c r="M366" s="230"/>
      <c r="N366" s="230"/>
      <c r="O366" s="230"/>
    </row>
    <row r="367" spans="1:15">
      <c r="A367" s="230"/>
      <c r="B367" s="230"/>
      <c r="C367" s="230"/>
      <c r="D367" s="230"/>
      <c r="E367" s="230"/>
      <c r="F367" s="230"/>
      <c r="G367" s="230"/>
      <c r="H367" s="230"/>
      <c r="I367" s="230"/>
      <c r="J367" s="230"/>
      <c r="K367" s="230"/>
      <c r="L367" s="230"/>
      <c r="M367" s="230"/>
      <c r="N367" s="230"/>
      <c r="O367" s="230"/>
    </row>
    <row r="368" spans="1:15">
      <c r="A368" s="230"/>
      <c r="B368" s="230"/>
      <c r="C368" s="230"/>
      <c r="D368" s="230"/>
      <c r="E368" s="230"/>
      <c r="F368" s="230"/>
      <c r="G368" s="230"/>
      <c r="H368" s="230"/>
      <c r="I368" s="230"/>
      <c r="J368" s="230"/>
      <c r="K368" s="230"/>
      <c r="L368" s="230"/>
      <c r="M368" s="230"/>
      <c r="N368" s="230"/>
      <c r="O368" s="230"/>
    </row>
    <row r="369" spans="1:15">
      <c r="A369" s="230"/>
      <c r="B369" s="230"/>
      <c r="C369" s="230"/>
      <c r="D369" s="230"/>
      <c r="E369" s="230"/>
      <c r="F369" s="230"/>
      <c r="G369" s="230"/>
      <c r="H369" s="230"/>
      <c r="I369" s="230"/>
      <c r="J369" s="230"/>
      <c r="K369" s="230"/>
      <c r="L369" s="230"/>
      <c r="M369" s="230"/>
      <c r="N369" s="230"/>
      <c r="O369" s="230"/>
    </row>
    <row r="370" spans="1:15">
      <c r="A370" s="230"/>
      <c r="B370" s="230"/>
      <c r="C370" s="230"/>
      <c r="D370" s="230"/>
      <c r="E370" s="230"/>
      <c r="F370" s="230"/>
      <c r="G370" s="230"/>
      <c r="H370" s="230"/>
      <c r="I370" s="230"/>
      <c r="J370" s="230"/>
      <c r="K370" s="230"/>
      <c r="L370" s="230"/>
      <c r="M370" s="230"/>
      <c r="N370" s="230"/>
      <c r="O370" s="230"/>
    </row>
    <row r="371" spans="1:15">
      <c r="A371" s="230"/>
      <c r="B371" s="230"/>
      <c r="C371" s="230"/>
      <c r="D371" s="230"/>
      <c r="E371" s="230"/>
      <c r="F371" s="230"/>
      <c r="G371" s="230"/>
      <c r="H371" s="230"/>
      <c r="I371" s="230"/>
      <c r="J371" s="230"/>
      <c r="K371" s="230"/>
      <c r="L371" s="230"/>
      <c r="M371" s="230"/>
      <c r="N371" s="230"/>
      <c r="O371" s="230"/>
    </row>
    <row r="372" spans="1:15">
      <c r="A372" s="230"/>
      <c r="B372" s="230"/>
      <c r="C372" s="230"/>
      <c r="D372" s="230"/>
      <c r="E372" s="230"/>
      <c r="F372" s="230"/>
      <c r="G372" s="230"/>
      <c r="H372" s="230"/>
      <c r="I372" s="230"/>
      <c r="J372" s="230"/>
      <c r="K372" s="230"/>
      <c r="L372" s="230"/>
      <c r="M372" s="230"/>
      <c r="N372" s="230"/>
      <c r="O372" s="230"/>
    </row>
    <row r="373" spans="1:15">
      <c r="A373" s="230"/>
      <c r="B373" s="230"/>
      <c r="C373" s="230"/>
      <c r="D373" s="230"/>
      <c r="E373" s="230"/>
      <c r="F373" s="230"/>
      <c r="G373" s="230"/>
      <c r="H373" s="230"/>
      <c r="I373" s="230"/>
      <c r="J373" s="230"/>
      <c r="K373" s="230"/>
      <c r="L373" s="230"/>
      <c r="M373" s="230"/>
      <c r="N373" s="230"/>
      <c r="O373" s="230"/>
    </row>
    <row r="374" spans="1:15">
      <c r="A374" s="230"/>
      <c r="B374" s="230"/>
      <c r="C374" s="230"/>
      <c r="D374" s="230"/>
      <c r="E374" s="230"/>
      <c r="F374" s="230"/>
      <c r="G374" s="230"/>
      <c r="H374" s="230"/>
      <c r="I374" s="230"/>
      <c r="J374" s="230"/>
      <c r="K374" s="230"/>
      <c r="L374" s="230"/>
      <c r="M374" s="230"/>
      <c r="N374" s="230"/>
      <c r="O374" s="230"/>
    </row>
    <row r="375" spans="1:15">
      <c r="A375" s="230"/>
      <c r="B375" s="230"/>
      <c r="C375" s="230"/>
      <c r="D375" s="230"/>
      <c r="E375" s="230"/>
      <c r="F375" s="230"/>
      <c r="G375" s="230"/>
      <c r="H375" s="230"/>
      <c r="I375" s="230"/>
      <c r="J375" s="230"/>
      <c r="K375" s="230"/>
      <c r="L375" s="230"/>
      <c r="M375" s="230"/>
      <c r="N375" s="230"/>
      <c r="O375" s="230"/>
    </row>
    <row r="376" spans="1:15">
      <c r="A376" s="230"/>
      <c r="B376" s="230"/>
      <c r="C376" s="230"/>
      <c r="D376" s="230"/>
      <c r="E376" s="230"/>
      <c r="F376" s="230"/>
      <c r="G376" s="230"/>
      <c r="H376" s="230"/>
      <c r="I376" s="230"/>
      <c r="J376" s="230"/>
      <c r="K376" s="230"/>
      <c r="L376" s="230"/>
      <c r="M376" s="230"/>
      <c r="N376" s="230"/>
      <c r="O376" s="230"/>
    </row>
    <row r="377" spans="1:15">
      <c r="A377" s="230"/>
      <c r="B377" s="230"/>
      <c r="C377" s="230"/>
      <c r="D377" s="230"/>
      <c r="E377" s="230"/>
      <c r="F377" s="230"/>
      <c r="G377" s="230"/>
      <c r="H377" s="230"/>
      <c r="I377" s="230"/>
      <c r="J377" s="230"/>
      <c r="K377" s="230"/>
      <c r="L377" s="230"/>
      <c r="M377" s="230"/>
      <c r="N377" s="230"/>
      <c r="O377" s="230"/>
    </row>
    <row r="378" spans="1:15">
      <c r="A378" s="230"/>
      <c r="B378" s="230"/>
      <c r="C378" s="230"/>
      <c r="D378" s="230"/>
      <c r="E378" s="230"/>
      <c r="F378" s="230"/>
      <c r="G378" s="230"/>
      <c r="H378" s="230"/>
      <c r="I378" s="230"/>
      <c r="J378" s="230"/>
      <c r="K378" s="230"/>
      <c r="L378" s="230"/>
      <c r="M378" s="230"/>
      <c r="N378" s="230"/>
      <c r="O378" s="230"/>
    </row>
    <row r="379" spans="1:15">
      <c r="A379" s="230"/>
      <c r="B379" s="230"/>
      <c r="C379" s="230"/>
      <c r="D379" s="230"/>
      <c r="E379" s="230"/>
      <c r="F379" s="230"/>
      <c r="G379" s="230"/>
      <c r="H379" s="230"/>
      <c r="I379" s="230"/>
      <c r="J379" s="230"/>
      <c r="K379" s="230"/>
      <c r="L379" s="230"/>
      <c r="M379" s="230"/>
      <c r="N379" s="230"/>
      <c r="O379" s="230"/>
    </row>
    <row r="380" spans="1:15">
      <c r="A380" s="230"/>
      <c r="B380" s="230"/>
      <c r="C380" s="230"/>
      <c r="D380" s="230"/>
      <c r="E380" s="230"/>
      <c r="F380" s="230"/>
      <c r="G380" s="230"/>
      <c r="H380" s="230"/>
      <c r="I380" s="230"/>
      <c r="J380" s="230"/>
      <c r="K380" s="230"/>
      <c r="L380" s="230"/>
      <c r="M380" s="230"/>
      <c r="N380" s="230"/>
      <c r="O380" s="230"/>
    </row>
    <row r="381" spans="1:15">
      <c r="A381" s="230"/>
      <c r="B381" s="230"/>
      <c r="C381" s="230"/>
      <c r="D381" s="230"/>
      <c r="E381" s="230"/>
      <c r="F381" s="230"/>
      <c r="G381" s="230"/>
      <c r="H381" s="230"/>
      <c r="I381" s="230"/>
      <c r="J381" s="230"/>
      <c r="K381" s="230"/>
      <c r="L381" s="230"/>
      <c r="M381" s="230"/>
      <c r="N381" s="230"/>
      <c r="O381" s="230"/>
    </row>
    <row r="382" spans="1:15">
      <c r="A382" s="230"/>
      <c r="B382" s="230"/>
      <c r="C382" s="230"/>
      <c r="D382" s="230"/>
      <c r="E382" s="230"/>
      <c r="F382" s="230"/>
      <c r="G382" s="230"/>
      <c r="H382" s="230"/>
      <c r="I382" s="230"/>
      <c r="J382" s="230"/>
      <c r="K382" s="230"/>
      <c r="L382" s="230"/>
      <c r="M382" s="230"/>
      <c r="N382" s="230"/>
      <c r="O382" s="230"/>
    </row>
    <row r="383" spans="1:15">
      <c r="A383" s="230"/>
      <c r="B383" s="230"/>
      <c r="C383" s="230"/>
      <c r="D383" s="230"/>
      <c r="E383" s="230"/>
      <c r="F383" s="230"/>
      <c r="G383" s="230"/>
      <c r="H383" s="230"/>
      <c r="I383" s="230"/>
      <c r="J383" s="230"/>
      <c r="K383" s="230"/>
      <c r="L383" s="230"/>
      <c r="M383" s="230"/>
      <c r="N383" s="230"/>
      <c r="O383" s="230"/>
    </row>
    <row r="384" spans="1:15">
      <c r="A384" s="230"/>
      <c r="B384" s="230"/>
      <c r="C384" s="230"/>
      <c r="D384" s="230"/>
      <c r="E384" s="230"/>
      <c r="F384" s="230"/>
      <c r="G384" s="230"/>
      <c r="H384" s="230"/>
      <c r="I384" s="230"/>
      <c r="J384" s="230"/>
      <c r="K384" s="230"/>
      <c r="L384" s="230"/>
      <c r="M384" s="230"/>
      <c r="N384" s="230"/>
      <c r="O384" s="230"/>
    </row>
    <row r="385" spans="1:15">
      <c r="A385" s="230"/>
      <c r="B385" s="230"/>
      <c r="C385" s="230"/>
      <c r="D385" s="230"/>
      <c r="E385" s="230"/>
      <c r="F385" s="230"/>
      <c r="G385" s="230"/>
      <c r="H385" s="230"/>
      <c r="I385" s="230"/>
      <c r="J385" s="230"/>
      <c r="K385" s="230"/>
      <c r="L385" s="230"/>
      <c r="M385" s="230"/>
      <c r="N385" s="230"/>
      <c r="O385" s="230"/>
    </row>
    <row r="386" spans="1:15">
      <c r="A386" s="230"/>
      <c r="B386" s="230"/>
      <c r="C386" s="230"/>
      <c r="D386" s="230"/>
      <c r="E386" s="230"/>
      <c r="F386" s="230"/>
      <c r="G386" s="230"/>
      <c r="H386" s="230"/>
      <c r="I386" s="230"/>
      <c r="J386" s="230"/>
      <c r="K386" s="230"/>
      <c r="L386" s="230"/>
      <c r="M386" s="230"/>
      <c r="N386" s="230"/>
      <c r="O386" s="230"/>
    </row>
    <row r="387" spans="1:15">
      <c r="A387" s="230"/>
      <c r="B387" s="230"/>
      <c r="C387" s="230"/>
      <c r="D387" s="230"/>
      <c r="E387" s="230"/>
      <c r="F387" s="230"/>
      <c r="G387" s="230"/>
      <c r="H387" s="230"/>
      <c r="I387" s="230"/>
      <c r="J387" s="230"/>
      <c r="K387" s="230"/>
      <c r="L387" s="230"/>
      <c r="M387" s="230"/>
      <c r="N387" s="230"/>
      <c r="O387" s="230"/>
    </row>
    <row r="388" spans="1:15">
      <c r="A388" s="230"/>
      <c r="B388" s="230"/>
      <c r="C388" s="230"/>
      <c r="D388" s="230"/>
      <c r="E388" s="230"/>
      <c r="F388" s="230"/>
      <c r="G388" s="230"/>
      <c r="H388" s="230"/>
      <c r="I388" s="230"/>
      <c r="J388" s="230"/>
      <c r="K388" s="230"/>
      <c r="L388" s="230"/>
      <c r="M388" s="230"/>
      <c r="N388" s="230"/>
      <c r="O388" s="230"/>
    </row>
    <row r="389" spans="1:15">
      <c r="A389" s="230"/>
      <c r="B389" s="230"/>
      <c r="C389" s="230"/>
      <c r="D389" s="230"/>
      <c r="E389" s="230"/>
      <c r="F389" s="230"/>
      <c r="G389" s="230"/>
      <c r="H389" s="230"/>
      <c r="I389" s="230"/>
      <c r="J389" s="230"/>
      <c r="K389" s="230"/>
      <c r="L389" s="230"/>
      <c r="M389" s="230"/>
      <c r="N389" s="230"/>
      <c r="O389" s="230"/>
    </row>
    <row r="390" spans="1:15">
      <c r="A390" s="230"/>
      <c r="B390" s="230"/>
      <c r="C390" s="230"/>
      <c r="D390" s="230"/>
      <c r="E390" s="230"/>
      <c r="F390" s="230"/>
      <c r="G390" s="230"/>
      <c r="H390" s="230"/>
      <c r="I390" s="230"/>
      <c r="J390" s="230"/>
      <c r="K390" s="230"/>
      <c r="L390" s="230"/>
      <c r="M390" s="230"/>
      <c r="N390" s="230"/>
      <c r="O390" s="230"/>
    </row>
    <row r="391" spans="1:15">
      <c r="A391" s="230"/>
      <c r="B391" s="230"/>
      <c r="C391" s="230"/>
      <c r="D391" s="230"/>
      <c r="E391" s="230"/>
      <c r="F391" s="230"/>
      <c r="G391" s="230"/>
      <c r="H391" s="230"/>
      <c r="I391" s="230"/>
      <c r="J391" s="230"/>
      <c r="K391" s="230"/>
      <c r="L391" s="230"/>
      <c r="M391" s="230"/>
      <c r="N391" s="230"/>
      <c r="O391" s="230"/>
    </row>
    <row r="392" spans="1:15">
      <c r="A392" s="230"/>
      <c r="B392" s="230"/>
      <c r="C392" s="230"/>
      <c r="D392" s="230"/>
      <c r="E392" s="230"/>
      <c r="F392" s="230"/>
      <c r="G392" s="230"/>
      <c r="H392" s="230"/>
      <c r="I392" s="230"/>
      <c r="J392" s="230"/>
      <c r="K392" s="230"/>
      <c r="L392" s="230"/>
      <c r="M392" s="230"/>
      <c r="N392" s="230"/>
      <c r="O392" s="230"/>
    </row>
    <row r="393" spans="1:15">
      <c r="A393" s="230"/>
      <c r="B393" s="230"/>
      <c r="C393" s="230"/>
      <c r="D393" s="230"/>
      <c r="E393" s="230"/>
      <c r="F393" s="230"/>
      <c r="G393" s="230"/>
      <c r="H393" s="230"/>
      <c r="I393" s="230"/>
      <c r="J393" s="230"/>
      <c r="K393" s="230"/>
      <c r="L393" s="230"/>
      <c r="M393" s="230"/>
      <c r="N393" s="230"/>
      <c r="O393" s="230"/>
    </row>
    <row r="394" spans="1:15">
      <c r="A394" s="230"/>
      <c r="B394" s="230"/>
      <c r="C394" s="230"/>
      <c r="D394" s="230"/>
      <c r="E394" s="230"/>
      <c r="F394" s="230"/>
      <c r="G394" s="230"/>
      <c r="H394" s="230"/>
      <c r="I394" s="230"/>
      <c r="J394" s="230"/>
      <c r="K394" s="230"/>
      <c r="L394" s="230"/>
      <c r="M394" s="230"/>
      <c r="N394" s="230"/>
      <c r="O394" s="230"/>
    </row>
    <row r="395" spans="1:15">
      <c r="A395" s="230"/>
      <c r="B395" s="230"/>
      <c r="C395" s="230"/>
      <c r="D395" s="230"/>
      <c r="E395" s="230"/>
      <c r="F395" s="230"/>
      <c r="G395" s="230"/>
      <c r="H395" s="230"/>
      <c r="I395" s="230"/>
      <c r="J395" s="230"/>
      <c r="K395" s="230"/>
      <c r="L395" s="230"/>
      <c r="M395" s="230"/>
      <c r="N395" s="230"/>
      <c r="O395" s="230"/>
    </row>
    <row r="396" spans="1:15">
      <c r="A396" s="230"/>
      <c r="B396" s="230"/>
      <c r="C396" s="230"/>
      <c r="D396" s="230"/>
      <c r="E396" s="230"/>
      <c r="F396" s="230"/>
      <c r="G396" s="230"/>
      <c r="H396" s="230"/>
      <c r="I396" s="230"/>
      <c r="J396" s="230"/>
      <c r="K396" s="230"/>
      <c r="L396" s="230"/>
      <c r="M396" s="230"/>
      <c r="N396" s="230"/>
      <c r="O396" s="230"/>
    </row>
    <row r="397" spans="1:15">
      <c r="A397" s="230"/>
      <c r="B397" s="230"/>
      <c r="C397" s="230"/>
      <c r="D397" s="230"/>
      <c r="E397" s="230"/>
      <c r="F397" s="230"/>
      <c r="G397" s="230"/>
      <c r="H397" s="230"/>
      <c r="I397" s="230"/>
      <c r="J397" s="230"/>
      <c r="K397" s="230"/>
      <c r="L397" s="230"/>
      <c r="M397" s="230"/>
      <c r="N397" s="230"/>
      <c r="O397" s="230"/>
    </row>
    <row r="398" spans="1:15">
      <c r="A398" s="230"/>
      <c r="B398" s="230"/>
      <c r="C398" s="230"/>
      <c r="D398" s="230"/>
      <c r="E398" s="230"/>
      <c r="F398" s="230"/>
      <c r="G398" s="230"/>
      <c r="H398" s="230"/>
      <c r="I398" s="230"/>
      <c r="J398" s="230"/>
      <c r="K398" s="230"/>
      <c r="L398" s="230"/>
      <c r="M398" s="230"/>
      <c r="N398" s="230"/>
      <c r="O398" s="230"/>
    </row>
    <row r="399" spans="1:15">
      <c r="A399" s="230"/>
      <c r="B399" s="230"/>
      <c r="C399" s="230"/>
      <c r="D399" s="230"/>
      <c r="E399" s="230"/>
      <c r="F399" s="230"/>
      <c r="G399" s="230"/>
      <c r="H399" s="230"/>
      <c r="I399" s="230"/>
      <c r="J399" s="230"/>
      <c r="K399" s="230"/>
      <c r="L399" s="230"/>
      <c r="M399" s="230"/>
      <c r="N399" s="230"/>
      <c r="O399" s="230"/>
    </row>
    <row r="400" spans="1:15">
      <c r="A400" s="230"/>
      <c r="B400" s="230"/>
      <c r="C400" s="230"/>
      <c r="D400" s="230"/>
      <c r="E400" s="230"/>
      <c r="F400" s="230"/>
      <c r="G400" s="230"/>
      <c r="H400" s="230"/>
      <c r="I400" s="230"/>
      <c r="J400" s="230"/>
      <c r="K400" s="230"/>
      <c r="L400" s="230"/>
      <c r="M400" s="230"/>
      <c r="N400" s="230"/>
      <c r="O400" s="230"/>
    </row>
    <row r="401" spans="1:15">
      <c r="A401" s="230"/>
      <c r="B401" s="230"/>
      <c r="C401" s="230"/>
      <c r="D401" s="230"/>
      <c r="E401" s="230"/>
      <c r="F401" s="230"/>
      <c r="G401" s="230"/>
      <c r="H401" s="230"/>
      <c r="I401" s="230"/>
      <c r="J401" s="230"/>
      <c r="K401" s="230"/>
      <c r="L401" s="230"/>
      <c r="M401" s="230"/>
      <c r="N401" s="230"/>
      <c r="O401" s="230"/>
    </row>
    <row r="402" spans="1:15">
      <c r="A402" s="230"/>
      <c r="B402" s="230"/>
      <c r="C402" s="230"/>
      <c r="D402" s="230"/>
      <c r="E402" s="230"/>
      <c r="F402" s="230"/>
      <c r="G402" s="230"/>
      <c r="H402" s="230"/>
      <c r="I402" s="230"/>
      <c r="J402" s="230"/>
      <c r="K402" s="230"/>
      <c r="L402" s="230"/>
      <c r="M402" s="230"/>
      <c r="N402" s="230"/>
      <c r="O402" s="230"/>
    </row>
    <row r="403" spans="1:15">
      <c r="A403" s="230"/>
      <c r="B403" s="230"/>
      <c r="C403" s="230"/>
      <c r="D403" s="230"/>
      <c r="E403" s="230"/>
      <c r="F403" s="230"/>
      <c r="G403" s="230"/>
      <c r="H403" s="230"/>
      <c r="I403" s="230"/>
      <c r="J403" s="230"/>
      <c r="K403" s="230"/>
      <c r="L403" s="230"/>
      <c r="M403" s="230"/>
      <c r="N403" s="230"/>
      <c r="O403" s="230"/>
    </row>
    <row r="404" spans="1:15">
      <c r="A404" s="230"/>
      <c r="B404" s="230"/>
      <c r="C404" s="230"/>
      <c r="D404" s="230"/>
      <c r="E404" s="230"/>
      <c r="F404" s="230"/>
      <c r="G404" s="230"/>
      <c r="H404" s="230"/>
      <c r="I404" s="230"/>
      <c r="J404" s="230"/>
      <c r="K404" s="230"/>
      <c r="L404" s="230"/>
      <c r="M404" s="230"/>
      <c r="N404" s="230"/>
      <c r="O404" s="230"/>
    </row>
    <row r="405" spans="1:15">
      <c r="A405" s="230"/>
      <c r="B405" s="230"/>
      <c r="C405" s="230"/>
      <c r="D405" s="230"/>
      <c r="E405" s="230"/>
      <c r="F405" s="230"/>
      <c r="G405" s="230"/>
      <c r="H405" s="230"/>
      <c r="I405" s="230"/>
      <c r="J405" s="230"/>
      <c r="K405" s="230"/>
      <c r="L405" s="230"/>
      <c r="M405" s="230"/>
      <c r="N405" s="230"/>
      <c r="O405" s="230"/>
    </row>
    <row r="406" spans="1:15">
      <c r="A406" s="230"/>
      <c r="B406" s="230"/>
      <c r="C406" s="230"/>
      <c r="D406" s="230"/>
      <c r="E406" s="230"/>
      <c r="F406" s="230"/>
      <c r="G406" s="230"/>
      <c r="H406" s="230"/>
      <c r="I406" s="230"/>
      <c r="J406" s="230"/>
      <c r="K406" s="230"/>
      <c r="L406" s="230"/>
      <c r="M406" s="230"/>
      <c r="N406" s="230"/>
      <c r="O406" s="230"/>
    </row>
    <row r="407" spans="1:15">
      <c r="A407" s="230"/>
      <c r="B407" s="230"/>
      <c r="C407" s="230"/>
      <c r="D407" s="230"/>
      <c r="E407" s="230"/>
      <c r="F407" s="230"/>
      <c r="G407" s="230"/>
      <c r="H407" s="230"/>
      <c r="I407" s="230"/>
      <c r="J407" s="230"/>
      <c r="K407" s="230"/>
      <c r="L407" s="230"/>
      <c r="M407" s="230"/>
      <c r="N407" s="230"/>
      <c r="O407" s="230"/>
    </row>
    <row r="408" spans="1:15">
      <c r="A408" s="230"/>
      <c r="B408" s="230"/>
      <c r="C408" s="230"/>
      <c r="D408" s="230"/>
      <c r="E408" s="230"/>
      <c r="F408" s="230"/>
      <c r="G408" s="230"/>
      <c r="H408" s="230"/>
      <c r="I408" s="230"/>
      <c r="J408" s="230"/>
      <c r="K408" s="230"/>
      <c r="L408" s="230"/>
      <c r="M408" s="230"/>
      <c r="N408" s="230"/>
      <c r="O408" s="230"/>
    </row>
    <row r="409" spans="1:15">
      <c r="A409" s="230"/>
      <c r="B409" s="230"/>
      <c r="C409" s="230"/>
      <c r="D409" s="230"/>
      <c r="E409" s="230"/>
      <c r="F409" s="230"/>
      <c r="G409" s="230"/>
      <c r="H409" s="230"/>
      <c r="I409" s="230"/>
      <c r="J409" s="230"/>
      <c r="K409" s="230"/>
      <c r="L409" s="230"/>
      <c r="M409" s="230"/>
      <c r="N409" s="230"/>
      <c r="O409" s="230"/>
    </row>
    <row r="410" spans="1:15">
      <c r="A410" s="230"/>
      <c r="B410" s="230"/>
      <c r="C410" s="230"/>
      <c r="D410" s="230"/>
      <c r="E410" s="230"/>
      <c r="F410" s="230"/>
      <c r="G410" s="230"/>
      <c r="H410" s="230"/>
      <c r="I410" s="230"/>
      <c r="J410" s="230"/>
      <c r="K410" s="230"/>
      <c r="L410" s="230"/>
      <c r="M410" s="230"/>
      <c r="N410" s="230"/>
      <c r="O410" s="230"/>
    </row>
    <row r="411" spans="1:15">
      <c r="A411" s="230"/>
      <c r="B411" s="230"/>
      <c r="C411" s="230"/>
      <c r="D411" s="230"/>
      <c r="E411" s="230"/>
      <c r="F411" s="230"/>
      <c r="G411" s="230"/>
      <c r="H411" s="230"/>
      <c r="I411" s="230"/>
      <c r="J411" s="230"/>
      <c r="K411" s="230"/>
      <c r="L411" s="230"/>
      <c r="M411" s="230"/>
      <c r="N411" s="230"/>
      <c r="O411" s="230"/>
    </row>
    <row r="412" spans="1:15">
      <c r="A412" s="230"/>
      <c r="B412" s="230"/>
      <c r="C412" s="230"/>
      <c r="D412" s="230"/>
      <c r="E412" s="230"/>
      <c r="F412" s="230"/>
      <c r="G412" s="230"/>
      <c r="H412" s="230"/>
      <c r="I412" s="230"/>
      <c r="J412" s="230"/>
      <c r="K412" s="230"/>
      <c r="L412" s="230"/>
      <c r="M412" s="230"/>
      <c r="N412" s="230"/>
      <c r="O412" s="230"/>
    </row>
    <row r="413" spans="1:15">
      <c r="A413" s="230"/>
      <c r="B413" s="230"/>
      <c r="C413" s="230"/>
      <c r="D413" s="230"/>
      <c r="E413" s="230"/>
      <c r="F413" s="230"/>
      <c r="G413" s="230"/>
      <c r="H413" s="230"/>
      <c r="I413" s="230"/>
      <c r="J413" s="230"/>
      <c r="K413" s="230"/>
      <c r="L413" s="230"/>
      <c r="M413" s="230"/>
      <c r="N413" s="230"/>
      <c r="O413" s="230"/>
    </row>
    <row r="414" spans="1:15">
      <c r="A414" s="230"/>
      <c r="B414" s="230"/>
      <c r="C414" s="230"/>
      <c r="D414" s="230"/>
      <c r="E414" s="230"/>
      <c r="F414" s="230"/>
      <c r="G414" s="230"/>
      <c r="H414" s="230"/>
      <c r="I414" s="230"/>
      <c r="J414" s="230"/>
      <c r="K414" s="230"/>
      <c r="L414" s="230"/>
      <c r="M414" s="230"/>
      <c r="N414" s="230"/>
      <c r="O414" s="230"/>
    </row>
    <row r="415" spans="1:15">
      <c r="A415" s="230"/>
      <c r="B415" s="230"/>
      <c r="C415" s="230"/>
      <c r="D415" s="230"/>
      <c r="E415" s="230"/>
      <c r="F415" s="230"/>
      <c r="G415" s="230"/>
      <c r="H415" s="230"/>
      <c r="I415" s="230"/>
      <c r="J415" s="230"/>
      <c r="K415" s="230"/>
      <c r="L415" s="230"/>
      <c r="M415" s="230"/>
      <c r="N415" s="230"/>
      <c r="O415" s="230"/>
    </row>
    <row r="416" spans="1:15">
      <c r="A416" s="230"/>
      <c r="B416" s="230"/>
      <c r="C416" s="230"/>
      <c r="D416" s="230"/>
      <c r="E416" s="230"/>
      <c r="F416" s="230"/>
      <c r="G416" s="230"/>
      <c r="H416" s="230"/>
      <c r="I416" s="230"/>
      <c r="J416" s="230"/>
      <c r="K416" s="230"/>
      <c r="L416" s="230"/>
      <c r="M416" s="230"/>
      <c r="N416" s="230"/>
      <c r="O416" s="230"/>
    </row>
    <row r="417" spans="1:15">
      <c r="A417" s="230"/>
      <c r="B417" s="230"/>
      <c r="C417" s="230"/>
      <c r="D417" s="230"/>
      <c r="E417" s="230"/>
      <c r="F417" s="230"/>
      <c r="G417" s="230"/>
      <c r="H417" s="230"/>
      <c r="I417" s="230"/>
      <c r="J417" s="230"/>
      <c r="K417" s="230"/>
      <c r="L417" s="230"/>
      <c r="M417" s="230"/>
      <c r="N417" s="230"/>
      <c r="O417" s="230"/>
    </row>
    <row r="418" spans="1:15">
      <c r="A418" s="230"/>
      <c r="B418" s="230"/>
      <c r="C418" s="230"/>
      <c r="D418" s="230"/>
      <c r="E418" s="230"/>
      <c r="F418" s="230"/>
      <c r="G418" s="230"/>
      <c r="H418" s="230"/>
      <c r="I418" s="230"/>
      <c r="J418" s="230"/>
      <c r="K418" s="230"/>
      <c r="L418" s="230"/>
      <c r="M418" s="230"/>
      <c r="N418" s="230"/>
      <c r="O418" s="230"/>
    </row>
    <row r="419" spans="1:15">
      <c r="A419" s="230"/>
      <c r="B419" s="230"/>
      <c r="C419" s="230"/>
      <c r="D419" s="230"/>
      <c r="E419" s="230"/>
      <c r="F419" s="230"/>
      <c r="G419" s="230"/>
      <c r="H419" s="230"/>
      <c r="I419" s="230"/>
      <c r="J419" s="230"/>
      <c r="K419" s="230"/>
      <c r="L419" s="230"/>
      <c r="M419" s="230"/>
      <c r="N419" s="230"/>
      <c r="O419" s="230"/>
    </row>
    <row r="420" spans="1:15">
      <c r="A420" s="230"/>
      <c r="B420" s="230"/>
      <c r="C420" s="230"/>
      <c r="D420" s="230"/>
      <c r="E420" s="230"/>
      <c r="F420" s="230"/>
      <c r="G420" s="230"/>
      <c r="H420" s="230"/>
      <c r="I420" s="230"/>
      <c r="J420" s="230"/>
      <c r="K420" s="230"/>
      <c r="L420" s="230"/>
      <c r="M420" s="230"/>
      <c r="N420" s="230"/>
      <c r="O420" s="230"/>
    </row>
    <row r="421" spans="1:15">
      <c r="A421" s="230"/>
      <c r="B421" s="230"/>
      <c r="C421" s="230"/>
      <c r="D421" s="230"/>
      <c r="E421" s="230"/>
      <c r="F421" s="230"/>
      <c r="G421" s="230"/>
      <c r="H421" s="230"/>
      <c r="I421" s="230"/>
      <c r="J421" s="230"/>
      <c r="K421" s="230"/>
      <c r="L421" s="230"/>
      <c r="M421" s="230"/>
      <c r="N421" s="230"/>
      <c r="O421" s="230"/>
    </row>
    <row r="422" spans="1:15">
      <c r="A422" s="230"/>
      <c r="B422" s="230"/>
      <c r="C422" s="230"/>
      <c r="D422" s="230"/>
      <c r="E422" s="230"/>
      <c r="F422" s="230"/>
      <c r="G422" s="230"/>
      <c r="H422" s="230"/>
      <c r="I422" s="230"/>
      <c r="J422" s="230"/>
      <c r="K422" s="230"/>
      <c r="L422" s="230"/>
      <c r="M422" s="230"/>
      <c r="N422" s="230"/>
      <c r="O422" s="230"/>
    </row>
    <row r="423" spans="1:15">
      <c r="A423" s="230"/>
      <c r="B423" s="230"/>
      <c r="C423" s="230"/>
      <c r="D423" s="230"/>
      <c r="E423" s="230"/>
      <c r="F423" s="230"/>
      <c r="G423" s="230"/>
      <c r="H423" s="230"/>
      <c r="I423" s="230"/>
      <c r="J423" s="230"/>
      <c r="K423" s="230"/>
      <c r="L423" s="230"/>
      <c r="M423" s="230"/>
      <c r="N423" s="230"/>
      <c r="O423" s="230"/>
    </row>
    <row r="424" spans="1:15">
      <c r="A424" s="230"/>
      <c r="B424" s="230"/>
      <c r="C424" s="230"/>
      <c r="D424" s="230"/>
      <c r="E424" s="230"/>
      <c r="F424" s="230"/>
      <c r="G424" s="230"/>
      <c r="H424" s="230"/>
      <c r="I424" s="230"/>
      <c r="J424" s="230"/>
      <c r="K424" s="230"/>
      <c r="L424" s="230"/>
      <c r="M424" s="230"/>
      <c r="N424" s="230"/>
      <c r="O424" s="230"/>
    </row>
    <row r="425" spans="1:15">
      <c r="A425" s="230"/>
      <c r="B425" s="230"/>
      <c r="C425" s="230"/>
      <c r="D425" s="230"/>
      <c r="E425" s="230"/>
      <c r="F425" s="230"/>
      <c r="G425" s="230"/>
      <c r="H425" s="230"/>
      <c r="I425" s="230"/>
      <c r="J425" s="230"/>
      <c r="K425" s="230"/>
      <c r="L425" s="230"/>
      <c r="M425" s="230"/>
      <c r="N425" s="230"/>
      <c r="O425" s="230"/>
    </row>
    <row r="426" spans="1:15">
      <c r="A426" s="230"/>
      <c r="B426" s="230"/>
      <c r="C426" s="230"/>
      <c r="D426" s="230"/>
      <c r="E426" s="230"/>
      <c r="F426" s="230"/>
      <c r="G426" s="230"/>
      <c r="H426" s="230"/>
      <c r="I426" s="230"/>
      <c r="J426" s="230"/>
      <c r="K426" s="230"/>
      <c r="L426" s="230"/>
      <c r="M426" s="230"/>
      <c r="N426" s="230"/>
      <c r="O426" s="230"/>
    </row>
    <row r="427" spans="1:15">
      <c r="A427" s="230"/>
      <c r="B427" s="230"/>
      <c r="C427" s="230"/>
      <c r="D427" s="230"/>
      <c r="E427" s="230"/>
      <c r="F427" s="230"/>
      <c r="G427" s="230"/>
      <c r="H427" s="230"/>
      <c r="I427" s="230"/>
      <c r="J427" s="230"/>
      <c r="K427" s="230"/>
      <c r="L427" s="230"/>
      <c r="M427" s="230"/>
      <c r="N427" s="230"/>
      <c r="O427" s="230"/>
    </row>
    <row r="428" spans="1:15">
      <c r="A428" s="230"/>
      <c r="B428" s="230"/>
      <c r="C428" s="230"/>
      <c r="D428" s="230"/>
      <c r="E428" s="230"/>
      <c r="F428" s="230"/>
      <c r="G428" s="230"/>
      <c r="H428" s="230"/>
      <c r="I428" s="230"/>
      <c r="J428" s="230"/>
      <c r="K428" s="230"/>
      <c r="L428" s="230"/>
      <c r="M428" s="230"/>
      <c r="N428" s="230"/>
      <c r="O428" s="230"/>
    </row>
    <row r="429" spans="1:15">
      <c r="A429" s="230"/>
      <c r="B429" s="230"/>
      <c r="C429" s="230"/>
      <c r="D429" s="230"/>
      <c r="E429" s="230"/>
      <c r="F429" s="230"/>
      <c r="G429" s="230"/>
      <c r="H429" s="230"/>
      <c r="I429" s="230"/>
      <c r="J429" s="230"/>
      <c r="K429" s="230"/>
      <c r="L429" s="230"/>
      <c r="M429" s="230"/>
      <c r="N429" s="230"/>
      <c r="O429" s="230"/>
    </row>
    <row r="430" spans="1:15">
      <c r="A430" s="230"/>
      <c r="B430" s="230"/>
      <c r="C430" s="230"/>
      <c r="D430" s="230"/>
      <c r="E430" s="230"/>
      <c r="F430" s="230"/>
      <c r="G430" s="230"/>
      <c r="H430" s="230"/>
      <c r="I430" s="230"/>
      <c r="J430" s="230"/>
      <c r="K430" s="230"/>
      <c r="L430" s="230"/>
      <c r="M430" s="230"/>
      <c r="N430" s="230"/>
      <c r="O430" s="230"/>
    </row>
    <row r="431" spans="1:15">
      <c r="A431" s="230"/>
      <c r="B431" s="230"/>
      <c r="C431" s="230"/>
      <c r="D431" s="230"/>
      <c r="E431" s="230"/>
      <c r="F431" s="230"/>
      <c r="G431" s="230"/>
      <c r="H431" s="230"/>
      <c r="I431" s="230"/>
      <c r="J431" s="230"/>
      <c r="K431" s="230"/>
      <c r="L431" s="230"/>
      <c r="M431" s="230"/>
      <c r="N431" s="230"/>
      <c r="O431" s="230"/>
    </row>
    <row r="432" spans="1:15">
      <c r="A432" s="230"/>
      <c r="B432" s="230"/>
      <c r="C432" s="230"/>
      <c r="D432" s="230"/>
      <c r="E432" s="230"/>
      <c r="F432" s="230"/>
      <c r="G432" s="230"/>
      <c r="H432" s="230"/>
      <c r="I432" s="230"/>
      <c r="J432" s="230"/>
      <c r="K432" s="230"/>
      <c r="L432" s="230"/>
      <c r="M432" s="230"/>
      <c r="N432" s="230"/>
      <c r="O432" s="230"/>
    </row>
    <row r="433" spans="1:15">
      <c r="A433" s="230"/>
      <c r="B433" s="230"/>
      <c r="C433" s="230"/>
      <c r="D433" s="230"/>
      <c r="E433" s="230"/>
      <c r="F433" s="230"/>
      <c r="G433" s="230"/>
      <c r="H433" s="230"/>
      <c r="I433" s="230"/>
      <c r="J433" s="230"/>
      <c r="K433" s="230"/>
      <c r="L433" s="230"/>
      <c r="M433" s="230"/>
      <c r="N433" s="230"/>
      <c r="O433" s="230"/>
    </row>
    <row r="434" spans="1:15">
      <c r="A434" s="230"/>
      <c r="B434" s="230"/>
      <c r="C434" s="230"/>
      <c r="D434" s="230"/>
      <c r="E434" s="230"/>
      <c r="F434" s="230"/>
      <c r="G434" s="230"/>
      <c r="H434" s="230"/>
      <c r="I434" s="230"/>
      <c r="J434" s="230"/>
      <c r="K434" s="230"/>
      <c r="L434" s="230"/>
      <c r="M434" s="230"/>
      <c r="N434" s="230"/>
      <c r="O434" s="230"/>
    </row>
    <row r="435" spans="1:15">
      <c r="A435" s="230"/>
      <c r="B435" s="230"/>
      <c r="C435" s="230"/>
      <c r="D435" s="230"/>
      <c r="E435" s="230"/>
      <c r="F435" s="230"/>
      <c r="G435" s="230"/>
      <c r="H435" s="230"/>
      <c r="I435" s="230"/>
      <c r="J435" s="230"/>
      <c r="K435" s="230"/>
      <c r="L435" s="230"/>
      <c r="M435" s="230"/>
      <c r="N435" s="230"/>
      <c r="O435" s="230"/>
    </row>
    <row r="436" spans="1:15">
      <c r="A436" s="230"/>
      <c r="B436" s="230"/>
      <c r="C436" s="230"/>
      <c r="D436" s="230"/>
      <c r="E436" s="230"/>
      <c r="F436" s="230"/>
      <c r="G436" s="230"/>
      <c r="H436" s="230"/>
      <c r="I436" s="230"/>
      <c r="J436" s="230"/>
      <c r="K436" s="230"/>
      <c r="L436" s="230"/>
      <c r="M436" s="230"/>
      <c r="N436" s="230"/>
      <c r="O436" s="230"/>
    </row>
    <row r="437" spans="1:15">
      <c r="A437" s="230"/>
      <c r="B437" s="230"/>
      <c r="C437" s="230"/>
      <c r="D437" s="230"/>
      <c r="E437" s="230"/>
      <c r="F437" s="230"/>
      <c r="G437" s="230"/>
      <c r="H437" s="230"/>
      <c r="I437" s="230"/>
      <c r="J437" s="230"/>
      <c r="K437" s="230"/>
      <c r="L437" s="230"/>
      <c r="M437" s="230"/>
      <c r="N437" s="230"/>
      <c r="O437" s="230"/>
    </row>
    <row r="438" spans="1:15">
      <c r="A438" s="230"/>
      <c r="B438" s="230"/>
      <c r="C438" s="230"/>
      <c r="D438" s="230"/>
      <c r="E438" s="230"/>
      <c r="F438" s="230"/>
      <c r="G438" s="230"/>
      <c r="H438" s="230"/>
      <c r="I438" s="230"/>
      <c r="J438" s="230"/>
      <c r="K438" s="230"/>
      <c r="L438" s="230"/>
      <c r="M438" s="230"/>
      <c r="N438" s="230"/>
      <c r="O438" s="230"/>
    </row>
    <row r="439" spans="1:15">
      <c r="A439" s="230"/>
      <c r="B439" s="230"/>
      <c r="C439" s="230"/>
      <c r="D439" s="230"/>
      <c r="E439" s="230"/>
      <c r="F439" s="230"/>
      <c r="G439" s="230"/>
      <c r="H439" s="230"/>
      <c r="I439" s="230"/>
      <c r="J439" s="230"/>
      <c r="K439" s="230"/>
      <c r="L439" s="230"/>
      <c r="M439" s="230"/>
      <c r="N439" s="230"/>
      <c r="O439" s="230"/>
    </row>
    <row r="440" spans="1:15">
      <c r="A440" s="230"/>
      <c r="B440" s="230"/>
      <c r="C440" s="230"/>
      <c r="D440" s="230"/>
      <c r="E440" s="230"/>
      <c r="F440" s="230"/>
      <c r="G440" s="230"/>
      <c r="H440" s="230"/>
      <c r="I440" s="230"/>
      <c r="J440" s="230"/>
      <c r="K440" s="230"/>
      <c r="L440" s="230"/>
      <c r="M440" s="230"/>
      <c r="N440" s="230"/>
      <c r="O440" s="230"/>
    </row>
    <row r="441" spans="1:15">
      <c r="A441" s="230"/>
      <c r="B441" s="230"/>
      <c r="C441" s="230"/>
      <c r="D441" s="230"/>
      <c r="E441" s="230"/>
      <c r="F441" s="230"/>
      <c r="G441" s="230"/>
      <c r="H441" s="230"/>
      <c r="I441" s="230"/>
      <c r="J441" s="230"/>
      <c r="K441" s="230"/>
      <c r="L441" s="230"/>
      <c r="M441" s="230"/>
      <c r="N441" s="230"/>
      <c r="O441" s="230"/>
    </row>
    <row r="442" spans="1:15">
      <c r="A442" s="230"/>
      <c r="B442" s="230"/>
      <c r="C442" s="230"/>
      <c r="D442" s="230"/>
      <c r="E442" s="230"/>
      <c r="F442" s="230"/>
      <c r="G442" s="230"/>
      <c r="H442" s="230"/>
      <c r="I442" s="230"/>
      <c r="J442" s="230"/>
      <c r="K442" s="230"/>
      <c r="L442" s="230"/>
      <c r="M442" s="230"/>
      <c r="N442" s="230"/>
      <c r="O442" s="230"/>
    </row>
    <row r="443" spans="1:15">
      <c r="A443" s="230"/>
      <c r="B443" s="230"/>
      <c r="C443" s="230"/>
      <c r="D443" s="230"/>
      <c r="E443" s="230"/>
      <c r="F443" s="230"/>
      <c r="G443" s="230"/>
      <c r="H443" s="230"/>
      <c r="I443" s="230"/>
      <c r="J443" s="230"/>
      <c r="K443" s="230"/>
      <c r="L443" s="230"/>
      <c r="M443" s="230"/>
      <c r="N443" s="230"/>
      <c r="O443" s="230"/>
    </row>
    <row r="444" spans="1:15">
      <c r="A444" s="230"/>
      <c r="B444" s="230"/>
      <c r="C444" s="230"/>
      <c r="D444" s="230"/>
      <c r="E444" s="230"/>
      <c r="F444" s="230"/>
      <c r="G444" s="230"/>
      <c r="H444" s="230"/>
      <c r="I444" s="230"/>
      <c r="J444" s="230"/>
      <c r="K444" s="230"/>
      <c r="L444" s="230"/>
      <c r="M444" s="230"/>
      <c r="N444" s="230"/>
      <c r="O444" s="230"/>
    </row>
    <row r="445" spans="1:15">
      <c r="A445" s="230"/>
      <c r="B445" s="230"/>
      <c r="C445" s="230"/>
      <c r="D445" s="230"/>
      <c r="E445" s="230"/>
      <c r="F445" s="230"/>
      <c r="G445" s="230"/>
      <c r="H445" s="230"/>
      <c r="I445" s="230"/>
      <c r="J445" s="230"/>
      <c r="K445" s="230"/>
      <c r="L445" s="230"/>
      <c r="M445" s="230"/>
      <c r="N445" s="230"/>
      <c r="O445" s="230"/>
    </row>
    <row r="446" spans="1:15">
      <c r="A446" s="230"/>
      <c r="B446" s="230"/>
      <c r="C446" s="230"/>
      <c r="D446" s="230"/>
      <c r="E446" s="230"/>
      <c r="F446" s="230"/>
      <c r="G446" s="230"/>
      <c r="H446" s="230"/>
      <c r="I446" s="230"/>
      <c r="J446" s="230"/>
      <c r="K446" s="230"/>
      <c r="L446" s="230"/>
      <c r="M446" s="230"/>
      <c r="N446" s="230"/>
      <c r="O446" s="230"/>
    </row>
    <row r="447" spans="1:15">
      <c r="A447" s="230"/>
      <c r="B447" s="230"/>
      <c r="C447" s="230"/>
      <c r="D447" s="230"/>
      <c r="E447" s="230"/>
      <c r="F447" s="230"/>
      <c r="G447" s="230"/>
      <c r="H447" s="230"/>
      <c r="I447" s="230"/>
      <c r="J447" s="230"/>
      <c r="K447" s="230"/>
      <c r="L447" s="230"/>
      <c r="M447" s="230"/>
      <c r="N447" s="230"/>
      <c r="O447" s="230"/>
    </row>
    <row r="448" spans="1:15">
      <c r="A448" s="230"/>
      <c r="B448" s="230"/>
      <c r="C448" s="230"/>
      <c r="D448" s="230"/>
      <c r="E448" s="230"/>
      <c r="F448" s="230"/>
      <c r="G448" s="230"/>
      <c r="H448" s="230"/>
      <c r="I448" s="230"/>
      <c r="J448" s="230"/>
      <c r="K448" s="230"/>
      <c r="L448" s="230"/>
      <c r="M448" s="230"/>
      <c r="N448" s="230"/>
      <c r="O448" s="230"/>
    </row>
    <row r="449" spans="1:15">
      <c r="A449" s="230"/>
      <c r="B449" s="230"/>
      <c r="C449" s="230"/>
      <c r="D449" s="230"/>
      <c r="E449" s="230"/>
      <c r="F449" s="230"/>
      <c r="G449" s="230"/>
      <c r="H449" s="230"/>
      <c r="I449" s="230"/>
      <c r="J449" s="230"/>
      <c r="K449" s="230"/>
      <c r="L449" s="230"/>
      <c r="M449" s="230"/>
      <c r="N449" s="230"/>
      <c r="O449" s="230"/>
    </row>
    <row r="450" spans="1:15">
      <c r="A450" s="230"/>
      <c r="B450" s="230"/>
      <c r="C450" s="230"/>
      <c r="D450" s="230"/>
      <c r="E450" s="230"/>
      <c r="F450" s="230"/>
      <c r="G450" s="230"/>
      <c r="H450" s="230"/>
      <c r="I450" s="230"/>
      <c r="J450" s="230"/>
      <c r="K450" s="230"/>
      <c r="L450" s="230"/>
      <c r="M450" s="230"/>
      <c r="N450" s="230"/>
      <c r="O450" s="230"/>
    </row>
    <row r="451" spans="1:15">
      <c r="A451" s="230"/>
      <c r="B451" s="230"/>
      <c r="C451" s="230"/>
      <c r="D451" s="230"/>
      <c r="E451" s="230"/>
      <c r="F451" s="230"/>
      <c r="G451" s="230"/>
      <c r="H451" s="230"/>
      <c r="I451" s="230"/>
      <c r="J451" s="230"/>
      <c r="K451" s="230"/>
      <c r="L451" s="230"/>
      <c r="M451" s="230"/>
      <c r="N451" s="230"/>
      <c r="O451" s="230"/>
    </row>
    <row r="452" spans="1:15">
      <c r="A452" s="230"/>
      <c r="B452" s="230"/>
      <c r="C452" s="230"/>
      <c r="D452" s="230"/>
      <c r="E452" s="230"/>
      <c r="F452" s="230"/>
      <c r="G452" s="230"/>
      <c r="H452" s="230"/>
      <c r="I452" s="230"/>
      <c r="J452" s="230"/>
      <c r="K452" s="230"/>
      <c r="L452" s="230"/>
      <c r="M452" s="230"/>
      <c r="N452" s="230"/>
      <c r="O452" s="230"/>
    </row>
    <row r="453" spans="1:15">
      <c r="A453" s="230"/>
      <c r="B453" s="230"/>
      <c r="C453" s="230"/>
      <c r="D453" s="230"/>
      <c r="E453" s="230"/>
      <c r="F453" s="230"/>
      <c r="G453" s="230"/>
      <c r="H453" s="230"/>
      <c r="I453" s="230"/>
      <c r="J453" s="230"/>
      <c r="K453" s="230"/>
      <c r="L453" s="230"/>
      <c r="M453" s="230"/>
      <c r="N453" s="230"/>
      <c r="O453" s="230"/>
    </row>
    <row r="454" spans="1:15">
      <c r="A454" s="230"/>
      <c r="B454" s="230"/>
      <c r="C454" s="230"/>
      <c r="D454" s="230"/>
      <c r="E454" s="230"/>
      <c r="F454" s="230"/>
      <c r="G454" s="230"/>
      <c r="H454" s="230"/>
      <c r="I454" s="230"/>
      <c r="J454" s="230"/>
      <c r="K454" s="230"/>
      <c r="L454" s="230"/>
      <c r="M454" s="230"/>
      <c r="N454" s="230"/>
      <c r="O454" s="230"/>
    </row>
    <row r="455" spans="1:15">
      <c r="A455" s="230"/>
      <c r="B455" s="230"/>
      <c r="C455" s="230"/>
      <c r="D455" s="230"/>
      <c r="E455" s="230"/>
      <c r="F455" s="230"/>
      <c r="G455" s="230"/>
      <c r="H455" s="230"/>
      <c r="I455" s="230"/>
      <c r="J455" s="230"/>
      <c r="K455" s="230"/>
      <c r="L455" s="230"/>
      <c r="M455" s="230"/>
      <c r="N455" s="230"/>
      <c r="O455" s="230"/>
    </row>
    <row r="456" spans="1:15">
      <c r="A456" s="230"/>
      <c r="B456" s="230"/>
      <c r="C456" s="230"/>
      <c r="D456" s="230"/>
      <c r="E456" s="230"/>
      <c r="F456" s="230"/>
      <c r="G456" s="230"/>
      <c r="H456" s="230"/>
      <c r="I456" s="230"/>
      <c r="J456" s="230"/>
      <c r="K456" s="230"/>
      <c r="L456" s="230"/>
      <c r="M456" s="230"/>
      <c r="N456" s="230"/>
      <c r="O456" s="230"/>
    </row>
    <row r="457" spans="1:15">
      <c r="A457" s="230"/>
      <c r="B457" s="230"/>
      <c r="C457" s="230"/>
      <c r="D457" s="230"/>
      <c r="E457" s="230"/>
      <c r="F457" s="230"/>
      <c r="G457" s="230"/>
      <c r="H457" s="230"/>
      <c r="I457" s="230"/>
      <c r="J457" s="230"/>
      <c r="K457" s="230"/>
      <c r="L457" s="230"/>
      <c r="M457" s="230"/>
      <c r="N457" s="230"/>
      <c r="O457" s="230"/>
    </row>
    <row r="458" spans="1:15">
      <c r="A458" s="230"/>
      <c r="B458" s="230"/>
      <c r="C458" s="230"/>
      <c r="D458" s="230"/>
      <c r="E458" s="230"/>
      <c r="F458" s="230"/>
      <c r="G458" s="230"/>
      <c r="H458" s="230"/>
      <c r="I458" s="230"/>
      <c r="J458" s="230"/>
      <c r="K458" s="230"/>
      <c r="L458" s="230"/>
      <c r="M458" s="230"/>
      <c r="N458" s="230"/>
      <c r="O458" s="230"/>
    </row>
    <row r="459" spans="1:15">
      <c r="A459" s="230"/>
      <c r="B459" s="230"/>
      <c r="C459" s="230"/>
      <c r="D459" s="230"/>
      <c r="E459" s="230"/>
      <c r="F459" s="230"/>
      <c r="G459" s="230"/>
      <c r="H459" s="230"/>
      <c r="I459" s="230"/>
      <c r="J459" s="230"/>
      <c r="K459" s="230"/>
      <c r="L459" s="230"/>
      <c r="M459" s="230"/>
      <c r="N459" s="230"/>
      <c r="O459" s="230"/>
    </row>
    <row r="460" spans="1:15">
      <c r="A460" s="230"/>
      <c r="B460" s="230"/>
      <c r="C460" s="230"/>
      <c r="D460" s="230"/>
      <c r="E460" s="230"/>
      <c r="F460" s="230"/>
      <c r="G460" s="230"/>
      <c r="H460" s="230"/>
      <c r="I460" s="230"/>
      <c r="J460" s="230"/>
      <c r="K460" s="230"/>
      <c r="L460" s="230"/>
      <c r="M460" s="230"/>
      <c r="N460" s="230"/>
      <c r="O460" s="230"/>
    </row>
    <row r="461" spans="1:15">
      <c r="A461" s="230"/>
      <c r="B461" s="230"/>
      <c r="C461" s="230"/>
      <c r="D461" s="230"/>
      <c r="E461" s="230"/>
      <c r="F461" s="230"/>
      <c r="G461" s="230"/>
      <c r="H461" s="230"/>
      <c r="I461" s="230"/>
      <c r="J461" s="230"/>
      <c r="K461" s="230"/>
      <c r="L461" s="230"/>
      <c r="M461" s="230"/>
      <c r="N461" s="230"/>
      <c r="O461" s="230"/>
    </row>
    <row r="462" spans="1:15">
      <c r="A462" s="230"/>
      <c r="B462" s="230"/>
      <c r="C462" s="230"/>
      <c r="D462" s="230"/>
      <c r="E462" s="230"/>
      <c r="F462" s="230"/>
      <c r="G462" s="230"/>
      <c r="H462" s="230"/>
      <c r="I462" s="230"/>
      <c r="J462" s="230"/>
      <c r="K462" s="230"/>
      <c r="L462" s="230"/>
      <c r="M462" s="230"/>
      <c r="N462" s="230"/>
      <c r="O462" s="230"/>
    </row>
    <row r="463" spans="1:15">
      <c r="A463" s="230"/>
      <c r="B463" s="230"/>
      <c r="C463" s="230"/>
      <c r="D463" s="230"/>
      <c r="E463" s="230"/>
      <c r="F463" s="230"/>
      <c r="G463" s="230"/>
      <c r="H463" s="230"/>
      <c r="I463" s="230"/>
      <c r="J463" s="230"/>
      <c r="K463" s="230"/>
      <c r="L463" s="230"/>
      <c r="M463" s="230"/>
      <c r="N463" s="230"/>
      <c r="O463" s="230"/>
    </row>
    <row r="464" spans="1:15">
      <c r="A464" s="230"/>
      <c r="B464" s="230"/>
      <c r="C464" s="230"/>
      <c r="D464" s="230"/>
      <c r="E464" s="230"/>
      <c r="F464" s="230"/>
      <c r="G464" s="230"/>
      <c r="H464" s="230"/>
      <c r="I464" s="230"/>
      <c r="J464" s="230"/>
      <c r="K464" s="230"/>
      <c r="L464" s="230"/>
      <c r="M464" s="230"/>
      <c r="N464" s="230"/>
      <c r="O464" s="230"/>
    </row>
    <row r="465" spans="1:15">
      <c r="A465" s="230"/>
      <c r="B465" s="230"/>
      <c r="C465" s="230"/>
      <c r="D465" s="230"/>
      <c r="E465" s="230"/>
      <c r="F465" s="230"/>
      <c r="G465" s="230"/>
      <c r="H465" s="230"/>
      <c r="I465" s="230"/>
      <c r="J465" s="230"/>
      <c r="K465" s="230"/>
      <c r="L465" s="230"/>
      <c r="M465" s="230"/>
      <c r="N465" s="230"/>
      <c r="O465" s="230"/>
    </row>
    <row r="466" spans="1:15">
      <c r="A466" s="230"/>
      <c r="B466" s="230"/>
      <c r="C466" s="230"/>
      <c r="D466" s="230"/>
      <c r="E466" s="230"/>
      <c r="F466" s="230"/>
      <c r="G466" s="230"/>
      <c r="H466" s="230"/>
      <c r="I466" s="230"/>
      <c r="J466" s="230"/>
      <c r="K466" s="230"/>
      <c r="L466" s="230"/>
      <c r="M466" s="230"/>
      <c r="N466" s="230"/>
      <c r="O466" s="230"/>
    </row>
    <row r="467" spans="1:15">
      <c r="A467" s="230"/>
      <c r="B467" s="230"/>
      <c r="C467" s="230"/>
      <c r="D467" s="230"/>
      <c r="E467" s="230"/>
      <c r="F467" s="230"/>
      <c r="G467" s="230"/>
      <c r="H467" s="230"/>
      <c r="I467" s="230"/>
      <c r="J467" s="230"/>
      <c r="K467" s="230"/>
      <c r="L467" s="230"/>
      <c r="M467" s="230"/>
      <c r="N467" s="230"/>
      <c r="O467" s="230"/>
    </row>
    <row r="468" spans="1:15">
      <c r="A468" s="230"/>
      <c r="B468" s="230"/>
      <c r="C468" s="230"/>
      <c r="D468" s="230"/>
      <c r="E468" s="230"/>
      <c r="F468" s="230"/>
      <c r="G468" s="230"/>
      <c r="H468" s="230"/>
      <c r="I468" s="230"/>
      <c r="J468" s="230"/>
      <c r="K468" s="230"/>
      <c r="L468" s="230"/>
      <c r="M468" s="230"/>
      <c r="N468" s="230"/>
      <c r="O468" s="230"/>
    </row>
    <row r="469" spans="1:15">
      <c r="A469" s="230"/>
      <c r="B469" s="230"/>
      <c r="C469" s="230"/>
      <c r="D469" s="230"/>
      <c r="E469" s="230"/>
      <c r="F469" s="230"/>
      <c r="G469" s="230"/>
      <c r="H469" s="230"/>
      <c r="I469" s="230"/>
      <c r="J469" s="230"/>
      <c r="K469" s="230"/>
      <c r="L469" s="230"/>
      <c r="M469" s="230"/>
      <c r="N469" s="230"/>
      <c r="O469" s="230"/>
    </row>
    <row r="470" spans="1:15">
      <c r="A470" s="230"/>
      <c r="B470" s="230"/>
      <c r="C470" s="230"/>
      <c r="D470" s="230"/>
      <c r="E470" s="230"/>
      <c r="F470" s="230"/>
      <c r="G470" s="230"/>
      <c r="H470" s="230"/>
      <c r="I470" s="230"/>
      <c r="J470" s="230"/>
      <c r="K470" s="230"/>
      <c r="L470" s="230"/>
      <c r="M470" s="230"/>
      <c r="N470" s="230"/>
      <c r="O470" s="230"/>
    </row>
    <row r="471" spans="1:15">
      <c r="A471" s="230"/>
      <c r="B471" s="230"/>
      <c r="C471" s="230"/>
      <c r="D471" s="230"/>
      <c r="E471" s="230"/>
      <c r="F471" s="230"/>
      <c r="G471" s="230"/>
      <c r="H471" s="230"/>
      <c r="I471" s="230"/>
      <c r="J471" s="230"/>
      <c r="K471" s="230"/>
      <c r="L471" s="230"/>
      <c r="M471" s="230"/>
      <c r="N471" s="230"/>
      <c r="O471" s="230"/>
    </row>
    <row r="472" spans="1:15">
      <c r="A472" s="230"/>
      <c r="B472" s="230"/>
      <c r="C472" s="230"/>
      <c r="D472" s="230"/>
      <c r="E472" s="230"/>
      <c r="F472" s="230"/>
      <c r="G472" s="230"/>
      <c r="H472" s="230"/>
      <c r="I472" s="230"/>
      <c r="J472" s="230"/>
      <c r="K472" s="230"/>
      <c r="L472" s="230"/>
      <c r="M472" s="230"/>
      <c r="N472" s="230"/>
      <c r="O472" s="230"/>
    </row>
    <row r="473" spans="1:15">
      <c r="A473" s="230"/>
      <c r="B473" s="230"/>
      <c r="C473" s="230"/>
      <c r="D473" s="230"/>
      <c r="E473" s="230"/>
      <c r="F473" s="230"/>
      <c r="G473" s="230"/>
      <c r="H473" s="230"/>
      <c r="I473" s="230"/>
      <c r="J473" s="230"/>
      <c r="K473" s="230"/>
      <c r="L473" s="230"/>
      <c r="M473" s="230"/>
      <c r="N473" s="230"/>
      <c r="O473" s="230"/>
    </row>
    <row r="474" spans="1:15">
      <c r="A474" s="230"/>
      <c r="B474" s="230"/>
      <c r="C474" s="230"/>
      <c r="D474" s="230"/>
      <c r="E474" s="230"/>
      <c r="F474" s="230"/>
      <c r="G474" s="230"/>
      <c r="H474" s="230"/>
      <c r="I474" s="230"/>
      <c r="J474" s="230"/>
      <c r="K474" s="230"/>
      <c r="L474" s="230"/>
      <c r="M474" s="230"/>
      <c r="N474" s="230"/>
      <c r="O474" s="230"/>
    </row>
    <row r="475" spans="1:15">
      <c r="A475" s="230"/>
      <c r="B475" s="230"/>
      <c r="C475" s="230"/>
      <c r="D475" s="230"/>
      <c r="E475" s="230"/>
      <c r="F475" s="230"/>
      <c r="G475" s="230"/>
      <c r="H475" s="230"/>
      <c r="I475" s="230"/>
      <c r="J475" s="230"/>
      <c r="K475" s="230"/>
      <c r="L475" s="230"/>
      <c r="M475" s="230"/>
      <c r="N475" s="230"/>
      <c r="O475" s="230"/>
    </row>
    <row r="476" spans="1:15">
      <c r="A476" s="230"/>
      <c r="B476" s="230"/>
      <c r="C476" s="230"/>
      <c r="D476" s="230"/>
      <c r="E476" s="230"/>
      <c r="F476" s="230"/>
      <c r="G476" s="230"/>
      <c r="H476" s="230"/>
      <c r="I476" s="230"/>
      <c r="J476" s="230"/>
      <c r="K476" s="230"/>
      <c r="L476" s="230"/>
      <c r="M476" s="230"/>
      <c r="N476" s="230"/>
      <c r="O476" s="230"/>
    </row>
    <row r="477" spans="1:15">
      <c r="A477" s="230"/>
      <c r="B477" s="230"/>
      <c r="C477" s="230"/>
      <c r="D477" s="230"/>
      <c r="E477" s="230"/>
      <c r="F477" s="230"/>
      <c r="G477" s="230"/>
      <c r="H477" s="230"/>
      <c r="I477" s="230"/>
      <c r="J477" s="230"/>
      <c r="K477" s="230"/>
      <c r="L477" s="230"/>
      <c r="M477" s="230"/>
      <c r="N477" s="230"/>
      <c r="O477" s="230"/>
    </row>
    <row r="478" spans="1:15">
      <c r="A478" s="230"/>
      <c r="B478" s="230"/>
      <c r="C478" s="230"/>
      <c r="D478" s="230"/>
      <c r="E478" s="230"/>
      <c r="F478" s="230"/>
      <c r="G478" s="230"/>
      <c r="H478" s="230"/>
      <c r="I478" s="230"/>
      <c r="J478" s="230"/>
      <c r="K478" s="230"/>
      <c r="L478" s="230"/>
      <c r="M478" s="230"/>
      <c r="N478" s="230"/>
      <c r="O478" s="230"/>
    </row>
    <row r="479" spans="1:15">
      <c r="A479" s="230"/>
      <c r="B479" s="230"/>
      <c r="C479" s="230"/>
      <c r="D479" s="230"/>
      <c r="E479" s="230"/>
      <c r="F479" s="230"/>
      <c r="G479" s="230"/>
      <c r="H479" s="230"/>
      <c r="I479" s="230"/>
      <c r="J479" s="230"/>
      <c r="K479" s="230"/>
      <c r="L479" s="230"/>
      <c r="M479" s="230"/>
      <c r="N479" s="230"/>
      <c r="O479" s="230"/>
    </row>
    <row r="480" spans="1:15">
      <c r="A480" s="230"/>
      <c r="B480" s="230"/>
      <c r="C480" s="230"/>
      <c r="D480" s="230"/>
      <c r="E480" s="230"/>
      <c r="F480" s="230"/>
      <c r="G480" s="230"/>
      <c r="H480" s="230"/>
      <c r="I480" s="230"/>
      <c r="J480" s="230"/>
      <c r="K480" s="230"/>
      <c r="L480" s="230"/>
      <c r="M480" s="230"/>
      <c r="N480" s="230"/>
      <c r="O480" s="230"/>
    </row>
    <row r="481" spans="1:15">
      <c r="A481" s="230"/>
      <c r="B481" s="230"/>
      <c r="C481" s="230"/>
      <c r="D481" s="230"/>
      <c r="E481" s="230"/>
      <c r="F481" s="230"/>
      <c r="G481" s="230"/>
      <c r="H481" s="230"/>
      <c r="I481" s="230"/>
      <c r="J481" s="230"/>
      <c r="K481" s="230"/>
      <c r="L481" s="230"/>
      <c r="M481" s="230"/>
      <c r="N481" s="230"/>
      <c r="O481" s="230"/>
    </row>
    <row r="482" spans="1:15">
      <c r="A482" s="230"/>
      <c r="B482" s="230"/>
      <c r="C482" s="230"/>
      <c r="D482" s="230"/>
      <c r="E482" s="230"/>
      <c r="F482" s="230"/>
      <c r="G482" s="230"/>
      <c r="H482" s="230"/>
      <c r="I482" s="230"/>
      <c r="J482" s="230"/>
      <c r="K482" s="230"/>
      <c r="L482" s="230"/>
      <c r="M482" s="230"/>
      <c r="N482" s="230"/>
      <c r="O482" s="230"/>
    </row>
    <row r="483" spans="1:15">
      <c r="A483" s="230"/>
      <c r="B483" s="230"/>
      <c r="C483" s="230"/>
      <c r="D483" s="230"/>
      <c r="E483" s="230"/>
      <c r="F483" s="230"/>
      <c r="G483" s="230"/>
      <c r="H483" s="230"/>
      <c r="I483" s="230"/>
      <c r="J483" s="230"/>
      <c r="K483" s="230"/>
      <c r="L483" s="230"/>
      <c r="M483" s="230"/>
      <c r="N483" s="230"/>
      <c r="O483" s="230"/>
    </row>
    <row r="484" spans="1:15">
      <c r="A484" s="230"/>
      <c r="B484" s="230"/>
      <c r="C484" s="230"/>
      <c r="D484" s="230"/>
      <c r="E484" s="230"/>
      <c r="F484" s="230"/>
      <c r="G484" s="230"/>
      <c r="H484" s="230"/>
      <c r="I484" s="230"/>
      <c r="J484" s="230"/>
      <c r="K484" s="230"/>
      <c r="L484" s="230"/>
      <c r="M484" s="230"/>
      <c r="N484" s="230"/>
      <c r="O484" s="230"/>
    </row>
    <row r="485" spans="1:15">
      <c r="A485" s="230"/>
      <c r="B485" s="230"/>
      <c r="C485" s="230"/>
      <c r="D485" s="230"/>
      <c r="E485" s="230"/>
      <c r="F485" s="230"/>
      <c r="G485" s="230"/>
      <c r="H485" s="230"/>
      <c r="I485" s="230"/>
      <c r="J485" s="230"/>
      <c r="K485" s="230"/>
      <c r="L485" s="230"/>
      <c r="M485" s="230"/>
      <c r="N485" s="230"/>
      <c r="O485" s="230"/>
    </row>
    <row r="486" spans="1:15">
      <c r="A486" s="230"/>
      <c r="B486" s="230"/>
      <c r="C486" s="230"/>
      <c r="D486" s="230"/>
      <c r="E486" s="230"/>
      <c r="F486" s="230"/>
      <c r="G486" s="230"/>
      <c r="H486" s="230"/>
      <c r="I486" s="230"/>
      <c r="J486" s="230"/>
      <c r="K486" s="230"/>
      <c r="L486" s="230"/>
      <c r="M486" s="230"/>
      <c r="N486" s="230"/>
      <c r="O486" s="230"/>
    </row>
    <row r="487" spans="1:15">
      <c r="A487" s="230"/>
      <c r="B487" s="230"/>
      <c r="C487" s="230"/>
      <c r="D487" s="230"/>
      <c r="E487" s="230"/>
      <c r="F487" s="230"/>
      <c r="G487" s="230"/>
      <c r="H487" s="230"/>
      <c r="I487" s="230"/>
      <c r="J487" s="230"/>
      <c r="K487" s="230"/>
      <c r="L487" s="230"/>
      <c r="M487" s="230"/>
      <c r="N487" s="230"/>
      <c r="O487" s="230"/>
    </row>
    <row r="488" spans="1:15">
      <c r="A488" s="230"/>
      <c r="B488" s="230"/>
      <c r="C488" s="230"/>
      <c r="D488" s="230"/>
      <c r="E488" s="230"/>
      <c r="F488" s="230"/>
      <c r="G488" s="230"/>
      <c r="H488" s="230"/>
      <c r="I488" s="230"/>
      <c r="J488" s="230"/>
      <c r="K488" s="230"/>
      <c r="L488" s="230"/>
      <c r="M488" s="230"/>
      <c r="N488" s="230"/>
      <c r="O488" s="230"/>
    </row>
    <row r="489" spans="1:15">
      <c r="A489" s="230"/>
      <c r="B489" s="230"/>
      <c r="C489" s="230"/>
      <c r="D489" s="230"/>
      <c r="E489" s="230"/>
      <c r="F489" s="230"/>
      <c r="G489" s="230"/>
      <c r="H489" s="230"/>
      <c r="I489" s="230"/>
      <c r="J489" s="230"/>
      <c r="K489" s="230"/>
      <c r="L489" s="230"/>
      <c r="M489" s="230"/>
      <c r="N489" s="230"/>
      <c r="O489" s="230"/>
    </row>
    <row r="490" spans="1:15">
      <c r="A490" s="230"/>
      <c r="B490" s="230"/>
      <c r="C490" s="230"/>
      <c r="D490" s="230"/>
      <c r="E490" s="230"/>
      <c r="F490" s="230"/>
      <c r="G490" s="230"/>
      <c r="H490" s="230"/>
      <c r="I490" s="230"/>
      <c r="J490" s="230"/>
      <c r="K490" s="230"/>
      <c r="L490" s="230"/>
      <c r="M490" s="230"/>
      <c r="N490" s="230"/>
      <c r="O490" s="230"/>
    </row>
    <row r="491" spans="1:15">
      <c r="A491" s="230"/>
      <c r="B491" s="230"/>
      <c r="C491" s="230"/>
      <c r="D491" s="230"/>
      <c r="E491" s="230"/>
      <c r="F491" s="230"/>
      <c r="G491" s="230"/>
      <c r="H491" s="230"/>
      <c r="I491" s="230"/>
      <c r="J491" s="230"/>
      <c r="K491" s="230"/>
      <c r="L491" s="230"/>
      <c r="M491" s="230"/>
      <c r="N491" s="230"/>
      <c r="O491" s="230"/>
    </row>
    <row r="492" spans="1:15">
      <c r="A492" s="230"/>
      <c r="B492" s="230"/>
      <c r="C492" s="230"/>
      <c r="D492" s="230"/>
      <c r="E492" s="230"/>
      <c r="F492" s="230"/>
      <c r="G492" s="230"/>
      <c r="H492" s="230"/>
      <c r="I492" s="230"/>
      <c r="J492" s="230"/>
      <c r="K492" s="230"/>
      <c r="L492" s="230"/>
      <c r="M492" s="230"/>
      <c r="N492" s="230"/>
      <c r="O492" s="230"/>
    </row>
    <row r="493" spans="1:15">
      <c r="A493" s="230"/>
      <c r="B493" s="230"/>
      <c r="C493" s="230"/>
      <c r="D493" s="230"/>
      <c r="E493" s="230"/>
      <c r="F493" s="230"/>
      <c r="G493" s="230"/>
      <c r="H493" s="230"/>
      <c r="I493" s="230"/>
      <c r="J493" s="230"/>
      <c r="K493" s="230"/>
      <c r="L493" s="230"/>
      <c r="M493" s="230"/>
      <c r="N493" s="230"/>
      <c r="O493" s="230"/>
    </row>
    <row r="494" spans="1:15">
      <c r="A494" s="230"/>
      <c r="B494" s="230"/>
      <c r="C494" s="230"/>
      <c r="D494" s="230"/>
      <c r="E494" s="230"/>
      <c r="F494" s="230"/>
      <c r="G494" s="230"/>
      <c r="H494" s="230"/>
      <c r="I494" s="230"/>
      <c r="J494" s="230"/>
      <c r="K494" s="230"/>
      <c r="L494" s="230"/>
      <c r="M494" s="230"/>
      <c r="N494" s="230"/>
      <c r="O494" s="230"/>
    </row>
    <row r="495" spans="1:15">
      <c r="A495" s="230"/>
      <c r="B495" s="230"/>
      <c r="C495" s="230"/>
      <c r="D495" s="230"/>
      <c r="E495" s="230"/>
      <c r="F495" s="230"/>
      <c r="G495" s="230"/>
      <c r="H495" s="230"/>
      <c r="I495" s="230"/>
      <c r="J495" s="230"/>
      <c r="K495" s="230"/>
      <c r="L495" s="230"/>
      <c r="M495" s="230"/>
      <c r="N495" s="230"/>
      <c r="O495" s="230"/>
    </row>
    <row r="496" spans="1:15">
      <c r="A496" s="230"/>
      <c r="B496" s="230"/>
      <c r="C496" s="230"/>
      <c r="D496" s="230"/>
      <c r="E496" s="230"/>
      <c r="F496" s="230"/>
      <c r="G496" s="230"/>
      <c r="H496" s="230"/>
      <c r="I496" s="230"/>
      <c r="J496" s="230"/>
      <c r="K496" s="230"/>
      <c r="L496" s="230"/>
      <c r="M496" s="230"/>
      <c r="N496" s="230"/>
      <c r="O496" s="230"/>
    </row>
    <row r="497" spans="1:15">
      <c r="A497" s="230"/>
      <c r="B497" s="230"/>
      <c r="C497" s="230"/>
      <c r="D497" s="230"/>
      <c r="E497" s="230"/>
      <c r="F497" s="230"/>
      <c r="G497" s="230"/>
      <c r="H497" s="230"/>
      <c r="I497" s="230"/>
      <c r="J497" s="230"/>
      <c r="K497" s="230"/>
      <c r="L497" s="230"/>
      <c r="M497" s="230"/>
      <c r="N497" s="230"/>
      <c r="O497" s="230"/>
    </row>
    <row r="498" spans="1:15">
      <c r="A498" s="230"/>
      <c r="B498" s="230"/>
      <c r="C498" s="230"/>
      <c r="D498" s="230"/>
      <c r="E498" s="230"/>
      <c r="F498" s="230"/>
      <c r="G498" s="230"/>
      <c r="H498" s="230"/>
      <c r="I498" s="230"/>
      <c r="J498" s="230"/>
      <c r="K498" s="230"/>
      <c r="L498" s="230"/>
      <c r="M498" s="230"/>
      <c r="N498" s="230"/>
      <c r="O498" s="230"/>
    </row>
    <row r="499" spans="1:15">
      <c r="A499" s="230"/>
      <c r="B499" s="230"/>
      <c r="C499" s="230"/>
      <c r="D499" s="230"/>
      <c r="E499" s="230"/>
      <c r="F499" s="230"/>
      <c r="G499" s="230"/>
      <c r="H499" s="230"/>
      <c r="I499" s="230"/>
      <c r="J499" s="230"/>
      <c r="K499" s="230"/>
      <c r="L499" s="230"/>
      <c r="M499" s="230"/>
      <c r="N499" s="230"/>
      <c r="O499" s="230"/>
    </row>
    <row r="500" spans="1:15">
      <c r="A500" s="230"/>
      <c r="B500" s="230"/>
      <c r="C500" s="230"/>
      <c r="D500" s="230"/>
      <c r="E500" s="230"/>
      <c r="F500" s="230"/>
      <c r="G500" s="230"/>
      <c r="H500" s="230"/>
      <c r="I500" s="230"/>
      <c r="J500" s="230"/>
      <c r="K500" s="230"/>
      <c r="L500" s="230"/>
      <c r="M500" s="230"/>
      <c r="N500" s="230"/>
      <c r="O500" s="230"/>
    </row>
    <row r="501" spans="1:15">
      <c r="A501" s="230"/>
      <c r="B501" s="230"/>
      <c r="C501" s="230"/>
      <c r="D501" s="230"/>
      <c r="E501" s="230"/>
      <c r="F501" s="230"/>
      <c r="G501" s="230"/>
      <c r="H501" s="230"/>
      <c r="I501" s="230"/>
      <c r="J501" s="230"/>
      <c r="K501" s="230"/>
      <c r="L501" s="230"/>
      <c r="M501" s="230"/>
      <c r="N501" s="230"/>
      <c r="O501" s="230"/>
    </row>
    <row r="502" spans="1:15">
      <c r="A502" s="230"/>
      <c r="B502" s="230"/>
      <c r="C502" s="230"/>
      <c r="D502" s="230"/>
      <c r="E502" s="230"/>
      <c r="F502" s="230"/>
      <c r="G502" s="230"/>
      <c r="H502" s="230"/>
      <c r="I502" s="230"/>
      <c r="J502" s="230"/>
      <c r="K502" s="230"/>
      <c r="L502" s="230"/>
      <c r="M502" s="230"/>
      <c r="N502" s="230"/>
      <c r="O502" s="230"/>
    </row>
    <row r="503" spans="1:15">
      <c r="A503" s="230"/>
      <c r="B503" s="230"/>
      <c r="C503" s="230"/>
      <c r="D503" s="230"/>
      <c r="E503" s="230"/>
      <c r="F503" s="230"/>
      <c r="G503" s="230"/>
      <c r="H503" s="230"/>
      <c r="I503" s="230"/>
      <c r="J503" s="230"/>
      <c r="K503" s="230"/>
      <c r="L503" s="230"/>
      <c r="M503" s="230"/>
      <c r="N503" s="230"/>
      <c r="O503" s="230"/>
    </row>
    <row r="504" spans="1:15">
      <c r="A504" s="230"/>
      <c r="B504" s="230"/>
      <c r="C504" s="230"/>
      <c r="D504" s="230"/>
      <c r="E504" s="230"/>
      <c r="F504" s="230"/>
      <c r="G504" s="230"/>
      <c r="H504" s="230"/>
      <c r="I504" s="230"/>
      <c r="J504" s="230"/>
      <c r="K504" s="230"/>
      <c r="L504" s="230"/>
      <c r="M504" s="230"/>
      <c r="N504" s="230"/>
      <c r="O504" s="230"/>
    </row>
    <row r="505" spans="1:15">
      <c r="A505" s="230"/>
      <c r="B505" s="230"/>
      <c r="C505" s="230"/>
      <c r="D505" s="230"/>
      <c r="E505" s="230"/>
      <c r="F505" s="230"/>
      <c r="G505" s="230"/>
      <c r="H505" s="230"/>
      <c r="I505" s="230"/>
      <c r="J505" s="230"/>
      <c r="K505" s="230"/>
      <c r="L505" s="230"/>
      <c r="M505" s="230"/>
      <c r="N505" s="230"/>
      <c r="O505" s="230"/>
    </row>
    <row r="506" spans="1:15">
      <c r="A506" s="230"/>
      <c r="B506" s="230"/>
      <c r="C506" s="230"/>
      <c r="D506" s="230"/>
      <c r="E506" s="230"/>
      <c r="F506" s="230"/>
      <c r="G506" s="230"/>
      <c r="H506" s="230"/>
      <c r="I506" s="230"/>
      <c r="J506" s="230"/>
      <c r="K506" s="230"/>
      <c r="L506" s="230"/>
      <c r="M506" s="230"/>
      <c r="N506" s="230"/>
      <c r="O506" s="230"/>
    </row>
    <row r="507" spans="1:15">
      <c r="A507" s="230"/>
      <c r="B507" s="230"/>
      <c r="C507" s="230"/>
      <c r="D507" s="230"/>
      <c r="E507" s="230"/>
      <c r="F507" s="230"/>
      <c r="G507" s="230"/>
      <c r="H507" s="230"/>
      <c r="I507" s="230"/>
      <c r="J507" s="230"/>
      <c r="K507" s="230"/>
      <c r="L507" s="230"/>
      <c r="M507" s="230"/>
      <c r="N507" s="230"/>
      <c r="O507" s="230"/>
    </row>
    <row r="508" spans="1:15">
      <c r="A508" s="230"/>
      <c r="B508" s="230"/>
      <c r="C508" s="230"/>
      <c r="D508" s="230"/>
      <c r="E508" s="230"/>
      <c r="F508" s="230"/>
      <c r="G508" s="230"/>
      <c r="H508" s="230"/>
      <c r="I508" s="230"/>
      <c r="J508" s="230"/>
      <c r="K508" s="230"/>
      <c r="L508" s="230"/>
      <c r="M508" s="230"/>
      <c r="N508" s="230"/>
      <c r="O508" s="230"/>
    </row>
    <row r="509" spans="1:15">
      <c r="A509" s="230"/>
      <c r="B509" s="230"/>
      <c r="C509" s="230"/>
      <c r="D509" s="230"/>
      <c r="E509" s="230"/>
      <c r="F509" s="230"/>
      <c r="G509" s="230"/>
      <c r="H509" s="230"/>
      <c r="I509" s="230"/>
      <c r="J509" s="230"/>
      <c r="K509" s="230"/>
      <c r="L509" s="230"/>
      <c r="M509" s="230"/>
      <c r="N509" s="230"/>
      <c r="O509" s="230"/>
    </row>
    <row r="510" spans="1:15">
      <c r="A510" s="230"/>
      <c r="B510" s="230"/>
      <c r="C510" s="230"/>
      <c r="D510" s="230"/>
      <c r="E510" s="230"/>
      <c r="F510" s="230"/>
      <c r="G510" s="230"/>
      <c r="H510" s="230"/>
      <c r="I510" s="230"/>
      <c r="J510" s="230"/>
      <c r="K510" s="230"/>
      <c r="L510" s="230"/>
      <c r="M510" s="230"/>
      <c r="N510" s="230"/>
      <c r="O510" s="230"/>
    </row>
    <row r="511" spans="1:15">
      <c r="A511" s="230"/>
      <c r="B511" s="230"/>
      <c r="C511" s="230"/>
      <c r="D511" s="230"/>
      <c r="E511" s="230"/>
      <c r="F511" s="230"/>
      <c r="G511" s="230"/>
      <c r="H511" s="230"/>
      <c r="I511" s="230"/>
      <c r="J511" s="230"/>
      <c r="K511" s="230"/>
      <c r="L511" s="230"/>
      <c r="M511" s="230"/>
      <c r="N511" s="230"/>
      <c r="O511" s="230"/>
    </row>
    <row r="512" spans="1:15">
      <c r="A512" s="230"/>
      <c r="B512" s="230"/>
      <c r="C512" s="230"/>
      <c r="D512" s="230"/>
      <c r="E512" s="230"/>
      <c r="F512" s="230"/>
      <c r="G512" s="230"/>
      <c r="H512" s="230"/>
      <c r="I512" s="230"/>
      <c r="J512" s="230"/>
      <c r="K512" s="230"/>
      <c r="L512" s="230"/>
      <c r="M512" s="230"/>
      <c r="N512" s="230"/>
      <c r="O512" s="230"/>
    </row>
    <row r="513" spans="1:15">
      <c r="A513" s="230"/>
      <c r="B513" s="230"/>
      <c r="C513" s="230"/>
      <c r="D513" s="230"/>
      <c r="E513" s="230"/>
      <c r="F513" s="230"/>
      <c r="G513" s="230"/>
      <c r="H513" s="230"/>
      <c r="I513" s="230"/>
      <c r="J513" s="230"/>
      <c r="K513" s="230"/>
      <c r="L513" s="230"/>
      <c r="M513" s="230"/>
      <c r="N513" s="230"/>
      <c r="O513" s="230"/>
    </row>
    <row r="514" spans="1:15">
      <c r="A514" s="230"/>
      <c r="B514" s="230"/>
      <c r="C514" s="230"/>
      <c r="D514" s="230"/>
      <c r="E514" s="230"/>
      <c r="F514" s="230"/>
      <c r="G514" s="230"/>
      <c r="H514" s="230"/>
      <c r="I514" s="230"/>
      <c r="J514" s="230"/>
      <c r="K514" s="230"/>
      <c r="L514" s="230"/>
      <c r="M514" s="230"/>
      <c r="N514" s="230"/>
      <c r="O514" s="230"/>
    </row>
    <row r="515" spans="1:15">
      <c r="A515" s="230"/>
      <c r="B515" s="230"/>
      <c r="C515" s="230"/>
      <c r="D515" s="230"/>
      <c r="E515" s="230"/>
      <c r="F515" s="230"/>
      <c r="G515" s="230"/>
      <c r="H515" s="230"/>
      <c r="I515" s="230"/>
      <c r="J515" s="230"/>
      <c r="K515" s="230"/>
      <c r="L515" s="230"/>
      <c r="M515" s="230"/>
      <c r="N515" s="230"/>
      <c r="O515" s="230"/>
    </row>
    <row r="516" spans="1:15">
      <c r="A516" s="230"/>
      <c r="B516" s="230"/>
      <c r="C516" s="230"/>
      <c r="D516" s="230"/>
      <c r="E516" s="230"/>
      <c r="F516" s="230"/>
      <c r="G516" s="230"/>
      <c r="H516" s="230"/>
      <c r="I516" s="230"/>
      <c r="J516" s="230"/>
      <c r="K516" s="230"/>
      <c r="L516" s="230"/>
      <c r="M516" s="230"/>
      <c r="N516" s="230"/>
      <c r="O516" s="230"/>
    </row>
    <row r="517" spans="1:15">
      <c r="A517" s="230"/>
      <c r="B517" s="230"/>
      <c r="C517" s="230"/>
      <c r="D517" s="230"/>
      <c r="E517" s="230"/>
      <c r="F517" s="230"/>
      <c r="G517" s="230"/>
      <c r="H517" s="230"/>
      <c r="I517" s="230"/>
      <c r="J517" s="230"/>
      <c r="K517" s="230"/>
      <c r="L517" s="230"/>
      <c r="M517" s="230"/>
      <c r="N517" s="230"/>
      <c r="O517" s="230"/>
    </row>
    <row r="518" spans="1:15">
      <c r="A518" s="230"/>
      <c r="B518" s="230"/>
      <c r="C518" s="230"/>
      <c r="D518" s="230"/>
      <c r="E518" s="230"/>
      <c r="F518" s="230"/>
      <c r="G518" s="230"/>
      <c r="H518" s="230"/>
      <c r="I518" s="230"/>
      <c r="J518" s="230"/>
      <c r="K518" s="230"/>
      <c r="L518" s="230"/>
      <c r="M518" s="230"/>
      <c r="N518" s="230"/>
      <c r="O518" s="230"/>
    </row>
    <row r="519" spans="1:15">
      <c r="A519" s="230"/>
      <c r="B519" s="230"/>
      <c r="C519" s="230"/>
      <c r="D519" s="230"/>
      <c r="E519" s="230"/>
      <c r="F519" s="230"/>
      <c r="G519" s="230"/>
      <c r="H519" s="230"/>
      <c r="I519" s="230"/>
      <c r="J519" s="230"/>
      <c r="K519" s="230"/>
      <c r="L519" s="230"/>
      <c r="M519" s="230"/>
      <c r="N519" s="230"/>
      <c r="O519" s="230"/>
    </row>
    <row r="520" spans="1:15">
      <c r="A520" s="230"/>
      <c r="B520" s="230"/>
      <c r="C520" s="230"/>
      <c r="D520" s="230"/>
      <c r="E520" s="230"/>
      <c r="F520" s="230"/>
      <c r="G520" s="230"/>
      <c r="H520" s="230"/>
      <c r="I520" s="230"/>
      <c r="J520" s="230"/>
      <c r="K520" s="230"/>
      <c r="L520" s="230"/>
      <c r="M520" s="230"/>
      <c r="N520" s="230"/>
      <c r="O520" s="230"/>
    </row>
    <row r="521" spans="1:15">
      <c r="A521" s="230"/>
      <c r="B521" s="230"/>
      <c r="C521" s="230"/>
      <c r="D521" s="230"/>
      <c r="E521" s="230"/>
      <c r="F521" s="230"/>
      <c r="G521" s="230"/>
      <c r="H521" s="230"/>
      <c r="I521" s="230"/>
      <c r="J521" s="230"/>
      <c r="K521" s="230"/>
      <c r="L521" s="230"/>
      <c r="M521" s="230"/>
      <c r="N521" s="230"/>
      <c r="O521" s="230"/>
    </row>
    <row r="522" spans="1:15">
      <c r="A522" s="230"/>
      <c r="B522" s="230"/>
      <c r="C522" s="230"/>
      <c r="D522" s="230"/>
      <c r="E522" s="230"/>
      <c r="F522" s="230"/>
      <c r="G522" s="230"/>
      <c r="H522" s="230"/>
      <c r="I522" s="230"/>
      <c r="J522" s="230"/>
      <c r="K522" s="230"/>
      <c r="L522" s="230"/>
      <c r="M522" s="230"/>
      <c r="N522" s="230"/>
      <c r="O522" s="230"/>
    </row>
    <row r="523" spans="1:15">
      <c r="A523" s="230"/>
      <c r="B523" s="230"/>
      <c r="C523" s="230"/>
      <c r="D523" s="230"/>
      <c r="E523" s="230"/>
      <c r="F523" s="230"/>
      <c r="G523" s="230"/>
      <c r="H523" s="230"/>
      <c r="I523" s="230"/>
      <c r="J523" s="230"/>
      <c r="K523" s="230"/>
      <c r="L523" s="230"/>
      <c r="M523" s="230"/>
      <c r="N523" s="230"/>
      <c r="O523" s="230"/>
    </row>
    <row r="524" spans="1:15">
      <c r="A524" s="230"/>
      <c r="B524" s="230"/>
      <c r="C524" s="230"/>
      <c r="D524" s="230"/>
      <c r="E524" s="230"/>
      <c r="F524" s="230"/>
      <c r="G524" s="230"/>
      <c r="H524" s="230"/>
      <c r="I524" s="230"/>
      <c r="J524" s="230"/>
      <c r="K524" s="230"/>
      <c r="L524" s="230"/>
      <c r="M524" s="230"/>
      <c r="N524" s="230"/>
      <c r="O524" s="230"/>
    </row>
    <row r="525" spans="1:15">
      <c r="A525" s="230"/>
      <c r="B525" s="230"/>
      <c r="C525" s="230"/>
      <c r="D525" s="230"/>
      <c r="E525" s="230"/>
      <c r="F525" s="230"/>
      <c r="G525" s="230"/>
      <c r="H525" s="230"/>
      <c r="I525" s="230"/>
      <c r="J525" s="230"/>
      <c r="K525" s="230"/>
      <c r="L525" s="230"/>
      <c r="M525" s="230"/>
      <c r="N525" s="230"/>
      <c r="O525" s="230"/>
    </row>
    <row r="526" spans="1:15">
      <c r="A526" s="230"/>
      <c r="B526" s="230"/>
      <c r="C526" s="230"/>
      <c r="D526" s="230"/>
      <c r="E526" s="230"/>
      <c r="F526" s="230"/>
      <c r="G526" s="230"/>
      <c r="H526" s="230"/>
      <c r="I526" s="230"/>
      <c r="J526" s="230"/>
      <c r="K526" s="230"/>
      <c r="L526" s="230"/>
      <c r="M526" s="230"/>
      <c r="N526" s="230"/>
      <c r="O526" s="230"/>
    </row>
    <row r="527" spans="1:15">
      <c r="A527" s="230"/>
      <c r="B527" s="230"/>
      <c r="C527" s="230"/>
      <c r="D527" s="230"/>
      <c r="E527" s="230"/>
      <c r="F527" s="230"/>
      <c r="G527" s="230"/>
      <c r="H527" s="230"/>
      <c r="I527" s="230"/>
      <c r="J527" s="230"/>
      <c r="K527" s="230"/>
      <c r="L527" s="230"/>
      <c r="M527" s="230"/>
      <c r="N527" s="230"/>
      <c r="O527" s="230"/>
    </row>
    <row r="528" spans="1:15">
      <c r="A528" s="230"/>
      <c r="B528" s="230"/>
      <c r="C528" s="230"/>
      <c r="D528" s="230"/>
      <c r="E528" s="230"/>
      <c r="F528" s="230"/>
      <c r="G528" s="230"/>
      <c r="H528" s="230"/>
      <c r="I528" s="230"/>
      <c r="J528" s="230"/>
      <c r="K528" s="230"/>
      <c r="L528" s="230"/>
      <c r="M528" s="230"/>
      <c r="N528" s="230"/>
      <c r="O528" s="230"/>
    </row>
    <row r="529" spans="1:15">
      <c r="A529" s="230"/>
      <c r="B529" s="230"/>
      <c r="C529" s="230"/>
      <c r="D529" s="230"/>
      <c r="E529" s="230"/>
      <c r="F529" s="230"/>
      <c r="G529" s="230"/>
      <c r="H529" s="230"/>
      <c r="I529" s="230"/>
      <c r="J529" s="230"/>
      <c r="K529" s="230"/>
      <c r="L529" s="230"/>
      <c r="M529" s="230"/>
      <c r="N529" s="230"/>
      <c r="O529" s="230"/>
    </row>
    <row r="530" spans="1:15">
      <c r="A530" s="230"/>
      <c r="B530" s="230"/>
      <c r="C530" s="230"/>
      <c r="D530" s="230"/>
      <c r="E530" s="230"/>
      <c r="F530" s="230"/>
      <c r="G530" s="230"/>
      <c r="H530" s="230"/>
      <c r="I530" s="230"/>
      <c r="J530" s="230"/>
      <c r="K530" s="230"/>
      <c r="L530" s="230"/>
      <c r="M530" s="230"/>
      <c r="N530" s="230"/>
      <c r="O530" s="230"/>
    </row>
    <row r="531" spans="1:15">
      <c r="A531" s="230"/>
      <c r="B531" s="230"/>
      <c r="C531" s="230"/>
      <c r="D531" s="230"/>
      <c r="E531" s="230"/>
      <c r="F531" s="230"/>
      <c r="G531" s="230"/>
      <c r="H531" s="230"/>
      <c r="I531" s="230"/>
      <c r="J531" s="230"/>
      <c r="K531" s="230"/>
      <c r="L531" s="230"/>
      <c r="M531" s="230"/>
      <c r="N531" s="230"/>
      <c r="O531" s="230"/>
    </row>
    <row r="532" spans="1:15">
      <c r="A532" s="230"/>
      <c r="B532" s="230"/>
      <c r="C532" s="230"/>
      <c r="D532" s="230"/>
      <c r="E532" s="230"/>
      <c r="F532" s="230"/>
      <c r="G532" s="230"/>
      <c r="H532" s="230"/>
      <c r="I532" s="230"/>
      <c r="J532" s="230"/>
      <c r="K532" s="230"/>
      <c r="L532" s="230"/>
      <c r="M532" s="230"/>
      <c r="N532" s="230"/>
      <c r="O532" s="230"/>
    </row>
    <row r="533" spans="1:15">
      <c r="A533" s="230"/>
      <c r="B533" s="230"/>
      <c r="C533" s="230"/>
      <c r="D533" s="230"/>
      <c r="E533" s="230"/>
      <c r="F533" s="230"/>
      <c r="G533" s="230"/>
      <c r="H533" s="230"/>
      <c r="I533" s="230"/>
      <c r="J533" s="230"/>
      <c r="K533" s="230"/>
      <c r="L533" s="230"/>
      <c r="M533" s="230"/>
      <c r="N533" s="230"/>
      <c r="O533" s="230"/>
    </row>
    <row r="534" spans="1:15">
      <c r="A534" s="230"/>
      <c r="B534" s="230"/>
      <c r="C534" s="230"/>
      <c r="D534" s="230"/>
      <c r="E534" s="230"/>
      <c r="F534" s="230"/>
      <c r="G534" s="230"/>
      <c r="H534" s="230"/>
      <c r="I534" s="230"/>
      <c r="J534" s="230"/>
      <c r="K534" s="230"/>
      <c r="L534" s="230"/>
      <c r="M534" s="230"/>
      <c r="N534" s="230"/>
      <c r="O534" s="230"/>
    </row>
    <row r="535" spans="1:15">
      <c r="A535" s="230"/>
      <c r="B535" s="230"/>
      <c r="C535" s="230"/>
      <c r="D535" s="230"/>
      <c r="E535" s="230"/>
      <c r="F535" s="230"/>
      <c r="G535" s="230"/>
      <c r="H535" s="230"/>
      <c r="I535" s="230"/>
      <c r="J535" s="230"/>
      <c r="K535" s="230"/>
      <c r="L535" s="230"/>
      <c r="M535" s="230"/>
      <c r="N535" s="230"/>
      <c r="O535" s="230"/>
    </row>
    <row r="536" spans="1:15">
      <c r="A536" s="230"/>
      <c r="B536" s="230"/>
      <c r="C536" s="230"/>
      <c r="D536" s="230"/>
      <c r="E536" s="230"/>
      <c r="F536" s="230"/>
      <c r="G536" s="230"/>
      <c r="H536" s="230"/>
      <c r="I536" s="230"/>
      <c r="J536" s="230"/>
      <c r="K536" s="230"/>
      <c r="L536" s="230"/>
      <c r="M536" s="230"/>
      <c r="N536" s="230"/>
      <c r="O536" s="230"/>
    </row>
    <row r="537" spans="1:15">
      <c r="A537" s="230"/>
      <c r="B537" s="230"/>
      <c r="C537" s="230"/>
      <c r="D537" s="230"/>
      <c r="E537" s="230"/>
      <c r="F537" s="230"/>
      <c r="G537" s="230"/>
      <c r="H537" s="230"/>
      <c r="I537" s="230"/>
      <c r="J537" s="230"/>
      <c r="K537" s="230"/>
      <c r="L537" s="230"/>
      <c r="M537" s="230"/>
      <c r="N537" s="230"/>
      <c r="O537" s="230"/>
    </row>
    <row r="538" spans="1:15">
      <c r="A538" s="230"/>
      <c r="B538" s="230"/>
      <c r="C538" s="230"/>
      <c r="D538" s="230"/>
      <c r="E538" s="230"/>
      <c r="F538" s="230"/>
      <c r="G538" s="230"/>
      <c r="H538" s="230"/>
      <c r="I538" s="230"/>
      <c r="J538" s="230"/>
      <c r="K538" s="230"/>
      <c r="L538" s="230"/>
      <c r="M538" s="230"/>
      <c r="N538" s="230"/>
      <c r="O538" s="230"/>
    </row>
    <row r="539" spans="1:15">
      <c r="A539" s="230"/>
      <c r="B539" s="230"/>
      <c r="C539" s="230"/>
      <c r="D539" s="230"/>
      <c r="E539" s="230"/>
      <c r="F539" s="230"/>
      <c r="G539" s="230"/>
      <c r="H539" s="230"/>
      <c r="I539" s="230"/>
      <c r="J539" s="230"/>
      <c r="K539" s="230"/>
      <c r="L539" s="230"/>
      <c r="M539" s="230"/>
      <c r="N539" s="230"/>
      <c r="O539" s="230"/>
    </row>
    <row r="540" spans="1:15">
      <c r="A540" s="230"/>
      <c r="B540" s="230"/>
      <c r="C540" s="230"/>
      <c r="D540" s="230"/>
      <c r="E540" s="230"/>
      <c r="F540" s="230"/>
      <c r="G540" s="230"/>
      <c r="H540" s="230"/>
      <c r="I540" s="230"/>
      <c r="J540" s="230"/>
      <c r="K540" s="230"/>
      <c r="L540" s="230"/>
      <c r="M540" s="230"/>
      <c r="N540" s="230"/>
      <c r="O540" s="230"/>
    </row>
    <row r="541" spans="1:15">
      <c r="A541" s="230"/>
      <c r="B541" s="230"/>
      <c r="C541" s="230"/>
      <c r="D541" s="230"/>
      <c r="E541" s="230"/>
      <c r="F541" s="230"/>
      <c r="G541" s="230"/>
      <c r="H541" s="230"/>
      <c r="I541" s="230"/>
      <c r="J541" s="230"/>
      <c r="K541" s="230"/>
      <c r="L541" s="230"/>
      <c r="M541" s="230"/>
      <c r="N541" s="230"/>
      <c r="O541" s="230"/>
    </row>
    <row r="542" spans="1:15">
      <c r="A542" s="230"/>
      <c r="B542" s="230"/>
      <c r="C542" s="230"/>
      <c r="D542" s="230"/>
      <c r="E542" s="230"/>
      <c r="F542" s="230"/>
      <c r="G542" s="230"/>
      <c r="H542" s="230"/>
      <c r="I542" s="230"/>
      <c r="J542" s="230"/>
      <c r="K542" s="230"/>
      <c r="L542" s="230"/>
      <c r="M542" s="230"/>
      <c r="N542" s="230"/>
      <c r="O542" s="230"/>
    </row>
    <row r="543" spans="1:15">
      <c r="A543" s="230"/>
      <c r="B543" s="230"/>
      <c r="C543" s="230"/>
      <c r="D543" s="230"/>
      <c r="E543" s="230"/>
      <c r="F543" s="230"/>
      <c r="G543" s="230"/>
      <c r="H543" s="230"/>
      <c r="I543" s="230"/>
      <c r="J543" s="230"/>
      <c r="K543" s="230"/>
      <c r="L543" s="230"/>
      <c r="M543" s="230"/>
      <c r="N543" s="230"/>
      <c r="O543" s="230"/>
    </row>
    <row r="544" spans="1:15">
      <c r="A544" s="230"/>
      <c r="B544" s="230"/>
      <c r="C544" s="230"/>
      <c r="D544" s="230"/>
      <c r="E544" s="230"/>
      <c r="F544" s="230"/>
      <c r="G544" s="230"/>
      <c r="H544" s="230"/>
      <c r="I544" s="230"/>
      <c r="J544" s="230"/>
      <c r="K544" s="230"/>
      <c r="L544" s="230"/>
      <c r="M544" s="230"/>
      <c r="N544" s="230"/>
      <c r="O544" s="230"/>
    </row>
    <row r="545" spans="1:15">
      <c r="A545" s="230"/>
      <c r="B545" s="230"/>
      <c r="C545" s="230"/>
      <c r="D545" s="230"/>
      <c r="E545" s="230"/>
      <c r="F545" s="230"/>
      <c r="G545" s="230"/>
      <c r="H545" s="230"/>
      <c r="I545" s="230"/>
      <c r="J545" s="230"/>
      <c r="K545" s="230"/>
      <c r="L545" s="230"/>
      <c r="M545" s="230"/>
      <c r="N545" s="230"/>
      <c r="O545" s="230"/>
    </row>
    <row r="546" spans="1:15">
      <c r="A546" s="230"/>
      <c r="B546" s="230"/>
      <c r="C546" s="230"/>
      <c r="D546" s="230"/>
      <c r="E546" s="230"/>
      <c r="F546" s="230"/>
      <c r="G546" s="230"/>
      <c r="H546" s="230"/>
      <c r="I546" s="230"/>
      <c r="J546" s="230"/>
      <c r="K546" s="230"/>
      <c r="L546" s="230"/>
      <c r="M546" s="230"/>
      <c r="N546" s="230"/>
      <c r="O546" s="230"/>
    </row>
    <row r="547" spans="1:15">
      <c r="A547" s="230"/>
      <c r="B547" s="230"/>
      <c r="C547" s="230"/>
      <c r="D547" s="230"/>
      <c r="E547" s="230"/>
      <c r="F547" s="230"/>
      <c r="G547" s="230"/>
      <c r="H547" s="230"/>
      <c r="I547" s="230"/>
      <c r="J547" s="230"/>
      <c r="K547" s="230"/>
      <c r="L547" s="230"/>
      <c r="M547" s="230"/>
      <c r="N547" s="230"/>
      <c r="O547" s="230"/>
    </row>
    <row r="548" spans="1:15">
      <c r="A548" s="230"/>
      <c r="B548" s="230"/>
      <c r="C548" s="230"/>
      <c r="D548" s="230"/>
      <c r="E548" s="230"/>
      <c r="F548" s="230"/>
      <c r="G548" s="230"/>
      <c r="H548" s="230"/>
      <c r="I548" s="230"/>
      <c r="J548" s="230"/>
      <c r="K548" s="230"/>
      <c r="L548" s="230"/>
      <c r="M548" s="230"/>
      <c r="N548" s="230"/>
      <c r="O548" s="230"/>
    </row>
    <row r="549" spans="1:15">
      <c r="A549" s="230"/>
      <c r="B549" s="230"/>
      <c r="C549" s="230"/>
      <c r="D549" s="230"/>
      <c r="E549" s="230"/>
      <c r="F549" s="230"/>
      <c r="G549" s="230"/>
      <c r="H549" s="230"/>
      <c r="I549" s="230"/>
      <c r="J549" s="230"/>
      <c r="K549" s="230"/>
      <c r="L549" s="230"/>
      <c r="M549" s="230"/>
      <c r="N549" s="230"/>
      <c r="O549" s="230"/>
    </row>
    <row r="550" spans="1:15">
      <c r="A550" s="230"/>
      <c r="B550" s="230"/>
      <c r="C550" s="230"/>
      <c r="D550" s="230"/>
      <c r="E550" s="230"/>
      <c r="F550" s="230"/>
      <c r="G550" s="230"/>
      <c r="H550" s="230"/>
      <c r="I550" s="230"/>
      <c r="J550" s="230"/>
      <c r="K550" s="230"/>
      <c r="L550" s="230"/>
      <c r="M550" s="230"/>
      <c r="N550" s="230"/>
      <c r="O550" s="230"/>
    </row>
    <row r="551" spans="1:15">
      <c r="A551" s="230"/>
      <c r="B551" s="230"/>
      <c r="C551" s="230"/>
      <c r="D551" s="230"/>
      <c r="E551" s="230"/>
      <c r="F551" s="230"/>
      <c r="G551" s="230"/>
      <c r="H551" s="230"/>
      <c r="I551" s="230"/>
      <c r="J551" s="230"/>
      <c r="K551" s="230"/>
      <c r="L551" s="230"/>
      <c r="M551" s="230"/>
      <c r="N551" s="230"/>
      <c r="O551" s="230"/>
    </row>
    <row r="552" spans="1:15">
      <c r="A552" s="230"/>
      <c r="B552" s="230"/>
      <c r="C552" s="230"/>
      <c r="D552" s="230"/>
      <c r="E552" s="230"/>
      <c r="F552" s="230"/>
      <c r="G552" s="230"/>
      <c r="H552" s="230"/>
      <c r="I552" s="230"/>
      <c r="J552" s="230"/>
      <c r="K552" s="230"/>
      <c r="L552" s="230"/>
      <c r="M552" s="230"/>
      <c r="N552" s="230"/>
      <c r="O552" s="230"/>
    </row>
    <row r="553" spans="1:15">
      <c r="A553" s="230"/>
      <c r="B553" s="230"/>
      <c r="C553" s="230"/>
      <c r="D553" s="230"/>
      <c r="E553" s="230"/>
      <c r="F553" s="230"/>
      <c r="G553" s="230"/>
      <c r="H553" s="230"/>
      <c r="I553" s="230"/>
      <c r="J553" s="230"/>
      <c r="K553" s="230"/>
      <c r="L553" s="230"/>
      <c r="M553" s="230"/>
      <c r="N553" s="230"/>
      <c r="O553" s="230"/>
    </row>
    <row r="554" spans="1:15">
      <c r="A554" s="230"/>
      <c r="B554" s="230"/>
      <c r="C554" s="230"/>
      <c r="D554" s="230"/>
      <c r="E554" s="230"/>
      <c r="F554" s="230"/>
      <c r="G554" s="230"/>
      <c r="H554" s="230"/>
      <c r="I554" s="230"/>
      <c r="J554" s="230"/>
      <c r="K554" s="230"/>
      <c r="L554" s="230"/>
      <c r="M554" s="230"/>
      <c r="N554" s="230"/>
      <c r="O554" s="230"/>
    </row>
    <row r="555" spans="1:15">
      <c r="A555" s="230"/>
      <c r="B555" s="230"/>
      <c r="C555" s="230"/>
      <c r="D555" s="230"/>
      <c r="E555" s="230"/>
      <c r="F555" s="230"/>
      <c r="G555" s="230"/>
      <c r="H555" s="230"/>
      <c r="I555" s="230"/>
      <c r="J555" s="230"/>
      <c r="K555" s="230"/>
      <c r="L555" s="230"/>
      <c r="M555" s="230"/>
      <c r="N555" s="230"/>
      <c r="O555" s="230"/>
    </row>
    <row r="556" spans="1:15">
      <c r="A556" s="230"/>
      <c r="B556" s="230"/>
      <c r="C556" s="230"/>
      <c r="D556" s="230"/>
      <c r="E556" s="230"/>
      <c r="F556" s="230"/>
      <c r="G556" s="230"/>
      <c r="H556" s="230"/>
      <c r="I556" s="230"/>
      <c r="J556" s="230"/>
      <c r="K556" s="230"/>
      <c r="L556" s="230"/>
      <c r="M556" s="230"/>
      <c r="N556" s="230"/>
      <c r="O556" s="230"/>
    </row>
    <row r="557" spans="1:15">
      <c r="A557" s="230"/>
      <c r="B557" s="230"/>
      <c r="C557" s="230"/>
      <c r="D557" s="230"/>
      <c r="E557" s="230"/>
      <c r="F557" s="230"/>
      <c r="G557" s="230"/>
      <c r="H557" s="230"/>
      <c r="I557" s="230"/>
      <c r="J557" s="230"/>
      <c r="K557" s="230"/>
      <c r="L557" s="230"/>
      <c r="M557" s="230"/>
      <c r="N557" s="230"/>
      <c r="O557" s="230"/>
    </row>
    <row r="558" spans="1:15">
      <c r="A558" s="230"/>
      <c r="B558" s="230"/>
      <c r="C558" s="230"/>
      <c r="D558" s="230"/>
      <c r="E558" s="230"/>
      <c r="F558" s="230"/>
      <c r="G558" s="230"/>
      <c r="H558" s="230"/>
      <c r="I558" s="230"/>
      <c r="J558" s="230"/>
      <c r="K558" s="230"/>
      <c r="L558" s="230"/>
      <c r="M558" s="230"/>
      <c r="N558" s="230"/>
      <c r="O558" s="230"/>
    </row>
    <row r="559" spans="1:15">
      <c r="A559" s="230"/>
      <c r="B559" s="230"/>
      <c r="C559" s="230"/>
      <c r="D559" s="230"/>
      <c r="E559" s="230"/>
      <c r="F559" s="230"/>
      <c r="G559" s="230"/>
      <c r="H559" s="230"/>
      <c r="I559" s="230"/>
      <c r="J559" s="230"/>
      <c r="K559" s="230"/>
      <c r="L559" s="230"/>
      <c r="M559" s="230"/>
      <c r="N559" s="230"/>
      <c r="O559" s="230"/>
    </row>
    <row r="560" spans="1:15">
      <c r="A560" s="230"/>
      <c r="B560" s="230"/>
      <c r="C560" s="230"/>
      <c r="D560" s="230"/>
      <c r="E560" s="230"/>
      <c r="F560" s="230"/>
      <c r="G560" s="230"/>
      <c r="H560" s="230"/>
      <c r="I560" s="230"/>
      <c r="J560" s="230"/>
      <c r="K560" s="230"/>
      <c r="L560" s="230"/>
      <c r="M560" s="230"/>
      <c r="N560" s="230"/>
      <c r="O560" s="230"/>
    </row>
    <row r="561" spans="1:15">
      <c r="A561" s="230"/>
      <c r="B561" s="230"/>
      <c r="C561" s="230"/>
      <c r="D561" s="230"/>
      <c r="E561" s="230"/>
      <c r="F561" s="230"/>
      <c r="G561" s="230"/>
      <c r="H561" s="230"/>
      <c r="I561" s="230"/>
      <c r="J561" s="230"/>
      <c r="K561" s="230"/>
      <c r="L561" s="230"/>
      <c r="M561" s="230"/>
      <c r="N561" s="230"/>
      <c r="O561" s="230"/>
    </row>
    <row r="562" spans="1:15">
      <c r="A562" s="230"/>
      <c r="B562" s="230"/>
      <c r="C562" s="230"/>
      <c r="D562" s="230"/>
      <c r="E562" s="230"/>
      <c r="F562" s="230"/>
      <c r="G562" s="230"/>
      <c r="H562" s="230"/>
      <c r="I562" s="230"/>
      <c r="J562" s="230"/>
      <c r="K562" s="230"/>
      <c r="L562" s="230"/>
      <c r="M562" s="230"/>
      <c r="N562" s="230"/>
      <c r="O562" s="230"/>
    </row>
    <row r="563" spans="1:15">
      <c r="A563" s="230"/>
      <c r="B563" s="230"/>
      <c r="C563" s="230"/>
      <c r="D563" s="230"/>
      <c r="E563" s="230"/>
      <c r="F563" s="230"/>
      <c r="G563" s="230"/>
      <c r="H563" s="230"/>
      <c r="I563" s="230"/>
      <c r="J563" s="230"/>
      <c r="K563" s="230"/>
      <c r="L563" s="230"/>
      <c r="M563" s="230"/>
      <c r="N563" s="230"/>
      <c r="O563" s="230"/>
    </row>
    <row r="564" spans="1:15">
      <c r="A564" s="230"/>
      <c r="B564" s="230"/>
      <c r="C564" s="230"/>
      <c r="D564" s="230"/>
      <c r="E564" s="230"/>
      <c r="F564" s="230"/>
      <c r="G564" s="230"/>
      <c r="H564" s="230"/>
      <c r="I564" s="230"/>
      <c r="J564" s="230"/>
      <c r="K564" s="230"/>
      <c r="L564" s="230"/>
      <c r="M564" s="230"/>
      <c r="N564" s="230"/>
      <c r="O564" s="230"/>
    </row>
    <row r="565" spans="1:15">
      <c r="A565" s="230"/>
      <c r="B565" s="230"/>
      <c r="C565" s="230"/>
      <c r="D565" s="230"/>
      <c r="E565" s="230"/>
      <c r="F565" s="230"/>
      <c r="G565" s="230"/>
      <c r="H565" s="230"/>
      <c r="I565" s="230"/>
      <c r="J565" s="230"/>
      <c r="K565" s="230"/>
      <c r="L565" s="230"/>
      <c r="M565" s="230"/>
      <c r="N565" s="230"/>
      <c r="O565" s="230"/>
    </row>
    <row r="566" spans="1:15">
      <c r="A566" s="230"/>
      <c r="B566" s="230"/>
      <c r="C566" s="230"/>
      <c r="D566" s="230"/>
      <c r="E566" s="230"/>
      <c r="F566" s="230"/>
      <c r="G566" s="230"/>
      <c r="H566" s="230"/>
      <c r="I566" s="230"/>
      <c r="J566" s="230"/>
      <c r="K566" s="230"/>
      <c r="L566" s="230"/>
      <c r="M566" s="230"/>
      <c r="N566" s="230"/>
      <c r="O566" s="230"/>
    </row>
    <row r="567" spans="1:15">
      <c r="A567" s="230"/>
      <c r="B567" s="230"/>
      <c r="C567" s="230"/>
      <c r="D567" s="230"/>
      <c r="E567" s="230"/>
      <c r="F567" s="230"/>
      <c r="G567" s="230"/>
      <c r="H567" s="230"/>
      <c r="I567" s="230"/>
      <c r="J567" s="230"/>
      <c r="K567" s="230"/>
      <c r="L567" s="230"/>
      <c r="M567" s="230"/>
      <c r="N567" s="230"/>
      <c r="O567" s="230"/>
    </row>
    <row r="568" spans="1:15">
      <c r="A568" s="230"/>
      <c r="B568" s="230"/>
      <c r="C568" s="230"/>
      <c r="D568" s="230"/>
      <c r="E568" s="230"/>
      <c r="F568" s="230"/>
      <c r="G568" s="230"/>
      <c r="H568" s="230"/>
      <c r="I568" s="230"/>
      <c r="J568" s="230"/>
      <c r="K568" s="230"/>
      <c r="L568" s="230"/>
      <c r="M568" s="230"/>
      <c r="N568" s="230"/>
      <c r="O568" s="230"/>
    </row>
    <row r="569" spans="1:15">
      <c r="A569" s="230"/>
      <c r="B569" s="230"/>
      <c r="C569" s="230"/>
      <c r="D569" s="230"/>
      <c r="E569" s="230"/>
      <c r="F569" s="230"/>
      <c r="G569" s="230"/>
      <c r="H569" s="230"/>
      <c r="I569" s="230"/>
      <c r="J569" s="230"/>
      <c r="K569" s="230"/>
      <c r="L569" s="230"/>
      <c r="M569" s="230"/>
      <c r="N569" s="230"/>
      <c r="O569" s="230"/>
    </row>
    <row r="570" spans="1:15">
      <c r="A570" s="230"/>
      <c r="B570" s="230"/>
      <c r="C570" s="230"/>
      <c r="D570" s="230"/>
      <c r="E570" s="230"/>
      <c r="F570" s="230"/>
      <c r="G570" s="230"/>
      <c r="H570" s="230"/>
      <c r="I570" s="230"/>
      <c r="J570" s="230"/>
      <c r="K570" s="230"/>
      <c r="L570" s="230"/>
      <c r="M570" s="230"/>
      <c r="N570" s="230"/>
      <c r="O570" s="230"/>
    </row>
    <row r="571" spans="1:15">
      <c r="A571" s="230"/>
      <c r="B571" s="230"/>
      <c r="C571" s="230"/>
      <c r="D571" s="230"/>
      <c r="E571" s="230"/>
      <c r="F571" s="230"/>
      <c r="G571" s="230"/>
      <c r="H571" s="230"/>
      <c r="I571" s="230"/>
      <c r="J571" s="230"/>
      <c r="K571" s="230"/>
      <c r="L571" s="230"/>
      <c r="M571" s="230"/>
      <c r="N571" s="230"/>
      <c r="O571" s="230"/>
    </row>
    <row r="572" spans="1:15">
      <c r="A572" s="230"/>
      <c r="B572" s="230"/>
      <c r="C572" s="230"/>
      <c r="D572" s="230"/>
      <c r="E572" s="230"/>
      <c r="F572" s="230"/>
      <c r="G572" s="230"/>
      <c r="H572" s="230"/>
      <c r="I572" s="230"/>
      <c r="J572" s="230"/>
      <c r="K572" s="230"/>
      <c r="L572" s="230"/>
      <c r="M572" s="230"/>
      <c r="N572" s="230"/>
      <c r="O572" s="230"/>
    </row>
    <row r="573" spans="1:15">
      <c r="A573" s="230"/>
      <c r="B573" s="230"/>
      <c r="C573" s="230"/>
      <c r="D573" s="230"/>
      <c r="E573" s="230"/>
      <c r="F573" s="230"/>
      <c r="G573" s="230"/>
      <c r="H573" s="230"/>
      <c r="I573" s="230"/>
      <c r="J573" s="230"/>
      <c r="K573" s="230"/>
      <c r="L573" s="230"/>
      <c r="M573" s="230"/>
      <c r="N573" s="230"/>
      <c r="O573" s="230"/>
    </row>
    <row r="574" spans="1:15">
      <c r="A574" s="230"/>
      <c r="B574" s="230"/>
      <c r="C574" s="230"/>
      <c r="D574" s="230"/>
      <c r="E574" s="230"/>
      <c r="F574" s="230"/>
      <c r="G574" s="230"/>
      <c r="H574" s="230"/>
      <c r="I574" s="230"/>
      <c r="J574" s="230"/>
      <c r="K574" s="230"/>
      <c r="L574" s="230"/>
      <c r="M574" s="230"/>
      <c r="N574" s="230"/>
      <c r="O574" s="230"/>
    </row>
    <row r="575" spans="1:15">
      <c r="A575" s="230"/>
      <c r="B575" s="230"/>
      <c r="C575" s="230"/>
      <c r="D575" s="230"/>
      <c r="E575" s="230"/>
      <c r="F575" s="230"/>
      <c r="G575" s="230"/>
      <c r="H575" s="230"/>
      <c r="I575" s="230"/>
      <c r="J575" s="230"/>
      <c r="K575" s="230"/>
      <c r="L575" s="230"/>
      <c r="M575" s="230"/>
      <c r="N575" s="230"/>
      <c r="O575" s="230"/>
    </row>
    <row r="576" spans="1:15">
      <c r="A576" s="230"/>
      <c r="B576" s="230"/>
      <c r="C576" s="230"/>
      <c r="D576" s="230"/>
      <c r="E576" s="230"/>
      <c r="F576" s="230"/>
      <c r="G576" s="230"/>
      <c r="H576" s="230"/>
      <c r="I576" s="230"/>
      <c r="J576" s="230"/>
      <c r="K576" s="230"/>
      <c r="L576" s="230"/>
      <c r="M576" s="230"/>
      <c r="N576" s="230"/>
      <c r="O576" s="230"/>
    </row>
    <row r="577" spans="1:15">
      <c r="A577" s="230"/>
      <c r="B577" s="230"/>
      <c r="C577" s="230"/>
      <c r="D577" s="230"/>
      <c r="E577" s="230"/>
      <c r="F577" s="230"/>
      <c r="G577" s="230"/>
      <c r="H577" s="230"/>
      <c r="I577" s="230"/>
      <c r="J577" s="230"/>
      <c r="K577" s="230"/>
      <c r="L577" s="230"/>
      <c r="M577" s="230"/>
      <c r="N577" s="230"/>
      <c r="O577" s="230"/>
    </row>
    <row r="578" spans="1:15">
      <c r="A578" s="230"/>
      <c r="B578" s="230"/>
      <c r="C578" s="230"/>
      <c r="D578" s="230"/>
      <c r="E578" s="230"/>
      <c r="F578" s="230"/>
      <c r="G578" s="230"/>
      <c r="H578" s="230"/>
      <c r="I578" s="230"/>
      <c r="J578" s="230"/>
      <c r="K578" s="230"/>
      <c r="L578" s="230"/>
      <c r="M578" s="230"/>
      <c r="N578" s="230"/>
      <c r="O578" s="230"/>
    </row>
    <row r="579" spans="1:15">
      <c r="A579" s="230"/>
      <c r="B579" s="230"/>
      <c r="C579" s="230"/>
      <c r="D579" s="230"/>
      <c r="E579" s="230"/>
      <c r="F579" s="230"/>
      <c r="G579" s="230"/>
      <c r="H579" s="230"/>
      <c r="I579" s="230"/>
      <c r="J579" s="230"/>
      <c r="K579" s="230"/>
      <c r="L579" s="230"/>
      <c r="M579" s="230"/>
      <c r="N579" s="230"/>
      <c r="O579" s="230"/>
    </row>
    <row r="580" spans="1:15">
      <c r="A580" s="230"/>
      <c r="B580" s="230"/>
      <c r="C580" s="230"/>
      <c r="D580" s="230"/>
      <c r="E580" s="230"/>
      <c r="F580" s="230"/>
      <c r="G580" s="230"/>
      <c r="H580" s="230"/>
      <c r="I580" s="230"/>
      <c r="J580" s="230"/>
      <c r="K580" s="230"/>
      <c r="L580" s="230"/>
      <c r="M580" s="230"/>
      <c r="N580" s="230"/>
      <c r="O580" s="230"/>
    </row>
    <row r="581" spans="1:15">
      <c r="A581" s="230"/>
      <c r="B581" s="230"/>
      <c r="C581" s="230"/>
      <c r="D581" s="230"/>
      <c r="E581" s="230"/>
      <c r="F581" s="230"/>
      <c r="G581" s="230"/>
      <c r="H581" s="230"/>
      <c r="I581" s="230"/>
      <c r="J581" s="230"/>
      <c r="K581" s="230"/>
      <c r="L581" s="230"/>
      <c r="M581" s="230"/>
      <c r="N581" s="230"/>
      <c r="O581" s="230"/>
    </row>
    <row r="582" spans="1:15">
      <c r="A582" s="230"/>
      <c r="B582" s="230"/>
      <c r="C582" s="230"/>
      <c r="D582" s="230"/>
      <c r="E582" s="230"/>
      <c r="F582" s="230"/>
      <c r="G582" s="230"/>
      <c r="H582" s="230"/>
      <c r="I582" s="230"/>
      <c r="J582" s="230"/>
      <c r="K582" s="230"/>
      <c r="L582" s="230"/>
      <c r="M582" s="230"/>
      <c r="N582" s="230"/>
      <c r="O582" s="230"/>
    </row>
    <row r="583" spans="1:15">
      <c r="A583" s="230"/>
      <c r="B583" s="230"/>
      <c r="C583" s="230"/>
      <c r="D583" s="230"/>
      <c r="E583" s="230"/>
      <c r="F583" s="230"/>
      <c r="G583" s="230"/>
      <c r="H583" s="230"/>
      <c r="I583" s="230"/>
      <c r="J583" s="230"/>
      <c r="K583" s="230"/>
      <c r="L583" s="230"/>
      <c r="M583" s="230"/>
      <c r="N583" s="230"/>
      <c r="O583" s="230"/>
    </row>
    <row r="584" spans="1:15">
      <c r="A584" s="230"/>
      <c r="B584" s="230"/>
      <c r="C584" s="230"/>
      <c r="D584" s="230"/>
      <c r="E584" s="230"/>
      <c r="F584" s="230"/>
      <c r="G584" s="230"/>
      <c r="H584" s="230"/>
      <c r="I584" s="230"/>
      <c r="J584" s="230"/>
      <c r="K584" s="230"/>
      <c r="L584" s="230"/>
      <c r="M584" s="230"/>
      <c r="N584" s="230"/>
      <c r="O584" s="230"/>
    </row>
    <row r="585" spans="1:15">
      <c r="A585" s="230"/>
      <c r="B585" s="230"/>
      <c r="C585" s="230"/>
      <c r="D585" s="230"/>
      <c r="E585" s="230"/>
      <c r="F585" s="230"/>
      <c r="G585" s="230"/>
      <c r="H585" s="230"/>
      <c r="I585" s="230"/>
      <c r="J585" s="230"/>
      <c r="K585" s="230"/>
      <c r="L585" s="230"/>
      <c r="M585" s="230"/>
      <c r="N585" s="230"/>
      <c r="O585" s="230"/>
    </row>
    <row r="586" spans="1:15">
      <c r="A586" s="230"/>
      <c r="B586" s="230"/>
      <c r="C586" s="230"/>
      <c r="D586" s="230"/>
      <c r="E586" s="230"/>
      <c r="F586" s="230"/>
      <c r="G586" s="230"/>
      <c r="H586" s="230"/>
      <c r="I586" s="230"/>
      <c r="J586" s="230"/>
      <c r="K586" s="230"/>
      <c r="L586" s="230"/>
      <c r="M586" s="230"/>
      <c r="N586" s="230"/>
      <c r="O586" s="230"/>
    </row>
    <row r="587" spans="1:15">
      <c r="A587" s="230"/>
      <c r="B587" s="230"/>
      <c r="C587" s="230"/>
      <c r="D587" s="230"/>
      <c r="E587" s="230"/>
      <c r="F587" s="230"/>
      <c r="G587" s="230"/>
      <c r="H587" s="230"/>
      <c r="I587" s="230"/>
      <c r="J587" s="230"/>
      <c r="K587" s="230"/>
      <c r="L587" s="230"/>
      <c r="M587" s="230"/>
      <c r="N587" s="230"/>
      <c r="O587" s="230"/>
    </row>
    <row r="588" spans="1:15">
      <c r="A588" s="230"/>
      <c r="B588" s="230"/>
      <c r="C588" s="230"/>
      <c r="D588" s="230"/>
      <c r="E588" s="230"/>
      <c r="F588" s="230"/>
      <c r="G588" s="230"/>
      <c r="H588" s="230"/>
      <c r="I588" s="230"/>
      <c r="J588" s="230"/>
      <c r="K588" s="230"/>
      <c r="L588" s="230"/>
      <c r="M588" s="230"/>
      <c r="N588" s="230"/>
      <c r="O588" s="230"/>
    </row>
    <row r="589" spans="1:15">
      <c r="A589" s="230"/>
      <c r="B589" s="230"/>
      <c r="C589" s="230"/>
      <c r="D589" s="230"/>
      <c r="E589" s="230"/>
      <c r="F589" s="230"/>
      <c r="G589" s="230"/>
      <c r="H589" s="230"/>
      <c r="I589" s="230"/>
      <c r="J589" s="230"/>
      <c r="K589" s="230"/>
      <c r="L589" s="230"/>
      <c r="M589" s="230"/>
      <c r="N589" s="230"/>
      <c r="O589" s="230"/>
    </row>
    <row r="590" spans="1:15">
      <c r="A590" s="230"/>
      <c r="B590" s="230"/>
      <c r="C590" s="230"/>
      <c r="D590" s="230"/>
      <c r="E590" s="230"/>
      <c r="F590" s="230"/>
      <c r="G590" s="230"/>
      <c r="H590" s="230"/>
      <c r="I590" s="230"/>
      <c r="J590" s="230"/>
      <c r="K590" s="230"/>
      <c r="L590" s="230"/>
      <c r="M590" s="230"/>
      <c r="N590" s="230"/>
      <c r="O590" s="230"/>
    </row>
    <row r="591" spans="1:15">
      <c r="A591" s="230"/>
      <c r="B591" s="230"/>
      <c r="C591" s="230"/>
      <c r="D591" s="230"/>
      <c r="E591" s="230"/>
      <c r="F591" s="230"/>
      <c r="G591" s="230"/>
      <c r="H591" s="230"/>
      <c r="I591" s="230"/>
      <c r="J591" s="230"/>
      <c r="K591" s="230"/>
      <c r="L591" s="230"/>
      <c r="M591" s="230"/>
      <c r="N591" s="230"/>
      <c r="O591" s="230"/>
    </row>
    <row r="592" spans="1:15">
      <c r="A592" s="230"/>
      <c r="B592" s="230"/>
      <c r="C592" s="230"/>
      <c r="D592" s="230"/>
      <c r="E592" s="230"/>
      <c r="F592" s="230"/>
      <c r="G592" s="230"/>
      <c r="H592" s="230"/>
      <c r="I592" s="230"/>
      <c r="J592" s="230"/>
      <c r="K592" s="230"/>
      <c r="L592" s="230"/>
      <c r="M592" s="230"/>
      <c r="N592" s="230"/>
      <c r="O592" s="230"/>
    </row>
    <row r="593" spans="1:15">
      <c r="A593" s="230"/>
      <c r="B593" s="230"/>
      <c r="C593" s="230"/>
      <c r="D593" s="230"/>
      <c r="E593" s="230"/>
      <c r="F593" s="230"/>
      <c r="G593" s="230"/>
      <c r="H593" s="230"/>
      <c r="I593" s="230"/>
      <c r="J593" s="230"/>
      <c r="K593" s="230"/>
      <c r="L593" s="230"/>
      <c r="M593" s="230"/>
      <c r="N593" s="230"/>
      <c r="O593" s="230"/>
    </row>
    <row r="594" spans="1:15">
      <c r="A594" s="230"/>
      <c r="B594" s="230"/>
      <c r="C594" s="230"/>
      <c r="D594" s="230"/>
      <c r="E594" s="230"/>
      <c r="F594" s="230"/>
      <c r="G594" s="230"/>
      <c r="H594" s="230"/>
      <c r="I594" s="230"/>
      <c r="J594" s="230"/>
      <c r="K594" s="230"/>
      <c r="L594" s="230"/>
      <c r="M594" s="230"/>
      <c r="N594" s="230"/>
      <c r="O594" s="230"/>
    </row>
    <row r="595" spans="1:15">
      <c r="A595" s="230"/>
      <c r="B595" s="230"/>
      <c r="C595" s="230"/>
      <c r="D595" s="230"/>
      <c r="E595" s="230"/>
      <c r="F595" s="230"/>
      <c r="G595" s="230"/>
      <c r="H595" s="230"/>
      <c r="I595" s="230"/>
      <c r="J595" s="230"/>
      <c r="K595" s="230"/>
      <c r="L595" s="230"/>
      <c r="M595" s="230"/>
      <c r="N595" s="230"/>
      <c r="O595" s="230"/>
    </row>
    <row r="596" spans="1:15">
      <c r="A596" s="230"/>
      <c r="B596" s="230"/>
      <c r="C596" s="230"/>
      <c r="D596" s="230"/>
      <c r="E596" s="230"/>
      <c r="F596" s="230"/>
      <c r="G596" s="230"/>
      <c r="H596" s="230"/>
      <c r="I596" s="230"/>
      <c r="J596" s="230"/>
      <c r="K596" s="230"/>
      <c r="L596" s="230"/>
      <c r="M596" s="230"/>
      <c r="N596" s="230"/>
      <c r="O596" s="230"/>
    </row>
    <row r="597" spans="1:15">
      <c r="A597" s="230"/>
      <c r="B597" s="230"/>
      <c r="C597" s="230"/>
      <c r="D597" s="230"/>
      <c r="E597" s="230"/>
      <c r="F597" s="230"/>
      <c r="G597" s="230"/>
      <c r="H597" s="230"/>
      <c r="I597" s="230"/>
      <c r="J597" s="230"/>
      <c r="K597" s="230"/>
      <c r="L597" s="230"/>
      <c r="M597" s="230"/>
      <c r="N597" s="230"/>
      <c r="O597" s="230"/>
    </row>
    <row r="598" spans="1:15">
      <c r="A598" s="230"/>
      <c r="B598" s="230"/>
      <c r="C598" s="230"/>
      <c r="D598" s="230"/>
      <c r="E598" s="230"/>
      <c r="F598" s="230"/>
      <c r="G598" s="230"/>
      <c r="H598" s="230"/>
      <c r="I598" s="230"/>
      <c r="J598" s="230"/>
      <c r="K598" s="230"/>
      <c r="L598" s="230"/>
      <c r="M598" s="230"/>
      <c r="N598" s="230"/>
      <c r="O598" s="230"/>
    </row>
    <row r="599" spans="1:15">
      <c r="A599" s="230"/>
      <c r="B599" s="230"/>
      <c r="C599" s="230"/>
      <c r="D599" s="230"/>
      <c r="E599" s="230"/>
      <c r="F599" s="230"/>
      <c r="G599" s="230"/>
      <c r="H599" s="230"/>
      <c r="I599" s="230"/>
      <c r="J599" s="230"/>
      <c r="K599" s="230"/>
      <c r="L599" s="230"/>
      <c r="M599" s="230"/>
      <c r="N599" s="230"/>
      <c r="O599" s="230"/>
    </row>
    <row r="600" spans="1:15">
      <c r="A600" s="230"/>
      <c r="B600" s="230"/>
      <c r="C600" s="230"/>
      <c r="D600" s="230"/>
      <c r="E600" s="230"/>
      <c r="F600" s="230"/>
      <c r="G600" s="230"/>
      <c r="H600" s="230"/>
      <c r="I600" s="230"/>
      <c r="J600" s="230"/>
      <c r="K600" s="230"/>
      <c r="L600" s="230"/>
      <c r="M600" s="230"/>
      <c r="N600" s="230"/>
      <c r="O600" s="230"/>
    </row>
    <row r="601" spans="1:15">
      <c r="A601" s="230"/>
      <c r="B601" s="230"/>
      <c r="C601" s="230"/>
      <c r="D601" s="230"/>
      <c r="E601" s="230"/>
      <c r="F601" s="230"/>
      <c r="G601" s="230"/>
      <c r="H601" s="230"/>
      <c r="I601" s="230"/>
      <c r="J601" s="230"/>
      <c r="K601" s="230"/>
      <c r="L601" s="230"/>
      <c r="M601" s="230"/>
      <c r="N601" s="230"/>
      <c r="O601" s="230"/>
    </row>
    <row r="602" spans="1:15">
      <c r="A602" s="230"/>
      <c r="B602" s="230"/>
      <c r="C602" s="230"/>
      <c r="D602" s="230"/>
      <c r="E602" s="230"/>
      <c r="F602" s="230"/>
      <c r="G602" s="230"/>
      <c r="H602" s="230"/>
      <c r="I602" s="230"/>
      <c r="J602" s="230"/>
      <c r="K602" s="230"/>
      <c r="L602" s="230"/>
      <c r="M602" s="230"/>
      <c r="N602" s="230"/>
      <c r="O602" s="230"/>
    </row>
    <row r="603" spans="1:15">
      <c r="A603" s="230"/>
      <c r="B603" s="230"/>
      <c r="C603" s="230"/>
      <c r="D603" s="230"/>
      <c r="E603" s="230"/>
      <c r="F603" s="230"/>
      <c r="G603" s="230"/>
      <c r="H603" s="230"/>
      <c r="I603" s="230"/>
      <c r="J603" s="230"/>
      <c r="K603" s="230"/>
      <c r="L603" s="230"/>
      <c r="M603" s="230"/>
      <c r="N603" s="230"/>
      <c r="O603" s="230"/>
    </row>
    <row r="604" spans="1:15">
      <c r="A604" s="230"/>
      <c r="B604" s="230"/>
      <c r="C604" s="230"/>
      <c r="D604" s="230"/>
      <c r="E604" s="230"/>
      <c r="F604" s="230"/>
      <c r="G604" s="230"/>
      <c r="H604" s="230"/>
      <c r="I604" s="230"/>
      <c r="J604" s="230"/>
      <c r="K604" s="230"/>
      <c r="L604" s="230"/>
      <c r="M604" s="230"/>
      <c r="N604" s="230"/>
      <c r="O604" s="230"/>
    </row>
    <row r="605" spans="1:15">
      <c r="A605" s="230"/>
      <c r="B605" s="230"/>
      <c r="C605" s="230"/>
      <c r="D605" s="230"/>
      <c r="E605" s="230"/>
      <c r="F605" s="230"/>
      <c r="G605" s="230"/>
      <c r="H605" s="230"/>
      <c r="I605" s="230"/>
      <c r="J605" s="230"/>
      <c r="K605" s="230"/>
      <c r="L605" s="230"/>
      <c r="M605" s="230"/>
      <c r="N605" s="230"/>
      <c r="O605" s="230"/>
    </row>
    <row r="606" spans="1:15">
      <c r="A606" s="230"/>
      <c r="B606" s="230"/>
      <c r="C606" s="230"/>
      <c r="D606" s="230"/>
      <c r="E606" s="230"/>
      <c r="F606" s="230"/>
      <c r="G606" s="230"/>
      <c r="H606" s="230"/>
      <c r="I606" s="230"/>
      <c r="J606" s="230"/>
      <c r="K606" s="230"/>
      <c r="L606" s="230"/>
      <c r="M606" s="230"/>
      <c r="N606" s="230"/>
      <c r="O606" s="230"/>
    </row>
    <row r="607" spans="1:15">
      <c r="A607" s="230"/>
      <c r="B607" s="230"/>
      <c r="C607" s="230"/>
      <c r="D607" s="230"/>
      <c r="E607" s="230"/>
      <c r="F607" s="230"/>
      <c r="G607" s="230"/>
      <c r="H607" s="230"/>
      <c r="I607" s="230"/>
      <c r="J607" s="230"/>
      <c r="K607" s="230"/>
      <c r="L607" s="230"/>
      <c r="M607" s="230"/>
      <c r="N607" s="230"/>
      <c r="O607" s="230"/>
    </row>
    <row r="608" spans="1:15">
      <c r="A608" s="230"/>
      <c r="B608" s="230"/>
      <c r="C608" s="230"/>
      <c r="D608" s="230"/>
      <c r="E608" s="230"/>
      <c r="F608" s="230"/>
      <c r="G608" s="230"/>
      <c r="H608" s="230"/>
      <c r="I608" s="230"/>
      <c r="J608" s="230"/>
      <c r="K608" s="230"/>
      <c r="L608" s="230"/>
      <c r="M608" s="230"/>
      <c r="N608" s="230"/>
      <c r="O608" s="230"/>
    </row>
    <row r="609" spans="1:15">
      <c r="A609" s="230"/>
      <c r="B609" s="230"/>
      <c r="C609" s="230"/>
      <c r="D609" s="230"/>
      <c r="E609" s="230"/>
      <c r="F609" s="230"/>
      <c r="G609" s="230"/>
      <c r="H609" s="230"/>
      <c r="I609" s="230"/>
      <c r="J609" s="230"/>
      <c r="K609" s="230"/>
      <c r="L609" s="230"/>
      <c r="M609" s="230"/>
      <c r="N609" s="230"/>
      <c r="O609" s="230"/>
    </row>
    <row r="610" spans="1:15">
      <c r="A610" s="230"/>
      <c r="B610" s="230"/>
      <c r="C610" s="230"/>
      <c r="D610" s="230"/>
      <c r="E610" s="230"/>
      <c r="F610" s="230"/>
      <c r="G610" s="230"/>
      <c r="H610" s="230"/>
      <c r="I610" s="230"/>
      <c r="J610" s="230"/>
      <c r="K610" s="230"/>
      <c r="L610" s="230"/>
      <c r="M610" s="230"/>
      <c r="N610" s="230"/>
      <c r="O610" s="230"/>
    </row>
    <row r="611" spans="1:15">
      <c r="A611" s="230"/>
      <c r="B611" s="230"/>
      <c r="C611" s="230"/>
      <c r="D611" s="230"/>
      <c r="E611" s="230"/>
      <c r="F611" s="230"/>
      <c r="G611" s="230"/>
      <c r="H611" s="230"/>
      <c r="I611" s="230"/>
      <c r="J611" s="230"/>
      <c r="K611" s="230"/>
      <c r="L611" s="230"/>
      <c r="M611" s="230"/>
      <c r="N611" s="230"/>
      <c r="O611" s="230"/>
    </row>
    <row r="612" spans="1:15">
      <c r="A612" s="230"/>
      <c r="B612" s="230"/>
      <c r="C612" s="230"/>
      <c r="D612" s="230"/>
      <c r="E612" s="230"/>
      <c r="F612" s="230"/>
      <c r="G612" s="230"/>
      <c r="H612" s="230"/>
      <c r="I612" s="230"/>
      <c r="J612" s="230"/>
      <c r="K612" s="230"/>
      <c r="L612" s="230"/>
      <c r="M612" s="230"/>
      <c r="N612" s="230"/>
      <c r="O612" s="230"/>
    </row>
    <row r="613" spans="1:15">
      <c r="A613" s="230"/>
      <c r="B613" s="230"/>
      <c r="C613" s="230"/>
      <c r="D613" s="230"/>
      <c r="E613" s="230"/>
      <c r="F613" s="230"/>
      <c r="G613" s="230"/>
      <c r="H613" s="230"/>
      <c r="I613" s="230"/>
      <c r="J613" s="230"/>
      <c r="K613" s="230"/>
      <c r="L613" s="230"/>
      <c r="M613" s="230"/>
      <c r="N613" s="230"/>
      <c r="O613" s="230"/>
    </row>
    <row r="614" spans="1:15">
      <c r="A614" s="230"/>
      <c r="B614" s="230"/>
      <c r="C614" s="230"/>
      <c r="D614" s="230"/>
      <c r="E614" s="230"/>
      <c r="F614" s="230"/>
      <c r="G614" s="230"/>
      <c r="H614" s="230"/>
      <c r="I614" s="230"/>
      <c r="J614" s="230"/>
      <c r="K614" s="230"/>
      <c r="L614" s="230"/>
      <c r="M614" s="230"/>
      <c r="N614" s="230"/>
      <c r="O614" s="230"/>
    </row>
    <row r="615" spans="1:15">
      <c r="A615" s="230"/>
      <c r="B615" s="230"/>
      <c r="C615" s="230"/>
      <c r="D615" s="230"/>
      <c r="E615" s="230"/>
      <c r="F615" s="230"/>
      <c r="G615" s="230"/>
      <c r="H615" s="230"/>
      <c r="I615" s="230"/>
      <c r="J615" s="230"/>
      <c r="K615" s="230"/>
      <c r="L615" s="230"/>
      <c r="M615" s="230"/>
      <c r="N615" s="230"/>
      <c r="O615" s="230"/>
    </row>
    <row r="616" spans="1:15">
      <c r="A616" s="230"/>
      <c r="B616" s="230"/>
      <c r="C616" s="230"/>
      <c r="D616" s="230"/>
      <c r="E616" s="230"/>
      <c r="F616" s="230"/>
      <c r="G616" s="230"/>
      <c r="H616" s="230"/>
      <c r="I616" s="230"/>
      <c r="J616" s="230"/>
      <c r="K616" s="230"/>
      <c r="L616" s="230"/>
      <c r="M616" s="230"/>
      <c r="N616" s="230"/>
      <c r="O616" s="230"/>
    </row>
    <row r="617" spans="1:15">
      <c r="A617" s="230"/>
      <c r="B617" s="230"/>
      <c r="C617" s="230"/>
      <c r="D617" s="230"/>
      <c r="E617" s="230"/>
      <c r="F617" s="230"/>
      <c r="G617" s="230"/>
      <c r="H617" s="230"/>
      <c r="I617" s="230"/>
      <c r="J617" s="230"/>
      <c r="K617" s="230"/>
      <c r="L617" s="230"/>
      <c r="M617" s="230"/>
      <c r="N617" s="230"/>
      <c r="O617" s="230"/>
    </row>
    <row r="618" spans="1:15">
      <c r="A618" s="230"/>
      <c r="B618" s="230"/>
      <c r="C618" s="230"/>
      <c r="D618" s="230"/>
      <c r="E618" s="230"/>
      <c r="F618" s="230"/>
      <c r="G618" s="230"/>
      <c r="H618" s="230"/>
      <c r="I618" s="230"/>
      <c r="J618" s="230"/>
      <c r="K618" s="230"/>
      <c r="L618" s="230"/>
      <c r="M618" s="230"/>
      <c r="N618" s="230"/>
      <c r="O618" s="230"/>
    </row>
    <row r="619" spans="1:15">
      <c r="A619" s="230"/>
      <c r="B619" s="230"/>
      <c r="C619" s="230"/>
      <c r="D619" s="230"/>
      <c r="E619" s="230"/>
      <c r="F619" s="230"/>
      <c r="G619" s="230"/>
      <c r="H619" s="230"/>
      <c r="I619" s="230"/>
      <c r="J619" s="230"/>
      <c r="K619" s="230"/>
      <c r="L619" s="230"/>
      <c r="M619" s="230"/>
      <c r="N619" s="230"/>
      <c r="O619" s="230"/>
    </row>
    <row r="620" spans="1:15">
      <c r="A620" s="230"/>
      <c r="B620" s="230"/>
      <c r="C620" s="230"/>
      <c r="D620" s="230"/>
      <c r="E620" s="230"/>
      <c r="F620" s="230"/>
      <c r="G620" s="230"/>
      <c r="H620" s="230"/>
      <c r="I620" s="230"/>
      <c r="J620" s="230"/>
      <c r="K620" s="230"/>
      <c r="L620" s="230"/>
      <c r="M620" s="230"/>
      <c r="N620" s="230"/>
      <c r="O620" s="230"/>
    </row>
    <row r="621" spans="1:15">
      <c r="A621" s="230"/>
      <c r="B621" s="230"/>
      <c r="C621" s="230"/>
      <c r="D621" s="230"/>
      <c r="E621" s="230"/>
      <c r="F621" s="230"/>
      <c r="G621" s="230"/>
      <c r="H621" s="230"/>
      <c r="I621" s="230"/>
      <c r="J621" s="230"/>
      <c r="K621" s="230"/>
      <c r="L621" s="230"/>
      <c r="M621" s="230"/>
      <c r="N621" s="230"/>
      <c r="O621" s="230"/>
    </row>
    <row r="622" spans="1:15">
      <c r="A622" s="230"/>
      <c r="B622" s="230"/>
      <c r="C622" s="230"/>
      <c r="D622" s="230"/>
      <c r="E622" s="230"/>
      <c r="F622" s="230"/>
      <c r="G622" s="230"/>
      <c r="H622" s="230"/>
      <c r="I622" s="230"/>
      <c r="J622" s="230"/>
      <c r="K622" s="230"/>
      <c r="L622" s="230"/>
      <c r="M622" s="230"/>
      <c r="N622" s="230"/>
      <c r="O622" s="230"/>
    </row>
    <row r="623" spans="1:15">
      <c r="A623" s="230"/>
      <c r="B623" s="230"/>
      <c r="C623" s="230"/>
      <c r="D623" s="230"/>
      <c r="E623" s="230"/>
      <c r="F623" s="230"/>
      <c r="G623" s="230"/>
      <c r="H623" s="230"/>
      <c r="I623" s="230"/>
      <c r="J623" s="230"/>
      <c r="K623" s="230"/>
      <c r="L623" s="230"/>
      <c r="M623" s="230"/>
      <c r="N623" s="230"/>
      <c r="O623" s="230"/>
    </row>
    <row r="624" spans="1:15">
      <c r="A624" s="230"/>
      <c r="B624" s="230"/>
      <c r="C624" s="230"/>
      <c r="D624" s="230"/>
      <c r="E624" s="230"/>
      <c r="F624" s="230"/>
      <c r="G624" s="230"/>
      <c r="H624" s="230"/>
      <c r="I624" s="230"/>
      <c r="J624" s="230"/>
      <c r="K624" s="230"/>
      <c r="L624" s="230"/>
      <c r="M624" s="230"/>
      <c r="N624" s="230"/>
      <c r="O624" s="230"/>
    </row>
    <row r="625" spans="1:15">
      <c r="A625" s="230"/>
      <c r="B625" s="230"/>
      <c r="C625" s="230"/>
      <c r="D625" s="230"/>
      <c r="E625" s="230"/>
      <c r="F625" s="230"/>
      <c r="G625" s="230"/>
      <c r="H625" s="230"/>
      <c r="I625" s="230"/>
      <c r="J625" s="230"/>
      <c r="K625" s="230"/>
      <c r="L625" s="230"/>
      <c r="M625" s="230"/>
      <c r="N625" s="230"/>
      <c r="O625" s="230"/>
    </row>
    <row r="626" spans="1:15">
      <c r="A626" s="230"/>
      <c r="B626" s="230"/>
      <c r="C626" s="230"/>
      <c r="D626" s="230"/>
      <c r="E626" s="230"/>
      <c r="F626" s="230"/>
      <c r="G626" s="230"/>
      <c r="H626" s="230"/>
      <c r="I626" s="230"/>
      <c r="J626" s="230"/>
      <c r="K626" s="230"/>
      <c r="L626" s="230"/>
      <c r="M626" s="230"/>
      <c r="N626" s="230"/>
      <c r="O626" s="230"/>
    </row>
    <row r="627" spans="1:15">
      <c r="A627" s="230"/>
      <c r="B627" s="230"/>
      <c r="C627" s="230"/>
      <c r="D627" s="230"/>
      <c r="E627" s="230"/>
      <c r="F627" s="230"/>
      <c r="G627" s="230"/>
      <c r="H627" s="230"/>
      <c r="I627" s="230"/>
      <c r="J627" s="230"/>
      <c r="K627" s="230"/>
      <c r="L627" s="230"/>
      <c r="M627" s="230"/>
      <c r="N627" s="230"/>
      <c r="O627" s="230"/>
    </row>
    <row r="628" spans="1:15">
      <c r="A628" s="230"/>
      <c r="B628" s="230"/>
      <c r="C628" s="230"/>
      <c r="D628" s="230"/>
      <c r="E628" s="230"/>
      <c r="F628" s="230"/>
      <c r="G628" s="230"/>
      <c r="H628" s="230"/>
      <c r="I628" s="230"/>
      <c r="J628" s="230"/>
      <c r="K628" s="230"/>
      <c r="L628" s="230"/>
      <c r="M628" s="230"/>
      <c r="N628" s="230"/>
      <c r="O628" s="230"/>
    </row>
    <row r="629" spans="1:15">
      <c r="A629" s="230"/>
      <c r="B629" s="230"/>
      <c r="C629" s="230"/>
      <c r="D629" s="230"/>
      <c r="E629" s="230"/>
      <c r="F629" s="230"/>
      <c r="G629" s="230"/>
      <c r="H629" s="230"/>
      <c r="I629" s="230"/>
      <c r="J629" s="230"/>
      <c r="K629" s="230"/>
      <c r="L629" s="230"/>
      <c r="M629" s="230"/>
      <c r="N629" s="230"/>
      <c r="O629" s="230"/>
    </row>
    <row r="630" spans="1:15">
      <c r="A630" s="230"/>
      <c r="B630" s="230"/>
      <c r="C630" s="230"/>
      <c r="D630" s="230"/>
      <c r="E630" s="230"/>
      <c r="F630" s="230"/>
      <c r="G630" s="230"/>
      <c r="H630" s="230"/>
      <c r="I630" s="230"/>
      <c r="J630" s="230"/>
      <c r="K630" s="230"/>
      <c r="L630" s="230"/>
      <c r="M630" s="230"/>
      <c r="N630" s="230"/>
      <c r="O630" s="230"/>
    </row>
    <row r="631" spans="1:15">
      <c r="A631" s="230"/>
      <c r="B631" s="230"/>
      <c r="C631" s="230"/>
      <c r="D631" s="230"/>
      <c r="E631" s="230"/>
      <c r="F631" s="230"/>
      <c r="G631" s="230"/>
      <c r="H631" s="230"/>
      <c r="I631" s="230"/>
      <c r="J631" s="230"/>
      <c r="K631" s="230"/>
      <c r="L631" s="230"/>
      <c r="M631" s="230"/>
      <c r="N631" s="230"/>
      <c r="O631" s="230"/>
    </row>
    <row r="632" spans="1:15">
      <c r="A632" s="230"/>
      <c r="B632" s="230"/>
      <c r="C632" s="230"/>
      <c r="D632" s="230"/>
      <c r="E632" s="230"/>
      <c r="F632" s="230"/>
      <c r="G632" s="230"/>
      <c r="H632" s="230"/>
      <c r="I632" s="230"/>
      <c r="J632" s="230"/>
      <c r="K632" s="230"/>
      <c r="L632" s="230"/>
      <c r="M632" s="230"/>
      <c r="N632" s="230"/>
      <c r="O632" s="230"/>
    </row>
    <row r="633" spans="1:15">
      <c r="A633" s="230"/>
      <c r="B633" s="230"/>
      <c r="C633" s="230"/>
      <c r="D633" s="230"/>
      <c r="E633" s="230"/>
      <c r="F633" s="230"/>
      <c r="G633" s="230"/>
      <c r="H633" s="230"/>
      <c r="I633" s="230"/>
      <c r="J633" s="230"/>
      <c r="K633" s="230"/>
      <c r="L633" s="230"/>
      <c r="M633" s="230"/>
      <c r="N633" s="230"/>
      <c r="O633" s="230"/>
    </row>
    <row r="634" spans="1:15">
      <c r="A634" s="230"/>
      <c r="B634" s="230"/>
      <c r="C634" s="230"/>
      <c r="D634" s="230"/>
      <c r="E634" s="230"/>
      <c r="F634" s="230"/>
      <c r="G634" s="230"/>
      <c r="H634" s="230"/>
      <c r="I634" s="230"/>
      <c r="J634" s="230"/>
      <c r="K634" s="230"/>
      <c r="L634" s="230"/>
      <c r="M634" s="230"/>
      <c r="N634" s="230"/>
      <c r="O634" s="230"/>
    </row>
    <row r="635" spans="1:15">
      <c r="A635" s="230"/>
      <c r="B635" s="230"/>
      <c r="C635" s="230"/>
      <c r="D635" s="230"/>
      <c r="E635" s="230"/>
      <c r="F635" s="230"/>
      <c r="G635" s="230"/>
      <c r="H635" s="230"/>
      <c r="I635" s="230"/>
      <c r="J635" s="230"/>
      <c r="K635" s="230"/>
      <c r="L635" s="230"/>
      <c r="M635" s="230"/>
      <c r="N635" s="230"/>
      <c r="O635" s="230"/>
    </row>
    <row r="636" spans="1:15">
      <c r="A636" s="230"/>
      <c r="B636" s="230"/>
      <c r="C636" s="230"/>
      <c r="D636" s="230"/>
      <c r="E636" s="230"/>
      <c r="F636" s="230"/>
      <c r="G636" s="230"/>
      <c r="H636" s="230"/>
      <c r="I636" s="230"/>
      <c r="J636" s="230"/>
      <c r="K636" s="230"/>
      <c r="L636" s="230"/>
      <c r="M636" s="230"/>
      <c r="N636" s="230"/>
      <c r="O636" s="230"/>
    </row>
    <row r="637" spans="1:15">
      <c r="A637" s="230"/>
      <c r="B637" s="230"/>
      <c r="C637" s="230"/>
      <c r="D637" s="230"/>
      <c r="E637" s="230"/>
      <c r="F637" s="230"/>
      <c r="G637" s="230"/>
      <c r="H637" s="230"/>
      <c r="I637" s="230"/>
      <c r="J637" s="230"/>
      <c r="K637" s="230"/>
      <c r="L637" s="230"/>
      <c r="M637" s="230"/>
      <c r="N637" s="230"/>
      <c r="O637" s="230"/>
    </row>
    <row r="638" spans="1:15">
      <c r="A638" s="230"/>
      <c r="B638" s="230"/>
      <c r="C638" s="230"/>
      <c r="D638" s="230"/>
      <c r="E638" s="230"/>
      <c r="F638" s="230"/>
      <c r="G638" s="230"/>
      <c r="H638" s="230"/>
      <c r="I638" s="230"/>
      <c r="J638" s="230"/>
      <c r="K638" s="230"/>
      <c r="L638" s="230"/>
      <c r="M638" s="230"/>
      <c r="N638" s="230"/>
      <c r="O638" s="230"/>
    </row>
    <row r="639" spans="1:15">
      <c r="A639" s="230"/>
      <c r="B639" s="230"/>
      <c r="C639" s="230"/>
      <c r="D639" s="230"/>
      <c r="E639" s="230"/>
      <c r="F639" s="230"/>
      <c r="G639" s="230"/>
      <c r="H639" s="230"/>
      <c r="I639" s="230"/>
      <c r="J639" s="230"/>
      <c r="K639" s="230"/>
      <c r="L639" s="230"/>
      <c r="M639" s="230"/>
      <c r="N639" s="230"/>
      <c r="O639" s="230"/>
    </row>
    <row r="640" spans="1:15">
      <c r="A640" s="230"/>
      <c r="B640" s="230"/>
      <c r="C640" s="230"/>
      <c r="D640" s="230"/>
      <c r="E640" s="230"/>
      <c r="F640" s="230"/>
      <c r="G640" s="230"/>
      <c r="H640" s="230"/>
      <c r="I640" s="230"/>
      <c r="J640" s="230"/>
      <c r="K640" s="230"/>
      <c r="L640" s="230"/>
      <c r="M640" s="230"/>
      <c r="N640" s="230"/>
      <c r="O640" s="230"/>
    </row>
    <row r="641" spans="1:15">
      <c r="A641" s="230"/>
      <c r="B641" s="230"/>
      <c r="C641" s="230"/>
      <c r="D641" s="230"/>
      <c r="E641" s="230"/>
      <c r="F641" s="230"/>
      <c r="G641" s="230"/>
      <c r="H641" s="230"/>
      <c r="I641" s="230"/>
      <c r="J641" s="230"/>
      <c r="K641" s="230"/>
      <c r="L641" s="230"/>
      <c r="M641" s="230"/>
      <c r="N641" s="230"/>
      <c r="O641" s="230"/>
    </row>
    <row r="642" spans="1:15">
      <c r="A642" s="230"/>
      <c r="B642" s="230"/>
      <c r="C642" s="230"/>
      <c r="D642" s="230"/>
      <c r="E642" s="230"/>
      <c r="F642" s="230"/>
      <c r="G642" s="230"/>
      <c r="H642" s="230"/>
      <c r="I642" s="230"/>
      <c r="J642" s="230"/>
      <c r="K642" s="230"/>
      <c r="L642" s="230"/>
      <c r="M642" s="230"/>
      <c r="N642" s="230"/>
      <c r="O642" s="230"/>
    </row>
    <row r="643" spans="1:15">
      <c r="A643" s="230"/>
      <c r="B643" s="230"/>
      <c r="C643" s="230"/>
      <c r="D643" s="230"/>
      <c r="E643" s="230"/>
      <c r="F643" s="230"/>
      <c r="G643" s="230"/>
      <c r="H643" s="230"/>
      <c r="I643" s="230"/>
      <c r="J643" s="230"/>
      <c r="K643" s="230"/>
      <c r="L643" s="230"/>
      <c r="M643" s="230"/>
      <c r="N643" s="230"/>
      <c r="O643" s="230"/>
    </row>
    <row r="644" spans="1:15">
      <c r="A644" s="230"/>
      <c r="B644" s="230"/>
      <c r="C644" s="230"/>
      <c r="D644" s="230"/>
      <c r="E644" s="230"/>
      <c r="F644" s="230"/>
      <c r="G644" s="230"/>
      <c r="H644" s="230"/>
      <c r="I644" s="230"/>
      <c r="J644" s="230"/>
      <c r="K644" s="230"/>
      <c r="L644" s="230"/>
      <c r="M644" s="230"/>
      <c r="N644" s="230"/>
      <c r="O644" s="230"/>
    </row>
    <row r="645" spans="1:15">
      <c r="A645" s="230"/>
      <c r="B645" s="230"/>
      <c r="C645" s="230"/>
      <c r="D645" s="230"/>
      <c r="E645" s="230"/>
      <c r="F645" s="230"/>
      <c r="G645" s="230"/>
      <c r="H645" s="230"/>
      <c r="I645" s="230"/>
      <c r="J645" s="230"/>
      <c r="K645" s="230"/>
      <c r="L645" s="230"/>
      <c r="M645" s="230"/>
      <c r="N645" s="230"/>
      <c r="O645" s="230"/>
    </row>
    <row r="646" spans="1:15">
      <c r="A646" s="230"/>
      <c r="B646" s="230"/>
      <c r="C646" s="230"/>
      <c r="D646" s="230"/>
      <c r="E646" s="230"/>
      <c r="F646" s="230"/>
      <c r="G646" s="230"/>
      <c r="H646" s="230"/>
      <c r="I646" s="230"/>
      <c r="J646" s="230"/>
      <c r="K646" s="230"/>
      <c r="L646" s="230"/>
      <c r="M646" s="230"/>
      <c r="N646" s="230"/>
      <c r="O646" s="230"/>
    </row>
    <row r="647" spans="1:15">
      <c r="A647" s="230"/>
      <c r="B647" s="230"/>
      <c r="C647" s="230"/>
      <c r="D647" s="230"/>
      <c r="E647" s="230"/>
      <c r="F647" s="230"/>
      <c r="G647" s="230"/>
      <c r="H647" s="230"/>
      <c r="I647" s="230"/>
      <c r="J647" s="230"/>
      <c r="K647" s="230"/>
      <c r="L647" s="230"/>
      <c r="M647" s="230"/>
      <c r="N647" s="230"/>
      <c r="O647" s="230"/>
    </row>
    <row r="648" spans="1:15">
      <c r="A648" s="230"/>
      <c r="B648" s="230"/>
      <c r="C648" s="230"/>
      <c r="D648" s="230"/>
      <c r="E648" s="230"/>
      <c r="F648" s="230"/>
      <c r="G648" s="230"/>
      <c r="H648" s="230"/>
      <c r="I648" s="230"/>
      <c r="J648" s="230"/>
      <c r="K648" s="230"/>
      <c r="L648" s="230"/>
      <c r="M648" s="230"/>
      <c r="N648" s="230"/>
      <c r="O648" s="230"/>
    </row>
    <row r="649" spans="1:15">
      <c r="A649" s="230"/>
      <c r="B649" s="230"/>
      <c r="C649" s="230"/>
      <c r="D649" s="230"/>
      <c r="E649" s="230"/>
      <c r="F649" s="230"/>
      <c r="G649" s="230"/>
      <c r="H649" s="230"/>
      <c r="I649" s="230"/>
      <c r="J649" s="230"/>
      <c r="K649" s="230"/>
      <c r="L649" s="230"/>
      <c r="M649" s="230"/>
      <c r="N649" s="230"/>
      <c r="O649" s="230"/>
    </row>
    <row r="650" spans="1:15">
      <c r="A650" s="230"/>
      <c r="B650" s="230"/>
      <c r="C650" s="230"/>
      <c r="D650" s="230"/>
      <c r="E650" s="230"/>
      <c r="F650" s="230"/>
      <c r="G650" s="230"/>
      <c r="H650" s="230"/>
      <c r="I650" s="230"/>
      <c r="J650" s="230"/>
      <c r="K650" s="230"/>
      <c r="L650" s="230"/>
      <c r="M650" s="230"/>
      <c r="N650" s="230"/>
      <c r="O650" s="230"/>
    </row>
    <row r="651" spans="1:15">
      <c r="A651" s="230"/>
      <c r="B651" s="230"/>
      <c r="C651" s="230"/>
      <c r="D651" s="230"/>
      <c r="E651" s="230"/>
      <c r="F651" s="230"/>
      <c r="G651" s="230"/>
      <c r="H651" s="230"/>
      <c r="I651" s="230"/>
      <c r="J651" s="230"/>
      <c r="K651" s="230"/>
      <c r="L651" s="230"/>
      <c r="M651" s="230"/>
      <c r="N651" s="230"/>
      <c r="O651" s="230"/>
    </row>
    <row r="652" spans="1:15">
      <c r="A652" s="230"/>
      <c r="B652" s="230"/>
      <c r="C652" s="230"/>
      <c r="D652" s="230"/>
      <c r="E652" s="230"/>
      <c r="F652" s="230"/>
      <c r="G652" s="230"/>
      <c r="H652" s="230"/>
      <c r="I652" s="230"/>
      <c r="J652" s="230"/>
      <c r="K652" s="230"/>
      <c r="L652" s="230"/>
      <c r="M652" s="230"/>
      <c r="N652" s="230"/>
      <c r="O652" s="230"/>
    </row>
    <row r="653" spans="1:15">
      <c r="A653" s="230"/>
      <c r="B653" s="230"/>
      <c r="C653" s="230"/>
      <c r="D653" s="230"/>
      <c r="E653" s="230"/>
      <c r="F653" s="230"/>
      <c r="G653" s="230"/>
      <c r="H653" s="230"/>
      <c r="I653" s="230"/>
      <c r="J653" s="230"/>
      <c r="K653" s="230"/>
      <c r="L653" s="230"/>
      <c r="M653" s="230"/>
      <c r="N653" s="230"/>
      <c r="O653" s="230"/>
    </row>
    <row r="654" spans="1:15">
      <c r="A654" s="230"/>
      <c r="B654" s="230"/>
      <c r="C654" s="230"/>
      <c r="D654" s="230"/>
      <c r="E654" s="230"/>
      <c r="F654" s="230"/>
      <c r="G654" s="230"/>
      <c r="H654" s="230"/>
      <c r="I654" s="230"/>
      <c r="J654" s="230"/>
      <c r="K654" s="230"/>
      <c r="L654" s="230"/>
      <c r="M654" s="230"/>
      <c r="N654" s="230"/>
      <c r="O654" s="230"/>
    </row>
    <row r="655" spans="1:15">
      <c r="A655" s="230"/>
      <c r="B655" s="230"/>
      <c r="C655" s="230"/>
      <c r="D655" s="230"/>
      <c r="E655" s="230"/>
      <c r="F655" s="230"/>
      <c r="G655" s="230"/>
      <c r="H655" s="230"/>
      <c r="I655" s="230"/>
      <c r="J655" s="230"/>
      <c r="K655" s="230"/>
      <c r="L655" s="230"/>
      <c r="M655" s="230"/>
      <c r="N655" s="230"/>
      <c r="O655" s="230"/>
    </row>
    <row r="656" spans="1:15">
      <c r="A656" s="230"/>
      <c r="B656" s="230"/>
      <c r="C656" s="230"/>
      <c r="D656" s="230"/>
      <c r="E656" s="230"/>
      <c r="F656" s="230"/>
      <c r="G656" s="230"/>
      <c r="H656" s="230"/>
      <c r="I656" s="230"/>
      <c r="J656" s="230"/>
      <c r="K656" s="230"/>
      <c r="L656" s="230"/>
      <c r="M656" s="230"/>
      <c r="N656" s="230"/>
      <c r="O656" s="230"/>
    </row>
    <row r="657" spans="1:15">
      <c r="A657" s="230"/>
      <c r="B657" s="230"/>
      <c r="C657" s="230"/>
      <c r="D657" s="230"/>
      <c r="E657" s="230"/>
      <c r="F657" s="230"/>
      <c r="G657" s="230"/>
      <c r="H657" s="230"/>
      <c r="I657" s="230"/>
      <c r="J657" s="230"/>
      <c r="K657" s="230"/>
      <c r="L657" s="230"/>
      <c r="M657" s="230"/>
      <c r="N657" s="230"/>
      <c r="O657" s="230"/>
    </row>
    <row r="658" spans="1:15">
      <c r="A658" s="230"/>
      <c r="B658" s="230"/>
      <c r="C658" s="230"/>
      <c r="D658" s="230"/>
      <c r="E658" s="230"/>
      <c r="F658" s="230"/>
      <c r="G658" s="230"/>
      <c r="H658" s="230"/>
      <c r="I658" s="230"/>
      <c r="J658" s="230"/>
      <c r="K658" s="230"/>
      <c r="L658" s="230"/>
      <c r="M658" s="230"/>
      <c r="N658" s="230"/>
      <c r="O658" s="230"/>
    </row>
    <row r="659" spans="1:15">
      <c r="A659" s="230"/>
      <c r="B659" s="230"/>
      <c r="C659" s="230"/>
      <c r="D659" s="230"/>
      <c r="E659" s="230"/>
      <c r="F659" s="230"/>
      <c r="G659" s="230"/>
      <c r="H659" s="230"/>
      <c r="I659" s="230"/>
      <c r="J659" s="230"/>
      <c r="K659" s="230"/>
      <c r="L659" s="230"/>
      <c r="M659" s="230"/>
      <c r="N659" s="230"/>
      <c r="O659" s="230"/>
    </row>
    <row r="660" spans="1:15">
      <c r="A660" s="230"/>
      <c r="B660" s="230"/>
      <c r="C660" s="230"/>
      <c r="D660" s="230"/>
      <c r="E660" s="230"/>
      <c r="F660" s="230"/>
      <c r="G660" s="230"/>
      <c r="H660" s="230"/>
      <c r="I660" s="230"/>
      <c r="J660" s="230"/>
      <c r="K660" s="230"/>
      <c r="L660" s="230"/>
      <c r="M660" s="230"/>
      <c r="N660" s="230"/>
      <c r="O660" s="230"/>
    </row>
    <row r="661" spans="1:15">
      <c r="A661" s="230"/>
      <c r="B661" s="230"/>
      <c r="C661" s="230"/>
      <c r="D661" s="230"/>
      <c r="E661" s="230"/>
      <c r="F661" s="230"/>
      <c r="G661" s="230"/>
      <c r="H661" s="230"/>
      <c r="I661" s="230"/>
      <c r="J661" s="230"/>
      <c r="K661" s="230"/>
      <c r="L661" s="230"/>
      <c r="M661" s="230"/>
      <c r="N661" s="230"/>
      <c r="O661" s="230"/>
    </row>
    <row r="662" spans="1:15">
      <c r="A662" s="230"/>
      <c r="B662" s="230"/>
      <c r="C662" s="230"/>
      <c r="D662" s="230"/>
      <c r="E662" s="230"/>
      <c r="F662" s="230"/>
      <c r="G662" s="230"/>
      <c r="H662" s="230"/>
      <c r="I662" s="230"/>
      <c r="J662" s="230"/>
      <c r="K662" s="230"/>
      <c r="L662" s="230"/>
      <c r="M662" s="230"/>
      <c r="N662" s="230"/>
      <c r="O662" s="230"/>
    </row>
    <row r="663" spans="1:15">
      <c r="A663" s="230"/>
      <c r="B663" s="230"/>
      <c r="C663" s="230"/>
      <c r="D663" s="230"/>
      <c r="E663" s="230"/>
      <c r="F663" s="230"/>
      <c r="G663" s="230"/>
      <c r="H663" s="230"/>
      <c r="I663" s="230"/>
      <c r="J663" s="230"/>
      <c r="K663" s="230"/>
      <c r="L663" s="230"/>
      <c r="M663" s="230"/>
      <c r="N663" s="230"/>
      <c r="O663" s="230"/>
    </row>
    <row r="664" spans="1:15">
      <c r="A664" s="230"/>
      <c r="B664" s="230"/>
      <c r="C664" s="230"/>
      <c r="D664" s="230"/>
      <c r="E664" s="230"/>
      <c r="F664" s="230"/>
      <c r="G664" s="230"/>
      <c r="H664" s="230"/>
      <c r="I664" s="230"/>
      <c r="J664" s="230"/>
      <c r="K664" s="230"/>
      <c r="L664" s="230"/>
      <c r="M664" s="230"/>
      <c r="N664" s="230"/>
      <c r="O664" s="230"/>
    </row>
    <row r="665" spans="1:15">
      <c r="A665" s="230"/>
      <c r="B665" s="230"/>
      <c r="C665" s="230"/>
      <c r="D665" s="230"/>
      <c r="E665" s="230"/>
      <c r="F665" s="230"/>
      <c r="G665" s="230"/>
      <c r="H665" s="230"/>
      <c r="I665" s="230"/>
      <c r="J665" s="230"/>
      <c r="K665" s="230"/>
      <c r="L665" s="230"/>
      <c r="M665" s="230"/>
      <c r="N665" s="230"/>
      <c r="O665" s="230"/>
    </row>
    <row r="666" spans="1:15">
      <c r="A666" s="230"/>
      <c r="B666" s="230"/>
      <c r="C666" s="230"/>
      <c r="D666" s="230"/>
      <c r="E666" s="230"/>
      <c r="F666" s="230"/>
      <c r="G666" s="230"/>
      <c r="H666" s="230"/>
      <c r="I666" s="230"/>
      <c r="J666" s="230"/>
      <c r="K666" s="230"/>
      <c r="L666" s="230"/>
      <c r="M666" s="230"/>
      <c r="N666" s="230"/>
      <c r="O666" s="230"/>
    </row>
    <row r="667" spans="1:15">
      <c r="A667" s="230"/>
      <c r="B667" s="230"/>
      <c r="C667" s="230"/>
      <c r="D667" s="230"/>
      <c r="E667" s="230"/>
      <c r="F667" s="230"/>
      <c r="G667" s="230"/>
      <c r="H667" s="230"/>
      <c r="I667" s="230"/>
      <c r="J667" s="230"/>
      <c r="K667" s="230"/>
      <c r="L667" s="230"/>
      <c r="M667" s="230"/>
      <c r="N667" s="230"/>
      <c r="O667" s="230"/>
    </row>
    <row r="668" spans="1:15">
      <c r="A668" s="230"/>
      <c r="B668" s="230"/>
      <c r="C668" s="230"/>
      <c r="D668" s="230"/>
      <c r="E668" s="230"/>
      <c r="F668" s="230"/>
      <c r="G668" s="230"/>
      <c r="H668" s="230"/>
      <c r="I668" s="230"/>
      <c r="J668" s="230"/>
      <c r="K668" s="230"/>
      <c r="L668" s="230"/>
      <c r="M668" s="230"/>
      <c r="N668" s="230"/>
      <c r="O668" s="230"/>
    </row>
    <row r="669" spans="1:15">
      <c r="A669" s="230"/>
      <c r="B669" s="230"/>
      <c r="C669" s="230"/>
      <c r="D669" s="230"/>
      <c r="E669" s="230"/>
      <c r="F669" s="230"/>
      <c r="G669" s="230"/>
      <c r="H669" s="230"/>
      <c r="I669" s="230"/>
      <c r="J669" s="230"/>
      <c r="K669" s="230"/>
      <c r="L669" s="230"/>
      <c r="M669" s="230"/>
      <c r="N669" s="230"/>
      <c r="O669" s="230"/>
    </row>
    <row r="670" spans="1:15">
      <c r="A670" s="230"/>
      <c r="B670" s="230"/>
      <c r="C670" s="230"/>
      <c r="D670" s="230"/>
      <c r="E670" s="230"/>
      <c r="F670" s="230"/>
      <c r="G670" s="230"/>
      <c r="H670" s="230"/>
      <c r="I670" s="230"/>
      <c r="J670" s="230"/>
      <c r="K670" s="230"/>
      <c r="L670" s="230"/>
      <c r="M670" s="230"/>
      <c r="N670" s="230"/>
      <c r="O670" s="230"/>
    </row>
    <row r="671" spans="1:15">
      <c r="A671" s="230"/>
      <c r="B671" s="230"/>
      <c r="C671" s="230"/>
      <c r="D671" s="230"/>
      <c r="E671" s="230"/>
      <c r="F671" s="230"/>
      <c r="G671" s="230"/>
      <c r="H671" s="230"/>
      <c r="I671" s="230"/>
      <c r="J671" s="230"/>
      <c r="K671" s="230"/>
      <c r="L671" s="230"/>
      <c r="M671" s="230"/>
      <c r="N671" s="230"/>
      <c r="O671" s="230"/>
    </row>
    <row r="672" spans="1:15">
      <c r="A672" s="230"/>
      <c r="B672" s="230"/>
      <c r="C672" s="230"/>
      <c r="D672" s="230"/>
      <c r="E672" s="230"/>
      <c r="F672" s="230"/>
      <c r="G672" s="230"/>
      <c r="H672" s="230"/>
      <c r="I672" s="230"/>
      <c r="J672" s="230"/>
      <c r="K672" s="230"/>
      <c r="L672" s="230"/>
      <c r="M672" s="230"/>
      <c r="N672" s="230"/>
      <c r="O672" s="230"/>
    </row>
    <row r="673" spans="1:15">
      <c r="A673" s="230"/>
      <c r="B673" s="230"/>
      <c r="C673" s="230"/>
      <c r="D673" s="230"/>
      <c r="E673" s="230"/>
      <c r="F673" s="230"/>
      <c r="G673" s="230"/>
      <c r="H673" s="230"/>
      <c r="I673" s="230"/>
      <c r="J673" s="230"/>
      <c r="K673" s="230"/>
      <c r="L673" s="230"/>
      <c r="M673" s="230"/>
      <c r="N673" s="230"/>
      <c r="O673" s="230"/>
    </row>
    <row r="674" spans="1:15">
      <c r="A674" s="230"/>
      <c r="B674" s="230"/>
      <c r="C674" s="230"/>
      <c r="D674" s="230"/>
      <c r="E674" s="230"/>
      <c r="F674" s="230"/>
      <c r="G674" s="230"/>
      <c r="H674" s="230"/>
      <c r="I674" s="230"/>
      <c r="J674" s="230"/>
      <c r="K674" s="230"/>
      <c r="L674" s="230"/>
      <c r="M674" s="230"/>
      <c r="N674" s="230"/>
      <c r="O674" s="230"/>
    </row>
    <row r="675" spans="1:15">
      <c r="A675" s="230"/>
      <c r="B675" s="230"/>
      <c r="C675" s="230"/>
      <c r="D675" s="230"/>
      <c r="E675" s="230"/>
      <c r="F675" s="230"/>
      <c r="G675" s="230"/>
      <c r="H675" s="230"/>
      <c r="I675" s="230"/>
      <c r="J675" s="230"/>
      <c r="K675" s="230"/>
      <c r="L675" s="230"/>
      <c r="M675" s="230"/>
      <c r="N675" s="230"/>
      <c r="O675" s="230"/>
    </row>
    <row r="676" spans="1:15">
      <c r="A676" s="230"/>
      <c r="B676" s="230"/>
      <c r="C676" s="230"/>
      <c r="D676" s="230"/>
      <c r="E676" s="230"/>
      <c r="F676" s="230"/>
      <c r="G676" s="230"/>
      <c r="H676" s="230"/>
      <c r="I676" s="230"/>
      <c r="J676" s="230"/>
      <c r="K676" s="230"/>
      <c r="L676" s="230"/>
      <c r="M676" s="230"/>
      <c r="N676" s="230"/>
      <c r="O676" s="230"/>
    </row>
    <row r="677" spans="1:15">
      <c r="A677" s="230"/>
      <c r="B677" s="230"/>
      <c r="C677" s="230"/>
      <c r="D677" s="230"/>
      <c r="E677" s="230"/>
      <c r="F677" s="230"/>
      <c r="G677" s="230"/>
      <c r="H677" s="230"/>
      <c r="I677" s="230"/>
      <c r="J677" s="230"/>
      <c r="K677" s="230"/>
      <c r="L677" s="230"/>
      <c r="M677" s="230"/>
      <c r="N677" s="230"/>
      <c r="O677" s="230"/>
    </row>
    <row r="678" spans="1:15">
      <c r="A678" s="230"/>
      <c r="B678" s="230"/>
      <c r="C678" s="230"/>
      <c r="D678" s="230"/>
      <c r="E678" s="230"/>
      <c r="F678" s="230"/>
      <c r="G678" s="230"/>
      <c r="H678" s="230"/>
      <c r="I678" s="230"/>
      <c r="J678" s="230"/>
      <c r="K678" s="230"/>
      <c r="L678" s="230"/>
      <c r="M678" s="230"/>
      <c r="N678" s="230"/>
      <c r="O678" s="230"/>
    </row>
    <row r="679" spans="1:15">
      <c r="A679" s="230"/>
      <c r="B679" s="230"/>
      <c r="C679" s="230"/>
      <c r="D679" s="230"/>
      <c r="E679" s="230"/>
      <c r="F679" s="230"/>
      <c r="G679" s="230"/>
      <c r="H679" s="230"/>
      <c r="I679" s="230"/>
      <c r="J679" s="230"/>
      <c r="K679" s="230"/>
      <c r="L679" s="230"/>
      <c r="M679" s="230"/>
      <c r="N679" s="230"/>
      <c r="O679" s="230"/>
    </row>
    <row r="680" spans="1:15">
      <c r="A680" s="230"/>
      <c r="B680" s="230"/>
      <c r="C680" s="230"/>
      <c r="D680" s="230"/>
      <c r="E680" s="230"/>
      <c r="F680" s="230"/>
      <c r="G680" s="230"/>
      <c r="H680" s="230"/>
      <c r="I680" s="230"/>
      <c r="J680" s="230"/>
      <c r="K680" s="230"/>
      <c r="L680" s="230"/>
      <c r="M680" s="230"/>
      <c r="N680" s="230"/>
      <c r="O680" s="230"/>
    </row>
    <row r="681" spans="1:15">
      <c r="A681" s="230"/>
      <c r="B681" s="230"/>
      <c r="C681" s="230"/>
      <c r="D681" s="230"/>
      <c r="E681" s="230"/>
      <c r="F681" s="230"/>
      <c r="G681" s="230"/>
      <c r="H681" s="230"/>
      <c r="I681" s="230"/>
      <c r="J681" s="230"/>
      <c r="K681" s="230"/>
      <c r="L681" s="230"/>
      <c r="M681" s="230"/>
      <c r="N681" s="230"/>
      <c r="O681" s="230"/>
    </row>
    <row r="682" spans="1:15">
      <c r="A682" s="230"/>
      <c r="B682" s="230"/>
      <c r="C682" s="230"/>
      <c r="D682" s="230"/>
      <c r="E682" s="230"/>
      <c r="F682" s="230"/>
      <c r="G682" s="230"/>
      <c r="H682" s="230"/>
      <c r="I682" s="230"/>
      <c r="J682" s="230"/>
      <c r="K682" s="230"/>
      <c r="L682" s="230"/>
      <c r="M682" s="230"/>
      <c r="N682" s="230"/>
      <c r="O682" s="230"/>
    </row>
    <row r="683" spans="1:15">
      <c r="A683" s="230"/>
      <c r="B683" s="230"/>
      <c r="C683" s="230"/>
      <c r="D683" s="230"/>
      <c r="E683" s="230"/>
      <c r="F683" s="230"/>
      <c r="G683" s="230"/>
      <c r="H683" s="230"/>
      <c r="I683" s="230"/>
      <c r="J683" s="230"/>
      <c r="K683" s="230"/>
      <c r="L683" s="230"/>
      <c r="M683" s="230"/>
      <c r="N683" s="230"/>
      <c r="O683" s="230"/>
    </row>
    <row r="684" spans="1:15">
      <c r="A684" s="230"/>
      <c r="B684" s="230"/>
      <c r="C684" s="230"/>
      <c r="D684" s="230"/>
      <c r="E684" s="230"/>
      <c r="F684" s="230"/>
      <c r="G684" s="230"/>
      <c r="H684" s="230"/>
      <c r="I684" s="230"/>
      <c r="J684" s="230"/>
      <c r="K684" s="230"/>
      <c r="L684" s="230"/>
      <c r="M684" s="230"/>
      <c r="N684" s="230"/>
      <c r="O684" s="230"/>
    </row>
    <row r="685" spans="1:15">
      <c r="A685" s="230"/>
      <c r="B685" s="230"/>
      <c r="C685" s="230"/>
      <c r="D685" s="230"/>
      <c r="E685" s="230"/>
      <c r="F685" s="230"/>
      <c r="G685" s="230"/>
      <c r="H685" s="230"/>
      <c r="I685" s="230"/>
      <c r="J685" s="230"/>
      <c r="K685" s="230"/>
      <c r="L685" s="230"/>
      <c r="M685" s="230"/>
      <c r="N685" s="230"/>
      <c r="O685" s="230"/>
    </row>
    <row r="686" spans="1:15">
      <c r="A686" s="230"/>
      <c r="B686" s="230"/>
      <c r="C686" s="230"/>
      <c r="D686" s="230"/>
      <c r="E686" s="230"/>
      <c r="F686" s="230"/>
      <c r="G686" s="230"/>
      <c r="H686" s="230"/>
      <c r="I686" s="230"/>
      <c r="J686" s="230"/>
      <c r="K686" s="230"/>
      <c r="L686" s="230"/>
      <c r="M686" s="230"/>
      <c r="N686" s="230"/>
      <c r="O686" s="230"/>
    </row>
    <row r="687" spans="1:15">
      <c r="A687" s="230"/>
      <c r="B687" s="230"/>
      <c r="C687" s="230"/>
      <c r="D687" s="230"/>
      <c r="E687" s="230"/>
      <c r="F687" s="230"/>
      <c r="G687" s="230"/>
      <c r="H687" s="230"/>
      <c r="I687" s="230"/>
      <c r="J687" s="230"/>
      <c r="K687" s="230"/>
      <c r="L687" s="230"/>
      <c r="M687" s="230"/>
      <c r="N687" s="230"/>
      <c r="O687" s="230"/>
    </row>
    <row r="688" spans="1:15">
      <c r="A688" s="230"/>
      <c r="B688" s="230"/>
      <c r="C688" s="230"/>
      <c r="D688" s="230"/>
      <c r="E688" s="230"/>
      <c r="F688" s="230"/>
      <c r="G688" s="230"/>
      <c r="H688" s="230"/>
      <c r="I688" s="230"/>
      <c r="J688" s="230"/>
      <c r="K688" s="230"/>
      <c r="L688" s="230"/>
      <c r="M688" s="230"/>
      <c r="N688" s="230"/>
      <c r="O688" s="230"/>
    </row>
    <row r="689" spans="1:15">
      <c r="A689" s="230"/>
      <c r="B689" s="230"/>
      <c r="C689" s="230"/>
      <c r="D689" s="230"/>
      <c r="E689" s="230"/>
      <c r="F689" s="230"/>
      <c r="G689" s="230"/>
      <c r="H689" s="230"/>
      <c r="I689" s="230"/>
      <c r="J689" s="230"/>
      <c r="K689" s="230"/>
      <c r="L689" s="230"/>
      <c r="M689" s="230"/>
      <c r="N689" s="230"/>
      <c r="O689" s="230"/>
    </row>
    <row r="690" spans="1:15">
      <c r="A690" s="230"/>
      <c r="B690" s="230"/>
      <c r="C690" s="230"/>
      <c r="D690" s="230"/>
      <c r="E690" s="230"/>
      <c r="F690" s="230"/>
      <c r="G690" s="230"/>
      <c r="H690" s="230"/>
      <c r="I690" s="230"/>
      <c r="J690" s="230"/>
      <c r="K690" s="230"/>
      <c r="L690" s="230"/>
      <c r="M690" s="230"/>
      <c r="N690" s="230"/>
      <c r="O690" s="230"/>
    </row>
    <row r="691" spans="1:15">
      <c r="A691" s="230"/>
      <c r="B691" s="230"/>
      <c r="C691" s="230"/>
      <c r="D691" s="230"/>
      <c r="E691" s="230"/>
      <c r="F691" s="230"/>
      <c r="G691" s="230"/>
      <c r="H691" s="230"/>
      <c r="I691" s="230"/>
      <c r="J691" s="230"/>
      <c r="K691" s="230"/>
      <c r="L691" s="230"/>
      <c r="M691" s="230"/>
      <c r="N691" s="230"/>
      <c r="O691" s="230"/>
    </row>
    <row r="692" spans="1:15">
      <c r="A692" s="230"/>
      <c r="B692" s="230"/>
      <c r="C692" s="230"/>
      <c r="D692" s="230"/>
      <c r="E692" s="230"/>
      <c r="F692" s="230"/>
      <c r="G692" s="230"/>
      <c r="H692" s="230"/>
      <c r="I692" s="230"/>
      <c r="J692" s="230"/>
      <c r="K692" s="230"/>
      <c r="L692" s="230"/>
      <c r="M692" s="230"/>
      <c r="N692" s="230"/>
      <c r="O692" s="230"/>
    </row>
    <row r="693" spans="1:15">
      <c r="A693" s="230"/>
      <c r="B693" s="230"/>
      <c r="C693" s="230"/>
      <c r="D693" s="230"/>
      <c r="E693" s="230"/>
      <c r="F693" s="230"/>
      <c r="G693" s="230"/>
      <c r="H693" s="230"/>
      <c r="I693" s="230"/>
      <c r="J693" s="230"/>
      <c r="K693" s="230"/>
      <c r="L693" s="230"/>
      <c r="M693" s="230"/>
      <c r="N693" s="230"/>
      <c r="O693" s="230"/>
    </row>
    <row r="694" spans="1:15">
      <c r="A694" s="230"/>
      <c r="B694" s="230"/>
      <c r="C694" s="230"/>
      <c r="D694" s="230"/>
      <c r="E694" s="230"/>
      <c r="F694" s="230"/>
      <c r="G694" s="230"/>
      <c r="H694" s="230"/>
      <c r="I694" s="230"/>
      <c r="J694" s="230"/>
      <c r="K694" s="230"/>
      <c r="L694" s="230"/>
      <c r="M694" s="230"/>
      <c r="N694" s="230"/>
      <c r="O694" s="230"/>
    </row>
    <row r="695" spans="1:15">
      <c r="A695" s="230"/>
      <c r="B695" s="230"/>
      <c r="C695" s="230"/>
      <c r="D695" s="230"/>
      <c r="E695" s="230"/>
      <c r="F695" s="230"/>
      <c r="G695" s="230"/>
      <c r="H695" s="230"/>
      <c r="I695" s="230"/>
      <c r="J695" s="230"/>
      <c r="K695" s="230"/>
      <c r="L695" s="230"/>
      <c r="M695" s="230"/>
      <c r="N695" s="230"/>
      <c r="O695" s="230"/>
    </row>
    <row r="696" spans="1:15">
      <c r="A696" s="230"/>
      <c r="B696" s="230"/>
      <c r="C696" s="230"/>
      <c r="D696" s="230"/>
      <c r="E696" s="230"/>
      <c r="F696" s="230"/>
      <c r="G696" s="230"/>
      <c r="H696" s="230"/>
      <c r="I696" s="230"/>
      <c r="J696" s="230"/>
      <c r="K696" s="230"/>
      <c r="L696" s="230"/>
      <c r="M696" s="230"/>
      <c r="N696" s="230"/>
      <c r="O696" s="230"/>
    </row>
    <row r="697" spans="1:15">
      <c r="A697" s="230"/>
      <c r="B697" s="230"/>
      <c r="C697" s="230"/>
      <c r="D697" s="230"/>
      <c r="E697" s="230"/>
      <c r="F697" s="230"/>
      <c r="G697" s="230"/>
      <c r="H697" s="230"/>
      <c r="I697" s="230"/>
      <c r="J697" s="230"/>
      <c r="K697" s="230"/>
      <c r="L697" s="230"/>
      <c r="M697" s="230"/>
      <c r="N697" s="230"/>
      <c r="O697" s="230"/>
    </row>
    <row r="698" spans="1:15">
      <c r="A698" s="230"/>
      <c r="B698" s="230"/>
      <c r="C698" s="230"/>
      <c r="D698" s="230"/>
      <c r="E698" s="230"/>
      <c r="F698" s="230"/>
      <c r="G698" s="230"/>
      <c r="H698" s="230"/>
      <c r="I698" s="230"/>
      <c r="J698" s="230"/>
      <c r="K698" s="230"/>
      <c r="L698" s="230"/>
      <c r="M698" s="230"/>
      <c r="N698" s="230"/>
      <c r="O698" s="230"/>
    </row>
    <row r="699" spans="1:15">
      <c r="A699" s="230"/>
      <c r="B699" s="230"/>
      <c r="C699" s="230"/>
      <c r="D699" s="230"/>
      <c r="E699" s="230"/>
      <c r="F699" s="230"/>
      <c r="G699" s="230"/>
      <c r="H699" s="230"/>
      <c r="I699" s="230"/>
      <c r="J699" s="230"/>
      <c r="K699" s="230"/>
      <c r="L699" s="230"/>
      <c r="M699" s="230"/>
      <c r="N699" s="230"/>
      <c r="O699" s="230"/>
    </row>
    <row r="700" spans="1:15">
      <c r="A700" s="230"/>
      <c r="B700" s="230"/>
      <c r="C700" s="230"/>
      <c r="D700" s="230"/>
      <c r="E700" s="230"/>
      <c r="F700" s="230"/>
      <c r="G700" s="230"/>
      <c r="H700" s="230"/>
      <c r="I700" s="230"/>
      <c r="J700" s="230"/>
      <c r="K700" s="230"/>
      <c r="L700" s="230"/>
      <c r="M700" s="230"/>
      <c r="N700" s="230"/>
      <c r="O700" s="230"/>
    </row>
    <row r="701" spans="1:15">
      <c r="A701" s="230"/>
      <c r="B701" s="230"/>
      <c r="C701" s="230"/>
      <c r="D701" s="230"/>
      <c r="E701" s="230"/>
      <c r="F701" s="230"/>
      <c r="G701" s="230"/>
      <c r="H701" s="230"/>
      <c r="I701" s="230"/>
      <c r="J701" s="230"/>
      <c r="K701" s="230"/>
      <c r="L701" s="230"/>
      <c r="M701" s="230"/>
      <c r="N701" s="230"/>
      <c r="O701" s="230"/>
    </row>
    <row r="702" spans="1:15">
      <c r="A702" s="230"/>
      <c r="B702" s="230"/>
      <c r="C702" s="230"/>
      <c r="D702" s="230"/>
      <c r="E702" s="230"/>
      <c r="F702" s="230"/>
      <c r="G702" s="230"/>
      <c r="H702" s="230"/>
      <c r="I702" s="230"/>
      <c r="J702" s="230"/>
      <c r="K702" s="230"/>
      <c r="L702" s="230"/>
      <c r="M702" s="230"/>
      <c r="N702" s="230"/>
      <c r="O702" s="230"/>
    </row>
    <row r="703" spans="1:15">
      <c r="A703" s="230"/>
      <c r="B703" s="230"/>
      <c r="C703" s="230"/>
      <c r="D703" s="230"/>
      <c r="E703" s="230"/>
      <c r="F703" s="230"/>
      <c r="G703" s="230"/>
      <c r="H703" s="230"/>
      <c r="I703" s="230"/>
      <c r="J703" s="230"/>
      <c r="K703" s="230"/>
      <c r="L703" s="230"/>
      <c r="M703" s="230"/>
      <c r="N703" s="230"/>
      <c r="O703" s="230"/>
    </row>
    <row r="704" spans="1:15">
      <c r="A704" s="230"/>
      <c r="B704" s="230"/>
      <c r="C704" s="230"/>
      <c r="D704" s="230"/>
      <c r="E704" s="230"/>
      <c r="F704" s="230"/>
      <c r="G704" s="230"/>
      <c r="H704" s="230"/>
      <c r="I704" s="230"/>
      <c r="J704" s="230"/>
      <c r="K704" s="230"/>
      <c r="L704" s="230"/>
      <c r="M704" s="230"/>
      <c r="N704" s="230"/>
      <c r="O704" s="230"/>
    </row>
    <row r="705" spans="1:15">
      <c r="A705" s="230"/>
      <c r="B705" s="230"/>
      <c r="C705" s="230"/>
      <c r="D705" s="230"/>
      <c r="E705" s="230"/>
      <c r="F705" s="230"/>
      <c r="G705" s="230"/>
      <c r="H705" s="230"/>
      <c r="I705" s="230"/>
      <c r="J705" s="230"/>
      <c r="K705" s="230"/>
      <c r="L705" s="230"/>
      <c r="M705" s="230"/>
      <c r="N705" s="230"/>
      <c r="O705" s="230"/>
    </row>
    <row r="706" spans="1:15">
      <c r="A706" s="230"/>
      <c r="B706" s="230"/>
      <c r="C706" s="230"/>
      <c r="D706" s="230"/>
      <c r="E706" s="230"/>
      <c r="F706" s="230"/>
      <c r="G706" s="230"/>
      <c r="H706" s="230"/>
      <c r="I706" s="230"/>
      <c r="J706" s="230"/>
      <c r="K706" s="230"/>
      <c r="L706" s="230"/>
      <c r="M706" s="230"/>
      <c r="N706" s="230"/>
      <c r="O706" s="230"/>
    </row>
    <row r="707" spans="1:15">
      <c r="A707" s="230"/>
      <c r="B707" s="230"/>
      <c r="C707" s="230"/>
      <c r="D707" s="230"/>
      <c r="E707" s="230"/>
      <c r="F707" s="230"/>
      <c r="G707" s="230"/>
      <c r="H707" s="230"/>
      <c r="I707" s="230"/>
      <c r="J707" s="230"/>
      <c r="K707" s="230"/>
      <c r="L707" s="230"/>
      <c r="M707" s="230"/>
      <c r="N707" s="230"/>
      <c r="O707" s="230"/>
    </row>
    <row r="708" spans="1:15">
      <c r="A708" s="230"/>
      <c r="B708" s="230"/>
      <c r="C708" s="230"/>
      <c r="D708" s="230"/>
      <c r="E708" s="230"/>
      <c r="F708" s="230"/>
      <c r="G708" s="230"/>
      <c r="H708" s="230"/>
      <c r="I708" s="230"/>
      <c r="J708" s="230"/>
      <c r="K708" s="230"/>
      <c r="L708" s="230"/>
      <c r="M708" s="230"/>
      <c r="N708" s="230"/>
      <c r="O708" s="230"/>
    </row>
    <row r="709" spans="1:15">
      <c r="A709" s="230"/>
      <c r="B709" s="230"/>
      <c r="C709" s="230"/>
      <c r="D709" s="230"/>
      <c r="E709" s="230"/>
      <c r="F709" s="230"/>
      <c r="G709" s="230"/>
      <c r="H709" s="230"/>
      <c r="I709" s="230"/>
      <c r="J709" s="230"/>
      <c r="K709" s="230"/>
      <c r="L709" s="230"/>
      <c r="M709" s="230"/>
      <c r="N709" s="230"/>
      <c r="O709" s="230"/>
    </row>
    <row r="710" spans="1:15">
      <c r="A710" s="230"/>
      <c r="B710" s="230"/>
      <c r="C710" s="230"/>
      <c r="D710" s="230"/>
      <c r="E710" s="230"/>
      <c r="F710" s="230"/>
      <c r="G710" s="230"/>
      <c r="H710" s="230"/>
      <c r="I710" s="230"/>
      <c r="J710" s="230"/>
      <c r="K710" s="230"/>
      <c r="L710" s="230"/>
      <c r="M710" s="230"/>
      <c r="N710" s="230"/>
      <c r="O710" s="230"/>
    </row>
    <row r="711" spans="1:15">
      <c r="A711" s="230"/>
      <c r="B711" s="230"/>
      <c r="C711" s="230"/>
      <c r="D711" s="230"/>
      <c r="E711" s="230"/>
      <c r="F711" s="230"/>
      <c r="G711" s="230"/>
      <c r="H711" s="230"/>
      <c r="I711" s="230"/>
      <c r="J711" s="230"/>
      <c r="K711" s="230"/>
      <c r="L711" s="230"/>
      <c r="M711" s="230"/>
      <c r="N711" s="230"/>
      <c r="O711" s="230"/>
    </row>
    <row r="712" spans="1:15">
      <c r="A712" s="230"/>
      <c r="B712" s="230"/>
      <c r="C712" s="230"/>
      <c r="D712" s="230"/>
      <c r="E712" s="230"/>
      <c r="F712" s="230"/>
      <c r="G712" s="230"/>
      <c r="H712" s="230"/>
      <c r="I712" s="230"/>
      <c r="J712" s="230"/>
      <c r="K712" s="230"/>
      <c r="L712" s="230"/>
      <c r="M712" s="230"/>
      <c r="N712" s="230"/>
      <c r="O712" s="230"/>
    </row>
    <row r="713" spans="1:15">
      <c r="A713" s="230"/>
      <c r="B713" s="230"/>
      <c r="C713" s="230"/>
      <c r="D713" s="230"/>
      <c r="E713" s="230"/>
      <c r="F713" s="230"/>
      <c r="G713" s="230"/>
      <c r="H713" s="230"/>
      <c r="I713" s="230"/>
      <c r="J713" s="230"/>
      <c r="K713" s="230"/>
      <c r="L713" s="230"/>
      <c r="M713" s="230"/>
      <c r="N713" s="230"/>
      <c r="O713" s="230"/>
    </row>
    <row r="714" spans="1:15">
      <c r="A714" s="230"/>
      <c r="B714" s="230"/>
      <c r="C714" s="230"/>
      <c r="D714" s="230"/>
      <c r="E714" s="230"/>
      <c r="F714" s="230"/>
      <c r="G714" s="230"/>
      <c r="H714" s="230"/>
      <c r="I714" s="230"/>
      <c r="J714" s="230"/>
      <c r="K714" s="230"/>
      <c r="L714" s="230"/>
      <c r="M714" s="230"/>
      <c r="N714" s="230"/>
      <c r="O714" s="230"/>
    </row>
    <row r="715" spans="1:15">
      <c r="A715" s="230"/>
      <c r="B715" s="230"/>
      <c r="C715" s="230"/>
      <c r="D715" s="230"/>
      <c r="E715" s="230"/>
      <c r="F715" s="230"/>
      <c r="G715" s="230"/>
      <c r="H715" s="230"/>
      <c r="I715" s="230"/>
      <c r="J715" s="230"/>
      <c r="K715" s="230"/>
      <c r="L715" s="230"/>
      <c r="M715" s="230"/>
      <c r="N715" s="230"/>
      <c r="O715" s="230"/>
    </row>
    <row r="716" spans="1:15">
      <c r="A716" s="230"/>
      <c r="B716" s="230"/>
      <c r="C716" s="230"/>
      <c r="D716" s="230"/>
      <c r="E716" s="230"/>
      <c r="F716" s="230"/>
      <c r="G716" s="230"/>
      <c r="H716" s="230"/>
      <c r="I716" s="230"/>
      <c r="J716" s="230"/>
      <c r="K716" s="230"/>
      <c r="L716" s="230"/>
      <c r="M716" s="230"/>
      <c r="N716" s="230"/>
      <c r="O716" s="230"/>
    </row>
    <row r="717" spans="1:15">
      <c r="A717" s="230"/>
      <c r="B717" s="230"/>
      <c r="C717" s="230"/>
      <c r="D717" s="230"/>
      <c r="E717" s="230"/>
      <c r="F717" s="230"/>
      <c r="G717" s="230"/>
      <c r="H717" s="230"/>
      <c r="I717" s="230"/>
      <c r="J717" s="230"/>
      <c r="K717" s="230"/>
      <c r="L717" s="230"/>
      <c r="M717" s="230"/>
      <c r="N717" s="230"/>
      <c r="O717" s="230"/>
    </row>
    <row r="718" spans="1:15">
      <c r="A718" s="230"/>
      <c r="B718" s="230"/>
      <c r="C718" s="230"/>
      <c r="D718" s="230"/>
      <c r="E718" s="230"/>
      <c r="F718" s="230"/>
      <c r="G718" s="230"/>
      <c r="H718" s="230"/>
      <c r="I718" s="230"/>
      <c r="J718" s="230"/>
      <c r="K718" s="230"/>
      <c r="L718" s="230"/>
      <c r="M718" s="230"/>
      <c r="N718" s="230"/>
      <c r="O718" s="230"/>
    </row>
    <row r="719" spans="1:15">
      <c r="A719" s="230"/>
      <c r="B719" s="230"/>
      <c r="C719" s="230"/>
      <c r="D719" s="230"/>
      <c r="E719" s="230"/>
      <c r="F719" s="230"/>
      <c r="G719" s="230"/>
      <c r="H719" s="230"/>
      <c r="I719" s="230"/>
      <c r="J719" s="230"/>
      <c r="K719" s="230"/>
      <c r="L719" s="230"/>
      <c r="M719" s="230"/>
      <c r="N719" s="230"/>
      <c r="O719" s="230"/>
    </row>
    <row r="720" spans="1:15">
      <c r="A720" s="230"/>
      <c r="B720" s="230"/>
      <c r="C720" s="230"/>
      <c r="D720" s="230"/>
      <c r="E720" s="230"/>
      <c r="F720" s="230"/>
      <c r="G720" s="230"/>
      <c r="H720" s="230"/>
      <c r="I720" s="230"/>
      <c r="J720" s="230"/>
      <c r="K720" s="230"/>
      <c r="L720" s="230"/>
      <c r="M720" s="230"/>
      <c r="N720" s="230"/>
      <c r="O720" s="230"/>
    </row>
    <row r="721" spans="1:15">
      <c r="A721" s="230"/>
      <c r="B721" s="230"/>
      <c r="C721" s="230"/>
      <c r="D721" s="230"/>
      <c r="E721" s="230"/>
      <c r="F721" s="230"/>
      <c r="G721" s="230"/>
      <c r="H721" s="230"/>
      <c r="I721" s="230"/>
      <c r="J721" s="230"/>
      <c r="K721" s="230"/>
      <c r="L721" s="230"/>
      <c r="M721" s="230"/>
      <c r="N721" s="230"/>
      <c r="O721" s="230"/>
    </row>
    <row r="722" spans="1:15">
      <c r="A722" s="230"/>
      <c r="B722" s="230"/>
      <c r="C722" s="230"/>
      <c r="D722" s="230"/>
      <c r="E722" s="230"/>
      <c r="F722" s="230"/>
      <c r="G722" s="230"/>
      <c r="H722" s="230"/>
      <c r="I722" s="230"/>
      <c r="J722" s="230"/>
      <c r="K722" s="230"/>
      <c r="L722" s="230"/>
      <c r="M722" s="230"/>
      <c r="N722" s="230"/>
      <c r="O722" s="230"/>
    </row>
    <row r="723" spans="1:15">
      <c r="A723" s="230"/>
      <c r="B723" s="230"/>
      <c r="C723" s="230"/>
      <c r="D723" s="230"/>
      <c r="E723" s="230"/>
      <c r="F723" s="230"/>
      <c r="G723" s="230"/>
      <c r="H723" s="230"/>
      <c r="I723" s="230"/>
      <c r="J723" s="230"/>
      <c r="K723" s="230"/>
      <c r="L723" s="230"/>
      <c r="M723" s="230"/>
      <c r="N723" s="230"/>
      <c r="O723" s="230"/>
    </row>
    <row r="724" spans="1:15">
      <c r="A724" s="230"/>
      <c r="B724" s="230"/>
      <c r="C724" s="230"/>
      <c r="D724" s="230"/>
      <c r="E724" s="230"/>
      <c r="F724" s="230"/>
      <c r="G724" s="230"/>
      <c r="H724" s="230"/>
      <c r="I724" s="230"/>
      <c r="J724" s="230"/>
      <c r="K724" s="230"/>
      <c r="L724" s="230"/>
      <c r="M724" s="230"/>
      <c r="N724" s="230"/>
      <c r="O724" s="230"/>
    </row>
    <row r="725" spans="1:15">
      <c r="A725" s="230"/>
      <c r="B725" s="230"/>
      <c r="C725" s="230"/>
      <c r="D725" s="230"/>
      <c r="E725" s="230"/>
      <c r="F725" s="230"/>
      <c r="G725" s="230"/>
      <c r="H725" s="230"/>
      <c r="I725" s="230"/>
      <c r="J725" s="230"/>
      <c r="K725" s="230"/>
      <c r="L725" s="230"/>
      <c r="M725" s="230"/>
      <c r="N725" s="230"/>
      <c r="O725" s="230"/>
    </row>
    <row r="726" spans="1:15">
      <c r="A726" s="230"/>
      <c r="B726" s="230"/>
      <c r="C726" s="230"/>
      <c r="D726" s="230"/>
      <c r="E726" s="230"/>
      <c r="F726" s="230"/>
      <c r="G726" s="230"/>
      <c r="H726" s="230"/>
      <c r="I726" s="230"/>
      <c r="J726" s="230"/>
      <c r="K726" s="230"/>
      <c r="L726" s="230"/>
      <c r="M726" s="230"/>
      <c r="N726" s="230"/>
      <c r="O726" s="230"/>
    </row>
    <row r="727" spans="1:15">
      <c r="A727" s="230"/>
      <c r="B727" s="230"/>
      <c r="C727" s="230"/>
      <c r="D727" s="230"/>
      <c r="E727" s="230"/>
      <c r="F727" s="230"/>
      <c r="G727" s="230"/>
      <c r="H727" s="230"/>
      <c r="I727" s="230"/>
      <c r="J727" s="230"/>
      <c r="K727" s="230"/>
      <c r="L727" s="230"/>
      <c r="M727" s="230"/>
      <c r="N727" s="230"/>
      <c r="O727" s="230"/>
    </row>
    <row r="728" spans="1:15">
      <c r="A728" s="230"/>
      <c r="B728" s="230"/>
      <c r="C728" s="230"/>
      <c r="D728" s="230"/>
      <c r="E728" s="230"/>
      <c r="F728" s="230"/>
      <c r="G728" s="230"/>
      <c r="H728" s="230"/>
      <c r="I728" s="230"/>
      <c r="J728" s="230"/>
      <c r="K728" s="230"/>
      <c r="L728" s="230"/>
      <c r="M728" s="230"/>
      <c r="N728" s="230"/>
      <c r="O728" s="230"/>
    </row>
    <row r="729" spans="1:15">
      <c r="A729" s="230"/>
      <c r="B729" s="230"/>
      <c r="C729" s="230"/>
      <c r="D729" s="230"/>
      <c r="E729" s="230"/>
      <c r="F729" s="230"/>
      <c r="G729" s="230"/>
      <c r="H729" s="230"/>
      <c r="I729" s="230"/>
      <c r="J729" s="230"/>
      <c r="K729" s="230"/>
      <c r="L729" s="230"/>
      <c r="M729" s="230"/>
      <c r="N729" s="230"/>
      <c r="O729" s="230"/>
    </row>
    <row r="730" spans="1:15">
      <c r="A730" s="230"/>
      <c r="B730" s="230"/>
      <c r="C730" s="230"/>
      <c r="D730" s="230"/>
      <c r="E730" s="230"/>
      <c r="F730" s="230"/>
      <c r="G730" s="230"/>
      <c r="H730" s="230"/>
      <c r="I730" s="230"/>
      <c r="J730" s="230"/>
      <c r="K730" s="230"/>
      <c r="L730" s="230"/>
      <c r="M730" s="230"/>
      <c r="N730" s="230"/>
      <c r="O730" s="230"/>
    </row>
    <row r="731" spans="1:15">
      <c r="A731" s="230"/>
      <c r="B731" s="230"/>
      <c r="C731" s="230"/>
      <c r="D731" s="230"/>
      <c r="E731" s="230"/>
      <c r="F731" s="230"/>
      <c r="G731" s="230"/>
      <c r="H731" s="230"/>
      <c r="I731" s="230"/>
      <c r="J731" s="230"/>
      <c r="K731" s="230"/>
      <c r="L731" s="230"/>
      <c r="M731" s="230"/>
      <c r="N731" s="230"/>
      <c r="O731" s="230"/>
    </row>
    <row r="732" spans="1:15">
      <c r="A732" s="230"/>
      <c r="B732" s="230"/>
      <c r="C732" s="230"/>
      <c r="D732" s="230"/>
      <c r="E732" s="230"/>
      <c r="F732" s="230"/>
      <c r="G732" s="230"/>
      <c r="H732" s="230"/>
      <c r="I732" s="230"/>
      <c r="J732" s="230"/>
      <c r="K732" s="230"/>
      <c r="L732" s="230"/>
      <c r="M732" s="230"/>
      <c r="N732" s="230"/>
      <c r="O732" s="230"/>
    </row>
    <row r="733" spans="1:15">
      <c r="A733" s="230"/>
      <c r="B733" s="230"/>
      <c r="C733" s="230"/>
      <c r="D733" s="230"/>
      <c r="E733" s="230"/>
      <c r="F733" s="230"/>
      <c r="G733" s="230"/>
      <c r="H733" s="230"/>
      <c r="I733" s="230"/>
      <c r="J733" s="230"/>
      <c r="K733" s="230"/>
      <c r="L733" s="230"/>
      <c r="M733" s="230"/>
      <c r="N733" s="230"/>
      <c r="O733" s="230"/>
    </row>
    <row r="734" spans="1:15">
      <c r="A734" s="230"/>
      <c r="B734" s="230"/>
      <c r="C734" s="230"/>
      <c r="D734" s="230"/>
      <c r="E734" s="230"/>
      <c r="F734" s="230"/>
      <c r="G734" s="230"/>
      <c r="H734" s="230"/>
      <c r="I734" s="230"/>
      <c r="J734" s="230"/>
      <c r="K734" s="230"/>
      <c r="L734" s="230"/>
      <c r="M734" s="230"/>
      <c r="N734" s="230"/>
      <c r="O734" s="230"/>
    </row>
    <row r="735" spans="1:15">
      <c r="A735" s="230"/>
      <c r="B735" s="230"/>
      <c r="C735" s="230"/>
      <c r="D735" s="230"/>
      <c r="E735" s="230"/>
      <c r="F735" s="230"/>
      <c r="G735" s="230"/>
      <c r="H735" s="230"/>
      <c r="I735" s="230"/>
      <c r="J735" s="230"/>
      <c r="K735" s="230"/>
      <c r="L735" s="230"/>
      <c r="M735" s="230"/>
      <c r="N735" s="230"/>
      <c r="O735" s="230"/>
    </row>
    <row r="736" spans="1:15">
      <c r="A736" s="230"/>
      <c r="B736" s="230"/>
      <c r="C736" s="230"/>
      <c r="D736" s="230"/>
      <c r="E736" s="230"/>
      <c r="F736" s="230"/>
      <c r="G736" s="230"/>
      <c r="H736" s="230"/>
      <c r="I736" s="230"/>
      <c r="J736" s="230"/>
      <c r="K736" s="230"/>
      <c r="L736" s="230"/>
      <c r="M736" s="230"/>
      <c r="N736" s="230"/>
      <c r="O736" s="230"/>
    </row>
    <row r="737" spans="1:15">
      <c r="A737" s="230"/>
      <c r="B737" s="230"/>
      <c r="C737" s="230"/>
      <c r="D737" s="230"/>
      <c r="E737" s="230"/>
      <c r="F737" s="230"/>
      <c r="G737" s="230"/>
      <c r="H737" s="230"/>
      <c r="I737" s="230"/>
      <c r="J737" s="230"/>
      <c r="K737" s="230"/>
      <c r="L737" s="230"/>
      <c r="M737" s="230"/>
      <c r="N737" s="230"/>
      <c r="O737" s="230"/>
    </row>
    <row r="738" spans="1:15">
      <c r="A738" s="230"/>
      <c r="B738" s="230"/>
      <c r="C738" s="230"/>
      <c r="D738" s="230"/>
      <c r="E738" s="230"/>
      <c r="F738" s="230"/>
      <c r="G738" s="230"/>
      <c r="H738" s="230"/>
      <c r="I738" s="230"/>
      <c r="J738" s="230"/>
      <c r="K738" s="230"/>
      <c r="L738" s="230"/>
      <c r="M738" s="230"/>
      <c r="N738" s="230"/>
      <c r="O738" s="230"/>
    </row>
    <row r="739" spans="1:15">
      <c r="A739" s="230"/>
      <c r="B739" s="230"/>
      <c r="C739" s="230"/>
      <c r="D739" s="230"/>
      <c r="E739" s="230"/>
      <c r="F739" s="230"/>
      <c r="G739" s="230"/>
      <c r="H739" s="230"/>
      <c r="I739" s="230"/>
      <c r="J739" s="230"/>
      <c r="K739" s="230"/>
      <c r="L739" s="230"/>
      <c r="M739" s="230"/>
      <c r="N739" s="230"/>
      <c r="O739" s="230"/>
    </row>
    <row r="740" spans="1:15">
      <c r="A740" s="230"/>
      <c r="B740" s="230"/>
      <c r="C740" s="230"/>
      <c r="D740" s="230"/>
      <c r="E740" s="230"/>
      <c r="F740" s="230"/>
      <c r="G740" s="230"/>
      <c r="H740" s="230"/>
      <c r="I740" s="230"/>
      <c r="J740" s="230"/>
      <c r="K740" s="230"/>
      <c r="L740" s="230"/>
      <c r="M740" s="230"/>
      <c r="N740" s="230"/>
      <c r="O740" s="230"/>
    </row>
    <row r="741" spans="1:15">
      <c r="A741" s="230"/>
      <c r="B741" s="230"/>
      <c r="C741" s="230"/>
      <c r="D741" s="230"/>
      <c r="E741" s="230"/>
      <c r="F741" s="230"/>
      <c r="G741" s="230"/>
      <c r="H741" s="230"/>
      <c r="I741" s="230"/>
      <c r="J741" s="230"/>
      <c r="K741" s="230"/>
      <c r="L741" s="230"/>
      <c r="M741" s="230"/>
      <c r="N741" s="230"/>
      <c r="O741" s="230"/>
    </row>
    <row r="742" spans="1:15">
      <c r="A742" s="230"/>
      <c r="B742" s="230"/>
      <c r="C742" s="230"/>
      <c r="D742" s="230"/>
      <c r="E742" s="230"/>
      <c r="F742" s="230"/>
      <c r="G742" s="230"/>
      <c r="H742" s="230"/>
      <c r="I742" s="230"/>
      <c r="J742" s="230"/>
      <c r="K742" s="230"/>
      <c r="L742" s="230"/>
      <c r="M742" s="230"/>
      <c r="N742" s="230"/>
      <c r="O742" s="230"/>
    </row>
    <row r="743" spans="1:15">
      <c r="A743" s="230"/>
      <c r="B743" s="230"/>
      <c r="C743" s="230"/>
      <c r="D743" s="230"/>
      <c r="E743" s="230"/>
      <c r="F743" s="230"/>
      <c r="G743" s="230"/>
      <c r="H743" s="230"/>
      <c r="I743" s="230"/>
      <c r="J743" s="230"/>
      <c r="K743" s="230"/>
      <c r="L743" s="230"/>
      <c r="M743" s="230"/>
      <c r="N743" s="230"/>
      <c r="O743" s="230"/>
    </row>
    <row r="744" spans="1:15">
      <c r="A744" s="230"/>
      <c r="B744" s="230"/>
      <c r="C744" s="230"/>
      <c r="D744" s="230"/>
      <c r="E744" s="230"/>
      <c r="F744" s="230"/>
      <c r="G744" s="230"/>
      <c r="H744" s="230"/>
      <c r="I744" s="230"/>
      <c r="J744" s="230"/>
      <c r="K744" s="230"/>
      <c r="L744" s="230"/>
      <c r="M744" s="230"/>
      <c r="N744" s="230"/>
      <c r="O744" s="230"/>
    </row>
    <row r="745" spans="1:15">
      <c r="A745" s="230"/>
      <c r="B745" s="230"/>
      <c r="C745" s="230"/>
      <c r="D745" s="230"/>
      <c r="E745" s="230"/>
      <c r="F745" s="230"/>
      <c r="G745" s="230"/>
      <c r="H745" s="230"/>
      <c r="I745" s="230"/>
      <c r="J745" s="230"/>
      <c r="K745" s="230"/>
      <c r="L745" s="230"/>
      <c r="M745" s="230"/>
      <c r="N745" s="230"/>
      <c r="O745" s="230"/>
    </row>
    <row r="746" spans="1:15">
      <c r="A746" s="230"/>
      <c r="B746" s="230"/>
      <c r="C746" s="230"/>
      <c r="D746" s="230"/>
      <c r="E746" s="230"/>
      <c r="F746" s="230"/>
      <c r="G746" s="230"/>
      <c r="H746" s="230"/>
      <c r="I746" s="230"/>
      <c r="J746" s="230"/>
      <c r="K746" s="230"/>
      <c r="L746" s="230"/>
      <c r="M746" s="230"/>
      <c r="N746" s="230"/>
      <c r="O746" s="230"/>
    </row>
    <row r="747" spans="1:15">
      <c r="A747" s="230"/>
      <c r="B747" s="230"/>
      <c r="C747" s="230"/>
      <c r="D747" s="230"/>
      <c r="E747" s="230"/>
      <c r="F747" s="230"/>
      <c r="G747" s="230"/>
      <c r="H747" s="230"/>
      <c r="I747" s="230"/>
      <c r="J747" s="230"/>
      <c r="K747" s="230"/>
      <c r="L747" s="230"/>
      <c r="M747" s="230"/>
      <c r="N747" s="230"/>
      <c r="O747" s="230"/>
    </row>
    <row r="748" spans="1:15">
      <c r="A748" s="230"/>
      <c r="B748" s="230"/>
      <c r="C748" s="230"/>
      <c r="D748" s="230"/>
      <c r="E748" s="230"/>
      <c r="F748" s="230"/>
      <c r="G748" s="230"/>
      <c r="H748" s="230"/>
      <c r="I748" s="230"/>
      <c r="J748" s="230"/>
      <c r="K748" s="230"/>
      <c r="L748" s="230"/>
      <c r="M748" s="230"/>
      <c r="N748" s="230"/>
      <c r="O748" s="230"/>
    </row>
    <row r="749" spans="1:15">
      <c r="A749" s="230"/>
      <c r="B749" s="230"/>
      <c r="C749" s="230"/>
      <c r="D749" s="230"/>
      <c r="E749" s="230"/>
      <c r="F749" s="230"/>
      <c r="G749" s="230"/>
      <c r="H749" s="230"/>
      <c r="I749" s="230"/>
      <c r="J749" s="230"/>
      <c r="K749" s="230"/>
      <c r="L749" s="230"/>
      <c r="M749" s="230"/>
      <c r="N749" s="230"/>
      <c r="O749" s="230"/>
    </row>
    <row r="750" spans="1:15">
      <c r="A750" s="230"/>
      <c r="B750" s="230"/>
      <c r="C750" s="230"/>
      <c r="D750" s="230"/>
      <c r="E750" s="230"/>
      <c r="F750" s="230"/>
      <c r="G750" s="230"/>
      <c r="H750" s="230"/>
      <c r="I750" s="230"/>
      <c r="J750" s="230"/>
      <c r="K750" s="230"/>
      <c r="L750" s="230"/>
      <c r="M750" s="230"/>
      <c r="N750" s="230"/>
      <c r="O750" s="230"/>
    </row>
    <row r="751" spans="1:15">
      <c r="A751" s="230"/>
      <c r="B751" s="230"/>
      <c r="C751" s="230"/>
      <c r="D751" s="230"/>
      <c r="E751" s="230"/>
      <c r="F751" s="230"/>
      <c r="G751" s="230"/>
      <c r="H751" s="230"/>
      <c r="I751" s="230"/>
      <c r="J751" s="230"/>
      <c r="K751" s="230"/>
      <c r="L751" s="230"/>
      <c r="M751" s="230"/>
      <c r="N751" s="230"/>
      <c r="O751" s="230"/>
    </row>
    <row r="752" spans="1:15">
      <c r="A752" s="230"/>
      <c r="B752" s="230"/>
      <c r="C752" s="230"/>
      <c r="D752" s="230"/>
      <c r="E752" s="230"/>
      <c r="F752" s="230"/>
      <c r="G752" s="230"/>
      <c r="H752" s="230"/>
      <c r="I752" s="230"/>
      <c r="J752" s="230"/>
      <c r="K752" s="230"/>
      <c r="L752" s="230"/>
      <c r="M752" s="230"/>
      <c r="N752" s="230"/>
      <c r="O752" s="230"/>
    </row>
    <row r="753" spans="1:15">
      <c r="A753" s="230"/>
      <c r="B753" s="230"/>
      <c r="C753" s="230"/>
      <c r="D753" s="230"/>
      <c r="E753" s="230"/>
      <c r="F753" s="230"/>
      <c r="G753" s="230"/>
      <c r="H753" s="230"/>
      <c r="I753" s="230"/>
      <c r="J753" s="230"/>
      <c r="K753" s="230"/>
      <c r="L753" s="230"/>
      <c r="M753" s="230"/>
      <c r="N753" s="230"/>
      <c r="O753" s="230"/>
    </row>
    <row r="754" spans="1:15">
      <c r="A754" s="230"/>
      <c r="B754" s="230"/>
      <c r="C754" s="230"/>
      <c r="D754" s="230"/>
      <c r="E754" s="230"/>
      <c r="F754" s="230"/>
      <c r="G754" s="230"/>
      <c r="H754" s="230"/>
      <c r="I754" s="230"/>
      <c r="J754" s="230"/>
      <c r="K754" s="230"/>
      <c r="L754" s="230"/>
      <c r="M754" s="230"/>
      <c r="N754" s="230"/>
      <c r="O754" s="230"/>
    </row>
    <row r="755" spans="1:15">
      <c r="A755" s="230"/>
      <c r="B755" s="230"/>
      <c r="C755" s="230"/>
      <c r="D755" s="230"/>
      <c r="E755" s="230"/>
      <c r="F755" s="230"/>
      <c r="G755" s="230"/>
      <c r="H755" s="230"/>
      <c r="I755" s="230"/>
      <c r="J755" s="230"/>
      <c r="K755" s="230"/>
      <c r="L755" s="230"/>
      <c r="M755" s="230"/>
      <c r="N755" s="230"/>
      <c r="O755" s="230"/>
    </row>
    <row r="756" spans="1:15">
      <c r="A756" s="230"/>
      <c r="B756" s="230"/>
      <c r="C756" s="230"/>
      <c r="D756" s="230"/>
      <c r="E756" s="230"/>
      <c r="F756" s="230"/>
      <c r="G756" s="230"/>
      <c r="H756" s="230"/>
      <c r="I756" s="230"/>
      <c r="J756" s="230"/>
      <c r="K756" s="230"/>
      <c r="L756" s="230"/>
      <c r="M756" s="230"/>
      <c r="N756" s="230"/>
      <c r="O756" s="230"/>
    </row>
    <row r="757" spans="1:15">
      <c r="A757" s="230"/>
      <c r="B757" s="230"/>
      <c r="C757" s="230"/>
      <c r="D757" s="230"/>
      <c r="E757" s="230"/>
      <c r="F757" s="230"/>
      <c r="G757" s="230"/>
      <c r="H757" s="230"/>
      <c r="I757" s="230"/>
      <c r="J757" s="230"/>
      <c r="K757" s="230"/>
      <c r="L757" s="230"/>
      <c r="M757" s="230"/>
      <c r="N757" s="230"/>
      <c r="O757" s="230"/>
    </row>
    <row r="758" spans="1:15">
      <c r="A758" s="230"/>
      <c r="B758" s="230"/>
      <c r="C758" s="230"/>
      <c r="D758" s="230"/>
      <c r="E758" s="230"/>
      <c r="F758" s="230"/>
      <c r="G758" s="230"/>
      <c r="H758" s="230"/>
      <c r="I758" s="230"/>
      <c r="J758" s="230"/>
      <c r="K758" s="230"/>
      <c r="L758" s="230"/>
      <c r="M758" s="230"/>
      <c r="N758" s="230"/>
      <c r="O758" s="230"/>
    </row>
    <row r="759" spans="1:15">
      <c r="A759" s="230"/>
      <c r="B759" s="230"/>
      <c r="C759" s="230"/>
      <c r="D759" s="230"/>
      <c r="E759" s="230"/>
      <c r="F759" s="230"/>
      <c r="G759" s="230"/>
      <c r="H759" s="230"/>
      <c r="I759" s="230"/>
      <c r="J759" s="230"/>
      <c r="K759" s="230"/>
      <c r="L759" s="230"/>
      <c r="M759" s="230"/>
      <c r="N759" s="230"/>
      <c r="O759" s="230"/>
    </row>
    <row r="760" spans="1:15">
      <c r="A760" s="230"/>
      <c r="B760" s="230"/>
      <c r="C760" s="230"/>
      <c r="D760" s="230"/>
      <c r="E760" s="230"/>
      <c r="F760" s="230"/>
      <c r="G760" s="230"/>
      <c r="H760" s="230"/>
      <c r="I760" s="230"/>
      <c r="J760" s="230"/>
      <c r="K760" s="230"/>
      <c r="L760" s="230"/>
      <c r="M760" s="230"/>
      <c r="N760" s="230"/>
      <c r="O760" s="230"/>
    </row>
    <row r="761" spans="1:15">
      <c r="A761" s="230"/>
      <c r="B761" s="230"/>
      <c r="C761" s="230"/>
      <c r="D761" s="230"/>
      <c r="E761" s="230"/>
      <c r="F761" s="230"/>
      <c r="G761" s="230"/>
      <c r="H761" s="230"/>
      <c r="I761" s="230"/>
      <c r="J761" s="230"/>
      <c r="K761" s="230"/>
      <c r="L761" s="230"/>
      <c r="M761" s="230"/>
      <c r="N761" s="230"/>
      <c r="O761" s="230"/>
    </row>
    <row r="762" spans="1:15">
      <c r="A762" s="230"/>
      <c r="B762" s="230"/>
      <c r="C762" s="230"/>
      <c r="D762" s="230"/>
      <c r="E762" s="230"/>
      <c r="F762" s="230"/>
      <c r="G762" s="230"/>
      <c r="H762" s="230"/>
      <c r="I762" s="230"/>
      <c r="J762" s="230"/>
      <c r="K762" s="230"/>
      <c r="L762" s="230"/>
      <c r="M762" s="230"/>
      <c r="N762" s="230"/>
      <c r="O762" s="230"/>
    </row>
    <row r="763" spans="1:15">
      <c r="A763" s="230"/>
      <c r="B763" s="230"/>
      <c r="C763" s="230"/>
      <c r="D763" s="230"/>
      <c r="E763" s="230"/>
      <c r="F763" s="230"/>
      <c r="G763" s="230"/>
      <c r="H763" s="230"/>
      <c r="I763" s="230"/>
      <c r="J763" s="230"/>
      <c r="K763" s="230"/>
      <c r="L763" s="230"/>
      <c r="M763" s="230"/>
      <c r="N763" s="230"/>
      <c r="O763" s="230"/>
    </row>
    <row r="764" spans="1:15">
      <c r="A764" s="230"/>
      <c r="B764" s="230"/>
      <c r="C764" s="230"/>
      <c r="D764" s="230"/>
      <c r="E764" s="230"/>
      <c r="F764" s="230"/>
      <c r="G764" s="230"/>
      <c r="H764" s="230"/>
      <c r="I764" s="230"/>
      <c r="J764" s="230"/>
      <c r="K764" s="230"/>
      <c r="L764" s="230"/>
      <c r="M764" s="230"/>
      <c r="N764" s="230"/>
      <c r="O764" s="230"/>
    </row>
    <row r="765" spans="1:15">
      <c r="A765" s="230"/>
      <c r="B765" s="230"/>
      <c r="C765" s="230"/>
      <c r="D765" s="230"/>
      <c r="E765" s="230"/>
      <c r="F765" s="230"/>
      <c r="G765" s="230"/>
      <c r="H765" s="230"/>
      <c r="I765" s="230"/>
      <c r="J765" s="230"/>
      <c r="K765" s="230"/>
      <c r="L765" s="230"/>
      <c r="M765" s="230"/>
      <c r="N765" s="230"/>
      <c r="O765" s="230"/>
    </row>
    <row r="766" spans="1:15">
      <c r="A766" s="230"/>
      <c r="B766" s="230"/>
      <c r="C766" s="230"/>
      <c r="D766" s="230"/>
      <c r="E766" s="230"/>
      <c r="F766" s="230"/>
      <c r="G766" s="230"/>
      <c r="H766" s="230"/>
      <c r="I766" s="230"/>
      <c r="J766" s="230"/>
      <c r="K766" s="230"/>
      <c r="L766" s="230"/>
      <c r="M766" s="230"/>
      <c r="N766" s="230"/>
      <c r="O766" s="230"/>
    </row>
    <row r="767" spans="1:15">
      <c r="A767" s="230"/>
      <c r="B767" s="230"/>
      <c r="C767" s="230"/>
      <c r="D767" s="230"/>
      <c r="E767" s="230"/>
      <c r="F767" s="230"/>
      <c r="G767" s="230"/>
      <c r="H767" s="230"/>
      <c r="I767" s="230"/>
      <c r="J767" s="230"/>
      <c r="K767" s="230"/>
      <c r="L767" s="230"/>
      <c r="M767" s="230"/>
      <c r="N767" s="230"/>
      <c r="O767" s="230"/>
    </row>
    <row r="768" spans="1:15">
      <c r="A768" s="230"/>
      <c r="B768" s="230"/>
      <c r="C768" s="230"/>
      <c r="D768" s="230"/>
      <c r="E768" s="230"/>
      <c r="F768" s="230"/>
      <c r="G768" s="230"/>
      <c r="H768" s="230"/>
      <c r="I768" s="230"/>
      <c r="J768" s="230"/>
      <c r="K768" s="230"/>
      <c r="L768" s="230"/>
      <c r="M768" s="230"/>
      <c r="N768" s="230"/>
      <c r="O768" s="230"/>
    </row>
    <row r="769" spans="1:15">
      <c r="A769" s="230"/>
      <c r="B769" s="230"/>
      <c r="C769" s="230"/>
      <c r="D769" s="230"/>
      <c r="E769" s="230"/>
      <c r="F769" s="230"/>
      <c r="G769" s="230"/>
      <c r="H769" s="230"/>
      <c r="I769" s="230"/>
      <c r="J769" s="230"/>
      <c r="K769" s="230"/>
      <c r="L769" s="230"/>
      <c r="M769" s="230"/>
      <c r="N769" s="230"/>
      <c r="O769" s="230"/>
    </row>
    <row r="770" spans="1:15">
      <c r="A770" s="230"/>
      <c r="B770" s="230"/>
      <c r="C770" s="230"/>
      <c r="D770" s="230"/>
      <c r="E770" s="230"/>
      <c r="F770" s="230"/>
      <c r="G770" s="230"/>
      <c r="H770" s="230"/>
      <c r="I770" s="230"/>
      <c r="J770" s="230"/>
      <c r="K770" s="230"/>
      <c r="L770" s="230"/>
      <c r="M770" s="230"/>
      <c r="N770" s="230"/>
      <c r="O770" s="230"/>
    </row>
    <row r="771" spans="1:15">
      <c r="A771" s="230"/>
      <c r="B771" s="230"/>
      <c r="C771" s="230"/>
      <c r="D771" s="230"/>
      <c r="E771" s="230"/>
      <c r="F771" s="230"/>
      <c r="G771" s="230"/>
      <c r="H771" s="230"/>
      <c r="I771" s="230"/>
      <c r="J771" s="230"/>
      <c r="K771" s="230"/>
      <c r="L771" s="230"/>
      <c r="M771" s="230"/>
      <c r="N771" s="230"/>
      <c r="O771" s="230"/>
    </row>
    <row r="772" spans="1:15">
      <c r="A772" s="230"/>
      <c r="B772" s="230"/>
      <c r="C772" s="230"/>
      <c r="D772" s="230"/>
      <c r="E772" s="230"/>
      <c r="F772" s="230"/>
      <c r="G772" s="230"/>
      <c r="H772" s="230"/>
      <c r="I772" s="230"/>
      <c r="J772" s="230"/>
      <c r="K772" s="230"/>
      <c r="L772" s="230"/>
      <c r="M772" s="230"/>
      <c r="N772" s="230"/>
      <c r="O772" s="230"/>
    </row>
    <row r="773" spans="1:15">
      <c r="A773" s="230"/>
      <c r="B773" s="230"/>
      <c r="C773" s="230"/>
      <c r="D773" s="230"/>
      <c r="E773" s="230"/>
      <c r="F773" s="230"/>
      <c r="G773" s="230"/>
      <c r="H773" s="230"/>
      <c r="I773" s="230"/>
      <c r="J773" s="230"/>
      <c r="K773" s="230"/>
      <c r="L773" s="230"/>
      <c r="M773" s="230"/>
      <c r="N773" s="230"/>
      <c r="O773" s="230"/>
    </row>
    <row r="774" spans="1:15">
      <c r="A774" s="230"/>
      <c r="B774" s="230"/>
      <c r="C774" s="230"/>
      <c r="D774" s="230"/>
      <c r="E774" s="230"/>
      <c r="F774" s="230"/>
      <c r="G774" s="230"/>
      <c r="H774" s="230"/>
      <c r="I774" s="230"/>
      <c r="J774" s="230"/>
      <c r="K774" s="230"/>
      <c r="L774" s="230"/>
      <c r="M774" s="230"/>
      <c r="N774" s="230"/>
      <c r="O774" s="230"/>
    </row>
    <row r="775" spans="1:15">
      <c r="A775" s="230"/>
      <c r="B775" s="230"/>
      <c r="C775" s="230"/>
      <c r="D775" s="230"/>
      <c r="E775" s="230"/>
      <c r="F775" s="230"/>
      <c r="G775" s="230"/>
      <c r="H775" s="230"/>
      <c r="I775" s="230"/>
      <c r="J775" s="230"/>
      <c r="K775" s="230"/>
      <c r="L775" s="230"/>
      <c r="M775" s="230"/>
      <c r="N775" s="230"/>
      <c r="O775" s="230"/>
    </row>
    <row r="776" spans="1:15">
      <c r="A776" s="230"/>
      <c r="B776" s="230"/>
      <c r="C776" s="230"/>
      <c r="D776" s="230"/>
      <c r="E776" s="230"/>
      <c r="F776" s="230"/>
      <c r="G776" s="230"/>
      <c r="H776" s="230"/>
      <c r="I776" s="230"/>
      <c r="J776" s="230"/>
      <c r="K776" s="230"/>
      <c r="L776" s="230"/>
      <c r="M776" s="230"/>
      <c r="N776" s="230"/>
      <c r="O776" s="230"/>
    </row>
    <row r="777" spans="1:15">
      <c r="A777" s="230"/>
      <c r="B777" s="230"/>
      <c r="C777" s="230"/>
      <c r="D777" s="230"/>
      <c r="E777" s="230"/>
      <c r="F777" s="230"/>
      <c r="G777" s="230"/>
      <c r="H777" s="230"/>
      <c r="I777" s="230"/>
      <c r="J777" s="230"/>
      <c r="K777" s="230"/>
      <c r="L777" s="230"/>
      <c r="M777" s="230"/>
      <c r="N777" s="230"/>
      <c r="O777" s="230"/>
    </row>
    <row r="778" spans="1:15">
      <c r="A778" s="230"/>
      <c r="B778" s="230"/>
      <c r="C778" s="230"/>
      <c r="D778" s="230"/>
      <c r="E778" s="230"/>
      <c r="F778" s="230"/>
      <c r="G778" s="230"/>
      <c r="H778" s="230"/>
      <c r="I778" s="230"/>
      <c r="J778" s="230"/>
      <c r="K778" s="230"/>
      <c r="L778" s="230"/>
      <c r="M778" s="230"/>
      <c r="N778" s="230"/>
      <c r="O778" s="230"/>
    </row>
    <row r="779" spans="1:15">
      <c r="A779" s="230"/>
      <c r="B779" s="230"/>
      <c r="C779" s="230"/>
      <c r="D779" s="230"/>
      <c r="E779" s="230"/>
      <c r="F779" s="230"/>
      <c r="G779" s="230"/>
      <c r="H779" s="230"/>
      <c r="I779" s="230"/>
      <c r="J779" s="230"/>
      <c r="K779" s="230"/>
      <c r="L779" s="230"/>
      <c r="M779" s="230"/>
      <c r="N779" s="230"/>
      <c r="O779" s="230"/>
    </row>
    <row r="780" spans="1:15">
      <c r="A780" s="230"/>
      <c r="B780" s="230"/>
      <c r="C780" s="230"/>
      <c r="D780" s="230"/>
      <c r="E780" s="230"/>
      <c r="F780" s="230"/>
      <c r="G780" s="230"/>
      <c r="H780" s="230"/>
      <c r="I780" s="230"/>
      <c r="J780" s="230"/>
      <c r="K780" s="230"/>
      <c r="L780" s="230"/>
      <c r="M780" s="230"/>
      <c r="N780" s="230"/>
      <c r="O780" s="230"/>
    </row>
    <row r="781" spans="1:15">
      <c r="A781" s="230"/>
      <c r="B781" s="230"/>
      <c r="C781" s="230"/>
      <c r="D781" s="230"/>
      <c r="E781" s="230"/>
      <c r="F781" s="230"/>
      <c r="G781" s="230"/>
      <c r="H781" s="230"/>
      <c r="I781" s="230"/>
      <c r="J781" s="230"/>
      <c r="K781" s="230"/>
      <c r="L781" s="230"/>
      <c r="M781" s="230"/>
      <c r="N781" s="230"/>
      <c r="O781" s="230"/>
    </row>
    <row r="782" spans="1:15">
      <c r="A782" s="230"/>
      <c r="B782" s="230"/>
      <c r="C782" s="230"/>
      <c r="D782" s="230"/>
      <c r="E782" s="230"/>
      <c r="F782" s="230"/>
      <c r="G782" s="230"/>
      <c r="H782" s="230"/>
      <c r="I782" s="230"/>
      <c r="J782" s="230"/>
      <c r="K782" s="230"/>
      <c r="L782" s="230"/>
      <c r="M782" s="230"/>
      <c r="N782" s="230"/>
      <c r="O782" s="230"/>
    </row>
    <row r="783" spans="1:15">
      <c r="A783" s="230"/>
      <c r="B783" s="230"/>
      <c r="C783" s="230"/>
      <c r="D783" s="230"/>
      <c r="E783" s="230"/>
      <c r="F783" s="230"/>
      <c r="G783" s="230"/>
      <c r="H783" s="230"/>
      <c r="I783" s="230"/>
      <c r="J783" s="230"/>
      <c r="K783" s="230"/>
      <c r="L783" s="230"/>
      <c r="M783" s="230"/>
      <c r="N783" s="230"/>
      <c r="O783" s="230"/>
    </row>
    <row r="784" spans="1:15">
      <c r="A784" s="230"/>
      <c r="B784" s="230"/>
      <c r="C784" s="230"/>
      <c r="D784" s="230"/>
      <c r="E784" s="230"/>
      <c r="F784" s="230"/>
      <c r="G784" s="230"/>
      <c r="H784" s="230"/>
      <c r="I784" s="230"/>
      <c r="J784" s="230"/>
      <c r="K784" s="230"/>
      <c r="L784" s="230"/>
      <c r="M784" s="230"/>
      <c r="N784" s="230"/>
      <c r="O784" s="230"/>
    </row>
    <row r="785" spans="1:15">
      <c r="A785" s="230"/>
      <c r="B785" s="230"/>
      <c r="C785" s="230"/>
      <c r="D785" s="230"/>
      <c r="E785" s="230"/>
      <c r="F785" s="230"/>
      <c r="G785" s="230"/>
      <c r="H785" s="230"/>
      <c r="I785" s="230"/>
      <c r="J785" s="230"/>
      <c r="K785" s="230"/>
      <c r="L785" s="230"/>
      <c r="M785" s="230"/>
      <c r="N785" s="230"/>
      <c r="O785" s="230"/>
    </row>
    <row r="786" spans="1:15">
      <c r="A786" s="230"/>
      <c r="B786" s="230"/>
      <c r="C786" s="230"/>
      <c r="D786" s="230"/>
      <c r="E786" s="230"/>
      <c r="F786" s="230"/>
      <c r="G786" s="230"/>
      <c r="H786" s="230"/>
      <c r="I786" s="230"/>
      <c r="J786" s="230"/>
      <c r="K786" s="230"/>
      <c r="L786" s="230"/>
      <c r="M786" s="230"/>
      <c r="N786" s="230"/>
      <c r="O786" s="230"/>
    </row>
    <row r="787" spans="1:15">
      <c r="A787" s="230"/>
      <c r="B787" s="230"/>
      <c r="C787" s="230"/>
      <c r="D787" s="230"/>
      <c r="E787" s="230"/>
      <c r="F787" s="230"/>
      <c r="G787" s="230"/>
      <c r="H787" s="230"/>
      <c r="I787" s="230"/>
      <c r="J787" s="230"/>
      <c r="K787" s="230"/>
      <c r="L787" s="230"/>
      <c r="M787" s="230"/>
      <c r="N787" s="230"/>
      <c r="O787" s="230"/>
    </row>
    <row r="788" spans="1:15">
      <c r="A788" s="230"/>
      <c r="B788" s="230"/>
      <c r="C788" s="230"/>
      <c r="D788" s="230"/>
      <c r="E788" s="230"/>
      <c r="F788" s="230"/>
      <c r="G788" s="230"/>
      <c r="H788" s="230"/>
      <c r="I788" s="230"/>
      <c r="J788" s="230"/>
      <c r="K788" s="230"/>
      <c r="L788" s="230"/>
      <c r="M788" s="230"/>
      <c r="N788" s="230"/>
      <c r="O788" s="230"/>
    </row>
    <row r="789" spans="1:15">
      <c r="A789" s="230"/>
      <c r="B789" s="230"/>
      <c r="C789" s="230"/>
      <c r="D789" s="230"/>
      <c r="E789" s="230"/>
      <c r="F789" s="230"/>
      <c r="G789" s="230"/>
      <c r="H789" s="230"/>
      <c r="I789" s="230"/>
      <c r="J789" s="230"/>
      <c r="K789" s="230"/>
      <c r="L789" s="230"/>
      <c r="M789" s="230"/>
      <c r="N789" s="230"/>
      <c r="O789" s="230"/>
    </row>
    <row r="790" spans="1:15">
      <c r="A790" s="230"/>
      <c r="B790" s="230"/>
      <c r="C790" s="230"/>
      <c r="D790" s="230"/>
      <c r="E790" s="230"/>
      <c r="F790" s="230"/>
      <c r="G790" s="230"/>
      <c r="H790" s="230"/>
      <c r="I790" s="230"/>
      <c r="J790" s="230"/>
      <c r="K790" s="230"/>
      <c r="L790" s="230"/>
      <c r="M790" s="230"/>
      <c r="N790" s="230"/>
      <c r="O790" s="230"/>
    </row>
    <row r="791" spans="1:15">
      <c r="A791" s="230"/>
      <c r="B791" s="230"/>
      <c r="C791" s="230"/>
      <c r="D791" s="230"/>
      <c r="E791" s="230"/>
      <c r="F791" s="230"/>
      <c r="G791" s="230"/>
      <c r="H791" s="230"/>
      <c r="I791" s="230"/>
      <c r="J791" s="230"/>
      <c r="K791" s="230"/>
      <c r="L791" s="230"/>
      <c r="M791" s="230"/>
      <c r="N791" s="230"/>
      <c r="O791" s="230"/>
    </row>
    <row r="792" spans="1:15">
      <c r="A792" s="230"/>
      <c r="B792" s="230"/>
      <c r="C792" s="230"/>
      <c r="D792" s="230"/>
      <c r="E792" s="230"/>
      <c r="F792" s="230"/>
      <c r="G792" s="230"/>
      <c r="H792" s="230"/>
      <c r="I792" s="230"/>
      <c r="J792" s="230"/>
      <c r="K792" s="230"/>
      <c r="L792" s="230"/>
      <c r="M792" s="230"/>
      <c r="N792" s="230"/>
      <c r="O792" s="230"/>
    </row>
    <row r="793" spans="1:15">
      <c r="A793" s="230"/>
      <c r="B793" s="230"/>
      <c r="C793" s="230"/>
      <c r="D793" s="230"/>
      <c r="E793" s="230"/>
      <c r="F793" s="230"/>
      <c r="G793" s="230"/>
      <c r="H793" s="230"/>
      <c r="I793" s="230"/>
      <c r="J793" s="230"/>
      <c r="K793" s="230"/>
      <c r="L793" s="230"/>
      <c r="M793" s="230"/>
      <c r="N793" s="230"/>
      <c r="O793" s="230"/>
    </row>
    <row r="794" spans="1:15">
      <c r="A794" s="230"/>
      <c r="B794" s="230"/>
      <c r="C794" s="230"/>
      <c r="D794" s="230"/>
      <c r="E794" s="230"/>
      <c r="F794" s="230"/>
      <c r="G794" s="230"/>
      <c r="H794" s="230"/>
      <c r="I794" s="230"/>
      <c r="J794" s="230"/>
      <c r="K794" s="230"/>
      <c r="L794" s="230"/>
      <c r="M794" s="230"/>
      <c r="N794" s="230"/>
      <c r="O794" s="230"/>
    </row>
    <row r="795" spans="1:15">
      <c r="A795" s="230"/>
      <c r="B795" s="230"/>
      <c r="C795" s="230"/>
      <c r="D795" s="230"/>
      <c r="E795" s="230"/>
      <c r="F795" s="230"/>
      <c r="G795" s="230"/>
      <c r="H795" s="230"/>
      <c r="I795" s="230"/>
      <c r="J795" s="230"/>
      <c r="K795" s="230"/>
      <c r="L795" s="230"/>
      <c r="M795" s="230"/>
      <c r="N795" s="230"/>
      <c r="O795" s="230"/>
    </row>
    <row r="796" spans="1:15">
      <c r="A796" s="230"/>
      <c r="B796" s="230"/>
      <c r="C796" s="230"/>
      <c r="D796" s="230"/>
      <c r="E796" s="230"/>
      <c r="F796" s="230"/>
      <c r="G796" s="230"/>
      <c r="H796" s="230"/>
      <c r="I796" s="230"/>
      <c r="J796" s="230"/>
      <c r="K796" s="230"/>
      <c r="L796" s="230"/>
      <c r="M796" s="230"/>
      <c r="N796" s="230"/>
      <c r="O796" s="230"/>
    </row>
    <row r="797" spans="1:15">
      <c r="A797" s="230"/>
      <c r="B797" s="230"/>
      <c r="C797" s="230"/>
      <c r="D797" s="230"/>
      <c r="E797" s="230"/>
      <c r="F797" s="230"/>
      <c r="G797" s="230"/>
      <c r="H797" s="230"/>
      <c r="I797" s="230"/>
      <c r="J797" s="230"/>
      <c r="K797" s="230"/>
      <c r="L797" s="230"/>
      <c r="M797" s="230"/>
      <c r="N797" s="230"/>
      <c r="O797" s="230"/>
    </row>
    <row r="798" spans="1:15">
      <c r="A798" s="230"/>
      <c r="B798" s="230"/>
      <c r="C798" s="230"/>
      <c r="D798" s="230"/>
      <c r="E798" s="230"/>
      <c r="F798" s="230"/>
      <c r="G798" s="230"/>
      <c r="H798" s="230"/>
      <c r="I798" s="230"/>
      <c r="J798" s="230"/>
      <c r="K798" s="230"/>
      <c r="L798" s="230"/>
      <c r="M798" s="230"/>
      <c r="N798" s="230"/>
      <c r="O798" s="230"/>
    </row>
    <row r="799" spans="1:15">
      <c r="A799" s="230"/>
      <c r="B799" s="230"/>
      <c r="C799" s="230"/>
      <c r="D799" s="230"/>
      <c r="E799" s="230"/>
      <c r="F799" s="230"/>
      <c r="G799" s="230"/>
      <c r="H799" s="230"/>
      <c r="I799" s="230"/>
      <c r="J799" s="230"/>
      <c r="K799" s="230"/>
      <c r="L799" s="230"/>
      <c r="M799" s="230"/>
      <c r="N799" s="230"/>
      <c r="O799" s="230"/>
    </row>
    <row r="800" spans="1:15">
      <c r="A800" s="230"/>
      <c r="B800" s="230"/>
      <c r="C800" s="230"/>
      <c r="D800" s="230"/>
      <c r="E800" s="230"/>
      <c r="F800" s="230"/>
      <c r="G800" s="230"/>
      <c r="H800" s="230"/>
      <c r="I800" s="230"/>
      <c r="J800" s="230"/>
      <c r="K800" s="230"/>
      <c r="L800" s="230"/>
      <c r="M800" s="230"/>
      <c r="N800" s="230"/>
      <c r="O800" s="230"/>
    </row>
    <row r="801" spans="1:15">
      <c r="A801" s="230"/>
      <c r="B801" s="230"/>
      <c r="C801" s="230"/>
      <c r="D801" s="230"/>
      <c r="E801" s="230"/>
      <c r="F801" s="230"/>
      <c r="G801" s="230"/>
      <c r="H801" s="230"/>
      <c r="I801" s="230"/>
      <c r="J801" s="230"/>
      <c r="K801" s="230"/>
      <c r="L801" s="230"/>
      <c r="M801" s="230"/>
      <c r="N801" s="230"/>
      <c r="O801" s="230"/>
    </row>
    <row r="802" spans="1:15">
      <c r="A802" s="230"/>
      <c r="B802" s="230"/>
      <c r="C802" s="230"/>
      <c r="D802" s="230"/>
      <c r="E802" s="230"/>
      <c r="F802" s="230"/>
      <c r="G802" s="230"/>
      <c r="H802" s="230"/>
      <c r="I802" s="230"/>
      <c r="J802" s="230"/>
      <c r="K802" s="230"/>
      <c r="L802" s="230"/>
      <c r="M802" s="230"/>
      <c r="N802" s="230"/>
      <c r="O802" s="230"/>
    </row>
    <row r="803" spans="1:15">
      <c r="A803" s="230"/>
      <c r="B803" s="230"/>
      <c r="C803" s="230"/>
      <c r="D803" s="230"/>
      <c r="E803" s="230"/>
      <c r="F803" s="230"/>
      <c r="G803" s="230"/>
      <c r="H803" s="230"/>
      <c r="I803" s="230"/>
      <c r="J803" s="230"/>
      <c r="K803" s="230"/>
      <c r="L803" s="230"/>
      <c r="M803" s="230"/>
      <c r="N803" s="230"/>
      <c r="O803" s="230"/>
    </row>
    <row r="804" spans="1:15">
      <c r="A804" s="230"/>
      <c r="B804" s="230"/>
      <c r="C804" s="230"/>
      <c r="D804" s="230"/>
      <c r="E804" s="230"/>
      <c r="F804" s="230"/>
      <c r="G804" s="230"/>
      <c r="H804" s="230"/>
      <c r="I804" s="230"/>
      <c r="J804" s="230"/>
      <c r="K804" s="230"/>
      <c r="L804" s="230"/>
      <c r="M804" s="230"/>
      <c r="N804" s="230"/>
      <c r="O804" s="230"/>
    </row>
    <row r="805" spans="1:15">
      <c r="A805" s="230"/>
      <c r="B805" s="230"/>
      <c r="C805" s="230"/>
      <c r="D805" s="230"/>
      <c r="E805" s="230"/>
      <c r="F805" s="230"/>
      <c r="G805" s="230"/>
      <c r="H805" s="230"/>
      <c r="I805" s="230"/>
      <c r="J805" s="230"/>
      <c r="K805" s="230"/>
      <c r="L805" s="230"/>
      <c r="M805" s="230"/>
      <c r="N805" s="230"/>
      <c r="O805" s="230"/>
    </row>
    <row r="806" spans="1:15">
      <c r="A806" s="230"/>
      <c r="B806" s="230"/>
      <c r="C806" s="230"/>
      <c r="D806" s="230"/>
      <c r="E806" s="230"/>
      <c r="F806" s="230"/>
      <c r="G806" s="230"/>
      <c r="H806" s="230"/>
      <c r="I806" s="230"/>
      <c r="J806" s="230"/>
      <c r="K806" s="230"/>
      <c r="L806" s="230"/>
      <c r="M806" s="230"/>
      <c r="N806" s="230"/>
      <c r="O806" s="230"/>
    </row>
    <row r="807" spans="1:15">
      <c r="A807" s="230"/>
      <c r="B807" s="230"/>
      <c r="C807" s="230"/>
      <c r="D807" s="230"/>
      <c r="E807" s="230"/>
      <c r="F807" s="230"/>
      <c r="G807" s="230"/>
      <c r="H807" s="230"/>
      <c r="I807" s="230"/>
      <c r="J807" s="230"/>
      <c r="K807" s="230"/>
      <c r="L807" s="230"/>
      <c r="M807" s="230"/>
      <c r="N807" s="230"/>
      <c r="O807" s="230"/>
    </row>
    <row r="808" spans="1:15">
      <c r="A808" s="230"/>
      <c r="B808" s="230"/>
      <c r="C808" s="230"/>
      <c r="D808" s="230"/>
      <c r="E808" s="230"/>
      <c r="F808" s="230"/>
      <c r="G808" s="230"/>
      <c r="H808" s="230"/>
      <c r="I808" s="230"/>
      <c r="J808" s="230"/>
      <c r="K808" s="230"/>
      <c r="L808" s="230"/>
      <c r="M808" s="230"/>
      <c r="N808" s="230"/>
      <c r="O808" s="230"/>
    </row>
    <row r="809" spans="1:15">
      <c r="A809" s="230"/>
      <c r="B809" s="230"/>
      <c r="C809" s="230"/>
      <c r="D809" s="230"/>
      <c r="E809" s="230"/>
      <c r="F809" s="230"/>
      <c r="G809" s="230"/>
      <c r="H809" s="230"/>
      <c r="I809" s="230"/>
      <c r="J809" s="230"/>
      <c r="K809" s="230"/>
      <c r="L809" s="230"/>
      <c r="M809" s="230"/>
      <c r="N809" s="230"/>
      <c r="O809" s="230"/>
    </row>
    <row r="810" spans="1:15">
      <c r="A810" s="230"/>
      <c r="B810" s="230"/>
      <c r="C810" s="230"/>
      <c r="D810" s="230"/>
      <c r="E810" s="230"/>
      <c r="F810" s="230"/>
      <c r="G810" s="230"/>
      <c r="H810" s="230"/>
      <c r="I810" s="230"/>
      <c r="J810" s="230"/>
      <c r="K810" s="230"/>
      <c r="L810" s="230"/>
      <c r="M810" s="230"/>
      <c r="N810" s="230"/>
      <c r="O810" s="230"/>
    </row>
    <row r="811" spans="1:15">
      <c r="A811" s="230"/>
      <c r="B811" s="230"/>
      <c r="C811" s="230"/>
      <c r="D811" s="230"/>
      <c r="E811" s="230"/>
      <c r="F811" s="230"/>
      <c r="G811" s="230"/>
      <c r="H811" s="230"/>
      <c r="I811" s="230"/>
      <c r="J811" s="230"/>
      <c r="K811" s="230"/>
      <c r="L811" s="230"/>
      <c r="M811" s="230"/>
      <c r="N811" s="230"/>
      <c r="O811" s="230"/>
    </row>
    <row r="812" spans="1:15">
      <c r="A812" s="230"/>
      <c r="B812" s="230"/>
      <c r="C812" s="230"/>
      <c r="D812" s="230"/>
      <c r="E812" s="230"/>
      <c r="F812" s="230"/>
      <c r="G812" s="230"/>
      <c r="H812" s="230"/>
      <c r="I812" s="230"/>
      <c r="J812" s="230"/>
      <c r="K812" s="230"/>
      <c r="L812" s="230"/>
      <c r="M812" s="230"/>
      <c r="N812" s="230"/>
      <c r="O812" s="230"/>
    </row>
    <row r="813" spans="1:15">
      <c r="A813" s="230"/>
      <c r="B813" s="230"/>
      <c r="C813" s="230"/>
      <c r="D813" s="230"/>
      <c r="E813" s="230"/>
      <c r="F813" s="230"/>
      <c r="G813" s="230"/>
      <c r="H813" s="230"/>
      <c r="I813" s="230"/>
      <c r="J813" s="230"/>
      <c r="K813" s="230"/>
      <c r="L813" s="230"/>
      <c r="M813" s="230"/>
      <c r="N813" s="230"/>
      <c r="O813" s="230"/>
    </row>
    <row r="814" spans="1:15">
      <c r="A814" s="230"/>
      <c r="B814" s="230"/>
      <c r="C814" s="230"/>
      <c r="D814" s="230"/>
      <c r="E814" s="230"/>
      <c r="F814" s="230"/>
      <c r="G814" s="230"/>
      <c r="H814" s="230"/>
      <c r="I814" s="230"/>
      <c r="J814" s="230"/>
      <c r="K814" s="230"/>
      <c r="L814" s="230"/>
      <c r="M814" s="230"/>
      <c r="N814" s="230"/>
      <c r="O814" s="230"/>
    </row>
    <row r="815" spans="1:15">
      <c r="A815" s="230"/>
      <c r="B815" s="230"/>
      <c r="C815" s="230"/>
      <c r="D815" s="230"/>
      <c r="E815" s="230"/>
      <c r="F815" s="230"/>
      <c r="G815" s="230"/>
      <c r="H815" s="230"/>
      <c r="I815" s="230"/>
      <c r="J815" s="230"/>
      <c r="K815" s="230"/>
      <c r="L815" s="230"/>
      <c r="M815" s="230"/>
      <c r="N815" s="230"/>
      <c r="O815" s="230"/>
    </row>
    <row r="816" spans="1:15">
      <c r="A816" s="230"/>
      <c r="B816" s="230"/>
      <c r="C816" s="230"/>
      <c r="D816" s="230"/>
      <c r="E816" s="230"/>
      <c r="F816" s="230"/>
      <c r="G816" s="230"/>
      <c r="H816" s="230"/>
      <c r="I816" s="230"/>
      <c r="J816" s="230"/>
      <c r="K816" s="230"/>
      <c r="L816" s="230"/>
      <c r="M816" s="230"/>
      <c r="N816" s="230"/>
      <c r="O816" s="230"/>
    </row>
    <row r="817" spans="1:15">
      <c r="A817" s="230"/>
      <c r="B817" s="230"/>
      <c r="C817" s="230"/>
      <c r="D817" s="230"/>
      <c r="E817" s="230"/>
      <c r="F817" s="230"/>
      <c r="G817" s="230"/>
      <c r="H817" s="230"/>
      <c r="I817" s="230"/>
      <c r="J817" s="230"/>
      <c r="K817" s="230"/>
      <c r="L817" s="230"/>
      <c r="M817" s="230"/>
      <c r="N817" s="230"/>
      <c r="O817" s="230"/>
    </row>
    <row r="818" spans="1:15">
      <c r="A818" s="230"/>
      <c r="B818" s="230"/>
      <c r="C818" s="230"/>
      <c r="D818" s="230"/>
      <c r="E818" s="230"/>
      <c r="F818" s="230"/>
      <c r="G818" s="230"/>
      <c r="H818" s="230"/>
      <c r="I818" s="230"/>
      <c r="J818" s="230"/>
      <c r="K818" s="230"/>
      <c r="L818" s="230"/>
      <c r="M818" s="230"/>
      <c r="N818" s="230"/>
      <c r="O818" s="230"/>
    </row>
    <row r="819" spans="1:15">
      <c r="A819" s="230"/>
      <c r="B819" s="230"/>
      <c r="C819" s="230"/>
      <c r="D819" s="230"/>
      <c r="E819" s="230"/>
      <c r="F819" s="230"/>
      <c r="G819" s="230"/>
      <c r="H819" s="230"/>
      <c r="I819" s="230"/>
      <c r="J819" s="230"/>
      <c r="K819" s="230"/>
      <c r="L819" s="230"/>
      <c r="M819" s="230"/>
      <c r="N819" s="230"/>
      <c r="O819" s="230"/>
    </row>
    <row r="820" spans="1:15">
      <c r="A820" s="230"/>
      <c r="B820" s="230"/>
      <c r="C820" s="230"/>
      <c r="D820" s="230"/>
      <c r="E820" s="230"/>
      <c r="F820" s="230"/>
      <c r="G820" s="230"/>
      <c r="H820" s="230"/>
      <c r="I820" s="230"/>
      <c r="J820" s="230"/>
      <c r="K820" s="230"/>
      <c r="L820" s="230"/>
      <c r="M820" s="230"/>
      <c r="N820" s="230"/>
      <c r="O820" s="230"/>
    </row>
    <row r="821" spans="1:15">
      <c r="A821" s="230"/>
      <c r="B821" s="230"/>
      <c r="C821" s="230"/>
      <c r="D821" s="230"/>
      <c r="E821" s="230"/>
      <c r="F821" s="230"/>
      <c r="G821" s="230"/>
      <c r="H821" s="230"/>
      <c r="I821" s="230"/>
      <c r="J821" s="230"/>
      <c r="K821" s="230"/>
      <c r="L821" s="230"/>
      <c r="M821" s="230"/>
      <c r="N821" s="230"/>
      <c r="O821" s="230"/>
    </row>
    <row r="822" spans="1:15">
      <c r="A822" s="230"/>
      <c r="B822" s="230"/>
      <c r="C822" s="230"/>
      <c r="D822" s="230"/>
      <c r="E822" s="230"/>
      <c r="F822" s="230"/>
      <c r="G822" s="230"/>
      <c r="H822" s="230"/>
      <c r="I822" s="230"/>
      <c r="J822" s="230"/>
      <c r="K822" s="230"/>
      <c r="L822" s="230"/>
      <c r="M822" s="230"/>
      <c r="N822" s="230"/>
      <c r="O822" s="230"/>
    </row>
    <row r="823" spans="1:15">
      <c r="A823" s="230"/>
      <c r="B823" s="230"/>
      <c r="C823" s="230"/>
      <c r="D823" s="230"/>
      <c r="E823" s="230"/>
      <c r="F823" s="230"/>
      <c r="G823" s="230"/>
      <c r="H823" s="230"/>
      <c r="I823" s="230"/>
      <c r="J823" s="230"/>
      <c r="K823" s="230"/>
      <c r="L823" s="230"/>
      <c r="M823" s="230"/>
      <c r="N823" s="230"/>
      <c r="O823" s="230"/>
    </row>
    <row r="824" spans="1:15">
      <c r="A824" s="230"/>
      <c r="B824" s="230"/>
      <c r="C824" s="230"/>
      <c r="D824" s="230"/>
      <c r="E824" s="230"/>
      <c r="F824" s="230"/>
      <c r="G824" s="230"/>
      <c r="H824" s="230"/>
      <c r="I824" s="230"/>
      <c r="J824" s="230"/>
      <c r="K824" s="230"/>
      <c r="L824" s="230"/>
      <c r="M824" s="230"/>
      <c r="N824" s="230"/>
      <c r="O824" s="230"/>
    </row>
    <row r="825" spans="1:15">
      <c r="A825" s="230"/>
      <c r="B825" s="230"/>
      <c r="C825" s="230"/>
      <c r="D825" s="230"/>
      <c r="E825" s="230"/>
      <c r="F825" s="230"/>
      <c r="G825" s="230"/>
      <c r="H825" s="230"/>
      <c r="I825" s="230"/>
      <c r="J825" s="230"/>
      <c r="K825" s="230"/>
      <c r="L825" s="230"/>
      <c r="M825" s="230"/>
      <c r="N825" s="230"/>
      <c r="O825" s="230"/>
    </row>
    <row r="826" spans="1:15">
      <c r="A826" s="230"/>
      <c r="B826" s="230"/>
      <c r="C826" s="230"/>
      <c r="D826" s="230"/>
      <c r="E826" s="230"/>
      <c r="F826" s="230"/>
      <c r="G826" s="230"/>
      <c r="H826" s="230"/>
      <c r="I826" s="230"/>
      <c r="J826" s="230"/>
      <c r="K826" s="230"/>
      <c r="L826" s="230"/>
      <c r="M826" s="230"/>
      <c r="N826" s="230"/>
      <c r="O826" s="230"/>
    </row>
    <row r="827" spans="1:15">
      <c r="A827" s="230"/>
      <c r="B827" s="230"/>
      <c r="C827" s="230"/>
      <c r="D827" s="230"/>
      <c r="E827" s="230"/>
      <c r="F827" s="230"/>
      <c r="G827" s="230"/>
      <c r="H827" s="230"/>
      <c r="I827" s="230"/>
      <c r="J827" s="230"/>
      <c r="K827" s="230"/>
      <c r="L827" s="230"/>
      <c r="M827" s="230"/>
      <c r="N827" s="230"/>
      <c r="O827" s="230"/>
    </row>
    <row r="828" spans="1:15">
      <c r="A828" s="230"/>
      <c r="B828" s="230"/>
      <c r="C828" s="230"/>
      <c r="D828" s="230"/>
      <c r="E828" s="230"/>
      <c r="F828" s="230"/>
      <c r="G828" s="230"/>
      <c r="H828" s="230"/>
      <c r="I828" s="230"/>
      <c r="J828" s="230"/>
      <c r="K828" s="230"/>
      <c r="L828" s="230"/>
      <c r="M828" s="230"/>
      <c r="N828" s="230"/>
      <c r="O828" s="230"/>
    </row>
    <row r="829" spans="1:15">
      <c r="A829" s="230"/>
      <c r="B829" s="230"/>
      <c r="C829" s="230"/>
      <c r="D829" s="230"/>
      <c r="E829" s="230"/>
      <c r="F829" s="230"/>
      <c r="G829" s="230"/>
      <c r="H829" s="230"/>
      <c r="I829" s="230"/>
      <c r="J829" s="230"/>
      <c r="K829" s="230"/>
      <c r="L829" s="230"/>
      <c r="M829" s="230"/>
      <c r="N829" s="230"/>
      <c r="O829" s="230"/>
    </row>
    <row r="830" spans="1:15">
      <c r="A830" s="230"/>
      <c r="B830" s="230"/>
      <c r="C830" s="230"/>
      <c r="D830" s="230"/>
      <c r="E830" s="230"/>
      <c r="F830" s="230"/>
      <c r="G830" s="230"/>
      <c r="H830" s="230"/>
      <c r="I830" s="230"/>
      <c r="J830" s="230"/>
      <c r="K830" s="230"/>
      <c r="L830" s="230"/>
      <c r="M830" s="230"/>
      <c r="N830" s="230"/>
      <c r="O830" s="230"/>
    </row>
    <row r="831" spans="1:15">
      <c r="A831" s="230"/>
      <c r="B831" s="230"/>
      <c r="C831" s="230"/>
      <c r="D831" s="230"/>
      <c r="E831" s="230"/>
      <c r="F831" s="230"/>
      <c r="G831" s="230"/>
      <c r="H831" s="230"/>
      <c r="I831" s="230"/>
      <c r="J831" s="230"/>
      <c r="K831" s="230"/>
      <c r="L831" s="230"/>
      <c r="M831" s="230"/>
      <c r="N831" s="230"/>
      <c r="O831" s="230"/>
    </row>
    <row r="832" spans="1:15">
      <c r="A832" s="230"/>
      <c r="B832" s="230"/>
      <c r="C832" s="230"/>
      <c r="D832" s="230"/>
      <c r="E832" s="230"/>
      <c r="F832" s="230"/>
      <c r="G832" s="230"/>
      <c r="H832" s="230"/>
      <c r="I832" s="230"/>
      <c r="J832" s="230"/>
      <c r="K832" s="230"/>
      <c r="L832" s="230"/>
      <c r="M832" s="230"/>
      <c r="N832" s="230"/>
      <c r="O832" s="230"/>
    </row>
    <row r="833" spans="1:15">
      <c r="A833" s="230"/>
      <c r="B833" s="230"/>
      <c r="C833" s="230"/>
      <c r="D833" s="230"/>
      <c r="E833" s="230"/>
      <c r="F833" s="230"/>
      <c r="G833" s="230"/>
      <c r="H833" s="230"/>
      <c r="I833" s="230"/>
      <c r="J833" s="230"/>
      <c r="K833" s="230"/>
      <c r="L833" s="230"/>
      <c r="M833" s="230"/>
      <c r="N833" s="230"/>
      <c r="O833" s="230"/>
    </row>
    <row r="834" spans="1:15">
      <c r="A834" s="230"/>
      <c r="B834" s="230"/>
      <c r="C834" s="230"/>
      <c r="D834" s="230"/>
      <c r="E834" s="230"/>
      <c r="F834" s="230"/>
      <c r="G834" s="230"/>
      <c r="H834" s="230"/>
      <c r="I834" s="230"/>
      <c r="J834" s="230"/>
      <c r="K834" s="230"/>
      <c r="L834" s="230"/>
      <c r="M834" s="230"/>
      <c r="N834" s="230"/>
      <c r="O834" s="230"/>
    </row>
    <row r="835" spans="1:15">
      <c r="A835" s="230"/>
      <c r="B835" s="230"/>
      <c r="C835" s="230"/>
      <c r="D835" s="230"/>
      <c r="E835" s="230"/>
      <c r="F835" s="230"/>
      <c r="G835" s="230"/>
      <c r="H835" s="230"/>
      <c r="I835" s="230"/>
      <c r="J835" s="230"/>
      <c r="K835" s="230"/>
      <c r="L835" s="230"/>
      <c r="M835" s="230"/>
      <c r="N835" s="230"/>
      <c r="O835" s="230"/>
    </row>
    <row r="836" spans="1:15">
      <c r="A836" s="230"/>
      <c r="B836" s="230"/>
      <c r="C836" s="230"/>
      <c r="D836" s="230"/>
      <c r="E836" s="230"/>
      <c r="F836" s="230"/>
      <c r="G836" s="230"/>
      <c r="H836" s="230"/>
      <c r="I836" s="230"/>
      <c r="J836" s="230"/>
      <c r="L836" s="230"/>
      <c r="M836" s="230"/>
      <c r="N836" s="230"/>
      <c r="O836" s="230"/>
    </row>
    <row r="837" spans="1:15">
      <c r="O837" s="230"/>
    </row>
    <row r="838" spans="1:15">
      <c r="O838" s="230"/>
    </row>
    <row r="839" spans="1:15">
      <c r="O839" s="230"/>
    </row>
    <row r="840" spans="1:15">
      <c r="O840" s="230"/>
    </row>
    <row r="841" spans="1:15">
      <c r="O841" s="230"/>
    </row>
    <row r="842" spans="1:15">
      <c r="O842" s="230"/>
    </row>
    <row r="843" spans="1:15">
      <c r="O843" s="230"/>
    </row>
    <row r="844" spans="1:15">
      <c r="O844" s="230"/>
    </row>
    <row r="845" spans="1:15">
      <c r="O845" s="230"/>
    </row>
  </sheetData>
  <customSheetViews>
    <customSheetView guid="{1BA452AD-1A45-4D9C-9666-ADFFA6F2F567}" scale="60" colorId="22" showPageBreaks="1" printArea="1" view="pageBreakPreview" topLeftCell="A16">
      <selection activeCell="F49" sqref="F49"/>
      <colBreaks count="1" manualBreakCount="1">
        <brk id="6" max="1048575" man="1"/>
      </colBreaks>
      <pageMargins left="0.75" right="0.4" top="0.3" bottom="0.3" header="0.5" footer="0.5"/>
      <printOptions horizontalCentered="1" verticalCentered="1"/>
      <pageSetup scale="64" fitToWidth="2" orientation="portrait" r:id="rId1"/>
      <headerFooter alignWithMargins="0"/>
    </customSheetView>
    <customSheetView guid="{EEF7ABD6-0F96-4791-B749-C06F707E7673}" scale="60" colorId="22" showPageBreaks="1" printArea="1" view="pageBreakPreview" showRuler="0">
      <selection activeCell="C33" sqref="C33"/>
      <colBreaks count="1" manualBreakCount="1">
        <brk id="6" max="1048575" man="1"/>
      </colBreaks>
      <pageMargins left="0.75" right="0.4" top="0.3" bottom="0.3" header="0.5" footer="0.5"/>
      <printOptions horizontalCentered="1" verticalCentered="1"/>
      <pageSetup scale="68" fitToWidth="2" orientation="portrait" r:id="rId2"/>
      <headerFooter alignWithMargins="0"/>
    </customSheetView>
    <customSheetView guid="{A7D7DB3C-AFE6-468E-8C6B-9531F6711497}" scale="60" colorId="22" showPageBreaks="1" printArea="1" view="pageBreakPreview" showRuler="0" topLeftCell="A19">
      <selection activeCell="E55" sqref="E55"/>
      <colBreaks count="1" manualBreakCount="1">
        <brk id="6" max="1048575" man="1"/>
      </colBreaks>
      <pageMargins left="0.75" right="0.4" top="0.3" bottom="0.3" header="0.5" footer="0.5"/>
      <printOptions horizontalCentered="1" verticalCentered="1"/>
      <pageSetup scale="68" fitToWidth="2" orientation="portrait" r:id="rId3"/>
      <headerFooter alignWithMargins="0"/>
    </customSheetView>
    <customSheetView guid="{4436FEB5-BFEC-4348-9286-CB706802873E}" scale="60" colorId="22" showPageBreaks="1" printArea="1" view="pageBreakPreview" showRuler="0">
      <selection sqref="A1:IV65536"/>
      <colBreaks count="1" manualBreakCount="1">
        <brk id="6" max="1048575" man="1"/>
      </colBreaks>
      <pageMargins left="0.75" right="0.4" top="0.3" bottom="0.3" header="0.5" footer="0.5"/>
      <printOptions horizontalCentered="1" verticalCentered="1"/>
      <pageSetup scale="68" fitToWidth="2" orientation="portrait" r:id="rId4"/>
      <headerFooter alignWithMargins="0"/>
    </customSheetView>
    <customSheetView guid="{044CF00C-469F-44B3-B2C4-9B4049CE70CB}" scale="75" colorId="22" showRuler="0" topLeftCell="F1">
      <selection activeCell="J1" sqref="J1"/>
      <colBreaks count="1" manualBreakCount="1">
        <brk id="6" max="1048575" man="1"/>
      </colBreaks>
      <pageMargins left="0.75" right="0.4" top="0.3" bottom="0.3" header="0.5" footer="0.5"/>
      <printOptions horizontalCentered="1" verticalCentered="1"/>
      <pageSetup scale="68" fitToWidth="2" orientation="portrait" r:id="rId5"/>
      <headerFooter alignWithMargins="0"/>
    </customSheetView>
    <customSheetView guid="{4826FCC0-BDD6-4B2C-ACC6-ACE271DDF0E3}" scale="60" colorId="22" showPageBreaks="1" printArea="1" view="pageBreakPreview" showRuler="0">
      <selection activeCell="C33" sqref="C33"/>
      <colBreaks count="1" manualBreakCount="1">
        <brk id="6" max="1048575" man="1"/>
      </colBreaks>
      <pageMargins left="0.75" right="0.4" top="0.3" bottom="0.3" header="0.5" footer="0.5"/>
      <printOptions horizontalCentered="1" verticalCentered="1"/>
      <pageSetup scale="68" fitToWidth="2" orientation="portrait" r:id="rId6"/>
      <headerFooter alignWithMargins="0"/>
    </customSheetView>
    <customSheetView guid="{EF376D10-23D6-4FE2-AB5B-4460D52CC93F}" scale="60" colorId="22" showPageBreaks="1" printArea="1" view="pageBreakPreview" showRuler="0">
      <selection activeCell="C33" sqref="C33"/>
      <colBreaks count="1" manualBreakCount="1">
        <brk id="6" max="1048575" man="1"/>
      </colBreaks>
      <pageMargins left="0.75" right="0.4" top="0.3" bottom="0.3" header="0.5" footer="0.5"/>
      <printOptions horizontalCentered="1" verticalCentered="1"/>
      <pageSetup scale="68" fitToWidth="2" orientation="portrait" r:id="rId7"/>
      <headerFooter alignWithMargins="0"/>
    </customSheetView>
    <customSheetView guid="{1C046605-15CE-44F1-BFCD-2CA8588E7ACF}" scale="60" colorId="22" showPageBreaks="1" printArea="1" view="pageBreakPreview" showRuler="0" topLeftCell="A4">
      <selection activeCell="I27" sqref="I27"/>
      <colBreaks count="1" manualBreakCount="1">
        <brk id="6" max="1048575" man="1"/>
      </colBreaks>
      <pageMargins left="0.75" right="0.4" top="0.3" bottom="0.3" header="0.5" footer="0.5"/>
      <printOptions horizontalCentered="1" verticalCentered="1"/>
      <pageSetup scale="68" fitToWidth="2" orientation="portrait" r:id="rId8"/>
      <headerFooter alignWithMargins="0"/>
    </customSheetView>
    <customSheetView guid="{3911D713-188C-46A1-A299-F21DD3B7A146}" scale="60" colorId="22" showPageBreaks="1" printArea="1" view="pageBreakPreview" showRuler="0" topLeftCell="A4">
      <selection activeCell="I27" sqref="I27"/>
      <colBreaks count="1" manualBreakCount="1">
        <brk id="6" max="1048575" man="1"/>
      </colBreaks>
      <pageMargins left="0.75" right="0.4" top="0.3" bottom="0.3" header="0.5" footer="0.5"/>
      <printOptions horizontalCentered="1" verticalCentered="1"/>
      <pageSetup scale="68" fitToWidth="2" orientation="portrait" r:id="rId9"/>
      <headerFooter alignWithMargins="0"/>
    </customSheetView>
    <customSheetView guid="{78BB1E60-60BE-4F56-9763-075185EFEFAB}" scale="60" colorId="22" showPageBreaks="1" printArea="1" view="pageBreakPreview" topLeftCell="A16">
      <selection activeCell="F49" sqref="F49"/>
      <colBreaks count="1" manualBreakCount="1">
        <brk id="6" max="1048575" man="1"/>
      </colBreaks>
      <pageMargins left="0.75" right="0.4" top="0.3" bottom="0.3" header="0.5" footer="0.5"/>
      <printOptions horizontalCentered="1" verticalCentered="1"/>
      <pageSetup scale="64" fitToWidth="2" orientation="portrait" r:id="rId10"/>
      <headerFooter alignWithMargins="0"/>
    </customSheetView>
    <customSheetView guid="{9C30803E-1E2D-4850-B0A5-591CA6F246A1}" scale="60" colorId="22" showPageBreaks="1" printArea="1" view="pageBreakPreview" topLeftCell="A16">
      <selection activeCell="F49" sqref="F49"/>
      <colBreaks count="1" manualBreakCount="1">
        <brk id="6" max="1048575" man="1"/>
      </colBreaks>
      <pageMargins left="0.75" right="0.4" top="0.3" bottom="0.3" header="0.5" footer="0.5"/>
      <printOptions horizontalCentered="1" verticalCentered="1"/>
      <pageSetup scale="64" fitToWidth="2" orientation="portrait" r:id="rId11"/>
      <headerFooter alignWithMargins="0"/>
    </customSheetView>
    <customSheetView guid="{3B1006FF-A2CA-49E7-9B25-DAC8815279AF}" scale="60" colorId="22" showPageBreaks="1" printArea="1" view="pageBreakPreview" topLeftCell="A16">
      <selection activeCell="F49" sqref="F49"/>
      <colBreaks count="1" manualBreakCount="1">
        <brk id="6" max="1048575" man="1"/>
      </colBreaks>
      <pageMargins left="0.75" right="0.4" top="0.3" bottom="0.3" header="0.5" footer="0.5"/>
      <printOptions horizontalCentered="1" verticalCentered="1"/>
      <pageSetup scale="64" fitToWidth="2" orientation="portrait" r:id="rId12"/>
      <headerFooter alignWithMargins="0"/>
    </customSheetView>
    <customSheetView guid="{FB1A60C8-E1F9-4DF0-8E0E-1C965F86027F}" scale="60" colorId="22" showPageBreaks="1" printArea="1" view="pageBreakPreview" topLeftCell="A16">
      <selection activeCell="F49" sqref="F49"/>
      <colBreaks count="1" manualBreakCount="1">
        <brk id="6" max="1048575" man="1"/>
      </colBreaks>
      <pageMargins left="0.75" right="0.4" top="0.3" bottom="0.3" header="0.5" footer="0.5"/>
      <printOptions horizontalCentered="1" verticalCentered="1"/>
      <pageSetup scale="64" fitToWidth="2" orientation="portrait" r:id="rId13"/>
      <headerFooter alignWithMargins="0"/>
    </customSheetView>
    <customSheetView guid="{C5B6D812-CBE6-46AA-99F7-02494E9802B4}" scale="70" colorId="22" showPageBreaks="1" printArea="1" view="pageBreakPreview" topLeftCell="C5">
      <selection activeCell="C10" sqref="C10"/>
      <colBreaks count="1" manualBreakCount="1">
        <brk id="6" max="1048575" man="1"/>
      </colBreaks>
      <pageMargins left="0.75" right="0.4" top="0.3" bottom="0.3" header="0.5" footer="0.5"/>
      <printOptions horizontalCentered="1" verticalCentered="1"/>
      <pageSetup scale="64" fitToWidth="2" orientation="portrait" r:id="rId14"/>
      <headerFooter alignWithMargins="0"/>
    </customSheetView>
  </customSheetViews>
  <phoneticPr fontId="0" type="noConversion"/>
  <printOptions horizontalCentered="1" verticalCentered="1"/>
  <pageMargins left="0.75" right="0.4" top="0.3" bottom="0.3" header="0.5" footer="0.5"/>
  <pageSetup scale="64" fitToWidth="2" orientation="portrait" r:id="rId15"/>
  <headerFooter alignWithMargins="0"/>
  <colBreaks count="1" manualBreakCount="1">
    <brk id="6" max="1048575" man="1"/>
  </colBreaks>
  <customProperties>
    <customPr name="_pios_id" r:id="rId16"/>
  </customProperties>
</worksheet>
</file>

<file path=xl/worksheets/sheet53.xml><?xml version="1.0" encoding="utf-8"?>
<worksheet xmlns="http://schemas.openxmlformats.org/spreadsheetml/2006/main" xmlns:r="http://schemas.openxmlformats.org/officeDocument/2006/relationships">
  <sheetPr transitionEvaluation="1" codeName="Sheet53" enableFormatConditionsCalculation="0">
    <pageSetUpPr fitToPage="1"/>
  </sheetPr>
  <dimension ref="A1:N123"/>
  <sheetViews>
    <sheetView defaultGridColor="0" colorId="22" zoomScale="70" zoomScaleNormal="70" zoomScaleSheetLayoutView="70" workbookViewId="0"/>
  </sheetViews>
  <sheetFormatPr defaultColWidth="9.77734375" defaultRowHeight="15"/>
  <cols>
    <col min="1" max="1" width="4.77734375" customWidth="1"/>
    <col min="2" max="2" width="47.77734375" customWidth="1"/>
    <col min="3" max="3" width="22.77734375" customWidth="1"/>
    <col min="4" max="4" width="17.77734375" customWidth="1"/>
    <col min="5" max="5" width="19.88671875" customWidth="1"/>
    <col min="6" max="6" width="11.33203125" style="1626" bestFit="1" customWidth="1"/>
    <col min="9" max="9" width="9.77734375" customWidth="1"/>
    <col min="10" max="10" width="24.33203125" customWidth="1"/>
    <col min="11" max="11" width="12.5546875" customWidth="1"/>
    <col min="12" max="12" width="10.44140625" bestFit="1" customWidth="1"/>
    <col min="13" max="13" width="9.77734375" customWidth="1"/>
    <col min="16" max="16" width="9" customWidth="1"/>
  </cols>
  <sheetData>
    <row r="1" spans="1:14" ht="15.75" thickBot="1">
      <c r="A1" s="186" t="str">
        <f>'Data sheet'!$A$63</f>
        <v>Annual Report of New York American Water Company, Inc. (f/k/a Long Island Water Corp)                                    Year Ended  December 31, 2013</v>
      </c>
      <c r="D1" s="1633"/>
      <c r="E1" s="1633"/>
    </row>
    <row r="2" spans="1:14">
      <c r="A2" s="90"/>
      <c r="B2" s="91"/>
      <c r="C2" s="91"/>
      <c r="D2" s="91"/>
      <c r="E2" s="92"/>
    </row>
    <row r="3" spans="1:14" ht="15.75">
      <c r="A3" s="130" t="s">
        <v>998</v>
      </c>
      <c r="B3" s="128"/>
      <c r="C3" s="128"/>
      <c r="D3" s="128"/>
      <c r="E3" s="145"/>
    </row>
    <row r="4" spans="1:14">
      <c r="A4" s="108"/>
      <c r="B4" s="109"/>
      <c r="C4" s="109"/>
      <c r="D4" s="141"/>
      <c r="E4" s="194"/>
    </row>
    <row r="5" spans="1:14">
      <c r="A5" s="475"/>
      <c r="B5" s="97"/>
      <c r="C5" s="97"/>
      <c r="D5" s="97"/>
      <c r="E5" s="156"/>
    </row>
    <row r="6" spans="1:14">
      <c r="A6" s="444" t="s">
        <v>1129</v>
      </c>
      <c r="B6" s="131" t="s">
        <v>558</v>
      </c>
      <c r="C6" s="128"/>
      <c r="D6" s="128"/>
      <c r="E6" s="2842" t="s">
        <v>430</v>
      </c>
    </row>
    <row r="7" spans="1:14">
      <c r="A7" s="521" t="s">
        <v>3324</v>
      </c>
      <c r="B7" s="134" t="s">
        <v>4032</v>
      </c>
      <c r="C7" s="146"/>
      <c r="D7" s="146"/>
      <c r="E7" s="2843" t="s">
        <v>4033</v>
      </c>
    </row>
    <row r="8" spans="1:14" ht="15.75">
      <c r="A8" s="205">
        <v>1</v>
      </c>
      <c r="B8" s="109" t="s">
        <v>999</v>
      </c>
      <c r="C8" s="109"/>
      <c r="D8" s="109"/>
      <c r="E8" s="2844">
        <v>75963</v>
      </c>
      <c r="J8" s="1785"/>
    </row>
    <row r="9" spans="1:14" ht="15.75">
      <c r="A9" s="205">
        <v>2</v>
      </c>
      <c r="B9" s="109" t="s">
        <v>1000</v>
      </c>
      <c r="C9" s="109"/>
      <c r="D9" s="109"/>
      <c r="E9" s="2844">
        <v>22282</v>
      </c>
      <c r="J9" s="1785"/>
    </row>
    <row r="10" spans="1:14" ht="15.75">
      <c r="A10" s="475">
        <v>3</v>
      </c>
      <c r="B10" s="97" t="s">
        <v>1001</v>
      </c>
      <c r="C10" s="97"/>
      <c r="D10" s="97"/>
      <c r="E10" s="2845"/>
      <c r="J10" s="1785"/>
    </row>
    <row r="11" spans="1:14">
      <c r="A11" s="205"/>
      <c r="B11" s="109" t="s">
        <v>3917</v>
      </c>
      <c r="C11" s="109"/>
      <c r="D11" s="109"/>
      <c r="E11" s="2846"/>
    </row>
    <row r="12" spans="1:14">
      <c r="A12" s="475">
        <v>4</v>
      </c>
      <c r="B12" s="97" t="s">
        <v>778</v>
      </c>
      <c r="C12" s="97"/>
      <c r="D12" s="97"/>
      <c r="E12" s="2847"/>
    </row>
    <row r="13" spans="1:14">
      <c r="A13" s="475"/>
      <c r="B13" s="97" t="s">
        <v>2208</v>
      </c>
      <c r="C13" s="97"/>
      <c r="D13" s="97"/>
      <c r="E13" s="2847"/>
    </row>
    <row r="14" spans="1:14">
      <c r="A14" s="205"/>
      <c r="B14" s="109" t="s">
        <v>2209</v>
      </c>
      <c r="C14" s="109"/>
      <c r="D14" s="109"/>
      <c r="E14" s="2846"/>
    </row>
    <row r="15" spans="1:14">
      <c r="A15" s="475">
        <v>5</v>
      </c>
      <c r="B15" s="97" t="s">
        <v>2210</v>
      </c>
      <c r="C15" s="97"/>
      <c r="D15" s="11"/>
      <c r="E15" s="2848">
        <v>15821</v>
      </c>
    </row>
    <row r="16" spans="1:14" ht="15.75">
      <c r="A16" s="475">
        <v>6</v>
      </c>
      <c r="B16" s="97" t="s">
        <v>2211</v>
      </c>
      <c r="C16" s="97"/>
      <c r="D16" s="97"/>
      <c r="E16" s="2848">
        <v>420392</v>
      </c>
      <c r="J16" s="1785"/>
      <c r="N16" s="1785"/>
    </row>
    <row r="17" spans="1:10" ht="15.75">
      <c r="A17" s="475">
        <v>7</v>
      </c>
      <c r="B17" s="97" t="s">
        <v>2212</v>
      </c>
      <c r="C17" s="97"/>
      <c r="D17" s="1224"/>
      <c r="E17" s="2848">
        <v>1000</v>
      </c>
      <c r="J17" s="1785"/>
    </row>
    <row r="18" spans="1:10">
      <c r="A18" s="475">
        <v>8</v>
      </c>
      <c r="B18" s="97" t="s">
        <v>3631</v>
      </c>
      <c r="C18" s="97"/>
      <c r="D18" s="97"/>
      <c r="E18" s="2848">
        <v>70955</v>
      </c>
    </row>
    <row r="19" spans="1:10">
      <c r="A19" s="475">
        <v>9</v>
      </c>
      <c r="B19" s="97" t="s">
        <v>3322</v>
      </c>
      <c r="C19" s="97"/>
      <c r="D19" s="97"/>
      <c r="E19" s="2848">
        <v>30</v>
      </c>
    </row>
    <row r="20" spans="1:10">
      <c r="A20" s="475">
        <v>10</v>
      </c>
      <c r="B20" s="97" t="s">
        <v>5169</v>
      </c>
      <c r="C20" s="97"/>
      <c r="D20" s="97"/>
      <c r="E20" s="2848">
        <v>13865</v>
      </c>
    </row>
    <row r="21" spans="1:10">
      <c r="A21" s="475">
        <v>11</v>
      </c>
      <c r="B21" s="97" t="s">
        <v>5176</v>
      </c>
      <c r="C21" s="97"/>
      <c r="D21" s="97"/>
      <c r="E21" s="2848">
        <v>43945</v>
      </c>
      <c r="F21" s="1660"/>
    </row>
    <row r="22" spans="1:10">
      <c r="A22" s="475">
        <v>12</v>
      </c>
      <c r="B22" s="97"/>
      <c r="C22" s="97"/>
      <c r="D22" s="97"/>
      <c r="E22" s="2848"/>
      <c r="F22" s="1660"/>
    </row>
    <row r="23" spans="1:10">
      <c r="A23" s="475">
        <v>13</v>
      </c>
      <c r="B23" s="97"/>
      <c r="C23" s="97"/>
      <c r="D23" s="97"/>
      <c r="E23" s="2848"/>
      <c r="F23" s="3016"/>
      <c r="G23" s="1633"/>
      <c r="H23" s="1633"/>
    </row>
    <row r="24" spans="1:10">
      <c r="A24" s="475">
        <v>14</v>
      </c>
      <c r="B24" s="97"/>
      <c r="C24" s="97"/>
      <c r="D24" s="97"/>
      <c r="E24" s="1659"/>
    </row>
    <row r="25" spans="1:10">
      <c r="A25" s="475">
        <v>15</v>
      </c>
      <c r="B25" s="97"/>
      <c r="C25" s="97"/>
      <c r="D25" s="97"/>
      <c r="E25" s="1659"/>
    </row>
    <row r="26" spans="1:10">
      <c r="A26" s="475">
        <v>16</v>
      </c>
      <c r="B26" s="97"/>
      <c r="C26" s="97"/>
      <c r="D26" s="97"/>
      <c r="E26" s="1659"/>
    </row>
    <row r="27" spans="1:10">
      <c r="A27" s="475">
        <v>17</v>
      </c>
      <c r="B27" s="97"/>
      <c r="C27" s="97"/>
      <c r="D27" s="97"/>
      <c r="E27" s="1659"/>
    </row>
    <row r="28" spans="1:10">
      <c r="A28" s="475">
        <v>18</v>
      </c>
      <c r="B28" s="97"/>
      <c r="C28" s="97"/>
      <c r="D28" s="11"/>
      <c r="E28" s="1659"/>
    </row>
    <row r="29" spans="1:10">
      <c r="A29" s="475">
        <v>19</v>
      </c>
      <c r="B29" s="97"/>
      <c r="C29" s="97"/>
      <c r="D29" s="11"/>
      <c r="E29" s="1659"/>
    </row>
    <row r="30" spans="1:10">
      <c r="A30" s="475">
        <v>20</v>
      </c>
      <c r="B30" s="97"/>
      <c r="C30" s="97"/>
      <c r="D30" s="97"/>
      <c r="E30" s="1659"/>
    </row>
    <row r="31" spans="1:10">
      <c r="A31" s="475">
        <v>21</v>
      </c>
      <c r="B31" s="97"/>
      <c r="C31" s="97"/>
      <c r="D31" s="11"/>
      <c r="E31" s="1659"/>
      <c r="F31" s="2086"/>
      <c r="G31" s="952"/>
    </row>
    <row r="32" spans="1:10">
      <c r="A32" s="475">
        <v>22</v>
      </c>
      <c r="B32" s="97"/>
      <c r="C32" s="97"/>
      <c r="D32" s="97"/>
      <c r="E32" s="1659"/>
    </row>
    <row r="33" spans="1:5">
      <c r="A33" s="475">
        <v>23</v>
      </c>
      <c r="B33" s="97"/>
      <c r="C33" s="97"/>
      <c r="D33" s="11"/>
      <c r="E33" s="1659"/>
    </row>
    <row r="34" spans="1:5">
      <c r="A34" s="475">
        <v>24</v>
      </c>
      <c r="B34" s="97"/>
      <c r="C34" s="97"/>
      <c r="D34" s="11"/>
      <c r="E34" s="1659"/>
    </row>
    <row r="35" spans="1:5">
      <c r="A35" s="475">
        <v>25</v>
      </c>
      <c r="B35" s="97"/>
      <c r="C35" s="97"/>
      <c r="D35" s="97"/>
      <c r="E35" s="1659"/>
    </row>
    <row r="36" spans="1:5">
      <c r="A36" s="475">
        <v>26</v>
      </c>
      <c r="B36" s="97"/>
      <c r="C36" s="97"/>
      <c r="D36" s="97"/>
      <c r="E36" s="1659"/>
    </row>
    <row r="37" spans="1:5">
      <c r="A37" s="475">
        <v>27</v>
      </c>
      <c r="B37" s="97"/>
      <c r="C37" s="97"/>
      <c r="D37" s="97"/>
      <c r="E37" s="1659"/>
    </row>
    <row r="38" spans="1:5">
      <c r="A38" s="475">
        <v>28</v>
      </c>
      <c r="B38" s="97"/>
      <c r="C38" s="97"/>
      <c r="D38" s="97"/>
      <c r="E38" s="1659"/>
    </row>
    <row r="39" spans="1:5">
      <c r="A39" s="475">
        <v>29</v>
      </c>
      <c r="B39" s="97"/>
      <c r="C39" s="97"/>
      <c r="D39" s="97"/>
      <c r="E39" s="1659"/>
    </row>
    <row r="40" spans="1:5">
      <c r="A40" s="475">
        <v>30</v>
      </c>
      <c r="B40" s="97"/>
      <c r="C40" s="97"/>
      <c r="D40" s="97"/>
      <c r="E40" s="1659"/>
    </row>
    <row r="41" spans="1:5">
      <c r="A41" s="475">
        <v>31</v>
      </c>
      <c r="B41" s="97"/>
      <c r="C41" s="97"/>
      <c r="D41" s="97"/>
      <c r="E41" s="1659"/>
    </row>
    <row r="42" spans="1:5">
      <c r="A42" s="475">
        <v>32</v>
      </c>
      <c r="B42" s="97"/>
      <c r="C42" s="97"/>
      <c r="D42" s="97"/>
      <c r="E42" s="1659"/>
    </row>
    <row r="43" spans="1:5">
      <c r="A43" s="475">
        <v>33</v>
      </c>
      <c r="B43" s="97"/>
      <c r="C43" s="97"/>
      <c r="D43" s="97"/>
      <c r="E43" s="1659"/>
    </row>
    <row r="44" spans="1:5">
      <c r="A44" s="475">
        <v>34</v>
      </c>
      <c r="B44" s="97"/>
      <c r="C44" s="97"/>
      <c r="D44" s="97"/>
      <c r="E44" s="1659"/>
    </row>
    <row r="45" spans="1:5">
      <c r="A45" s="475">
        <v>35</v>
      </c>
      <c r="B45" s="97"/>
      <c r="C45" s="97"/>
      <c r="D45" s="97"/>
      <c r="E45" s="1659"/>
    </row>
    <row r="46" spans="1:5">
      <c r="A46" s="475">
        <v>36</v>
      </c>
      <c r="B46" s="97"/>
      <c r="C46" s="97"/>
      <c r="D46" s="97"/>
      <c r="E46" s="1659"/>
    </row>
    <row r="47" spans="1:5">
      <c r="A47" s="475">
        <v>37</v>
      </c>
      <c r="B47" s="97"/>
      <c r="C47" s="97"/>
      <c r="D47" s="97"/>
      <c r="E47" s="1659"/>
    </row>
    <row r="48" spans="1:5">
      <c r="A48" s="475">
        <v>38</v>
      </c>
      <c r="B48" s="97"/>
      <c r="C48" s="97"/>
      <c r="D48" s="97"/>
      <c r="E48" s="1659"/>
    </row>
    <row r="49" spans="1:7">
      <c r="A49" s="475">
        <v>39</v>
      </c>
      <c r="B49" s="97"/>
      <c r="C49" s="97"/>
      <c r="D49" s="97"/>
      <c r="E49" s="1659"/>
    </row>
    <row r="50" spans="1:7">
      <c r="A50" s="475">
        <v>40</v>
      </c>
      <c r="B50" s="97"/>
      <c r="C50" s="97"/>
      <c r="D50" s="97"/>
      <c r="E50" s="1659"/>
    </row>
    <row r="51" spans="1:7">
      <c r="A51" s="475">
        <v>41</v>
      </c>
      <c r="B51" s="97"/>
      <c r="C51" s="97"/>
      <c r="D51" s="11"/>
      <c r="E51" s="1659"/>
    </row>
    <row r="52" spans="1:7">
      <c r="A52" s="475">
        <v>42</v>
      </c>
      <c r="B52" s="97"/>
      <c r="C52" s="97"/>
      <c r="D52" s="97"/>
      <c r="E52" s="1659"/>
    </row>
    <row r="53" spans="1:7">
      <c r="A53" s="475">
        <v>43</v>
      </c>
      <c r="B53" s="97"/>
      <c r="C53" s="97"/>
      <c r="D53" s="97"/>
      <c r="E53" s="1659"/>
    </row>
    <row r="54" spans="1:7" ht="14.25" customHeight="1">
      <c r="A54" s="475">
        <v>44</v>
      </c>
      <c r="B54" s="97"/>
      <c r="C54" s="97"/>
      <c r="D54" s="97"/>
      <c r="E54" s="1659"/>
    </row>
    <row r="55" spans="1:7">
      <c r="A55" s="475">
        <v>45</v>
      </c>
      <c r="B55" s="97"/>
      <c r="C55" s="97"/>
      <c r="D55" s="97"/>
      <c r="E55" s="1659"/>
    </row>
    <row r="56" spans="1:7">
      <c r="A56" s="475">
        <v>46</v>
      </c>
      <c r="B56" s="97"/>
      <c r="C56" s="97"/>
      <c r="D56" s="97"/>
      <c r="E56" s="1659"/>
    </row>
    <row r="57" spans="1:7">
      <c r="A57" s="475">
        <v>47</v>
      </c>
      <c r="B57" s="97"/>
      <c r="C57" s="97"/>
      <c r="D57" s="97"/>
      <c r="E57" s="1659"/>
    </row>
    <row r="58" spans="1:7">
      <c r="A58" s="475">
        <v>48</v>
      </c>
      <c r="B58" s="97"/>
      <c r="C58" s="97"/>
      <c r="D58" s="97"/>
      <c r="E58" s="1659"/>
    </row>
    <row r="59" spans="1:7" ht="15.75" thickBot="1">
      <c r="A59" s="1225">
        <v>49</v>
      </c>
      <c r="B59" s="124" t="s">
        <v>2951</v>
      </c>
      <c r="C59" s="124"/>
      <c r="D59" s="138"/>
      <c r="E59" s="439">
        <f>SUM(E8:E57)</f>
        <v>664253</v>
      </c>
      <c r="F59" s="1657"/>
    </row>
    <row r="60" spans="1:7">
      <c r="A60" s="11"/>
      <c r="B60" s="131"/>
      <c r="C60" s="11"/>
      <c r="D60" s="97"/>
      <c r="E60" s="97" t="s">
        <v>4066</v>
      </c>
      <c r="F60" s="1661"/>
      <c r="G60" s="1033" t="s">
        <v>4373</v>
      </c>
    </row>
    <row r="61" spans="1:7">
      <c r="A61" s="128" t="s">
        <v>3632</v>
      </c>
      <c r="B61" s="131"/>
      <c r="C61" s="128"/>
      <c r="D61" s="128"/>
      <c r="E61" s="128"/>
    </row>
    <row r="62" spans="1:7">
      <c r="A62" s="97"/>
      <c r="B62" s="131"/>
      <c r="C62" s="128"/>
      <c r="D62" s="97"/>
      <c r="E62" s="97"/>
      <c r="G62" s="1226"/>
    </row>
    <row r="64" spans="1:7" ht="15.75">
      <c r="A64" s="11"/>
      <c r="B64" s="484" t="s">
        <v>74</v>
      </c>
    </row>
    <row r="67" spans="1:5" ht="15.75" thickBot="1">
      <c r="A67" s="466"/>
    </row>
    <row r="68" spans="1:5">
      <c r="A68" s="142"/>
      <c r="B68" s="143"/>
      <c r="C68" s="143"/>
      <c r="D68" s="143"/>
      <c r="E68" s="144"/>
    </row>
    <row r="69" spans="1:5" ht="15.75">
      <c r="A69" s="130" t="s">
        <v>998</v>
      </c>
      <c r="B69" s="128"/>
      <c r="C69" s="128"/>
      <c r="D69" s="128"/>
      <c r="E69" s="145"/>
    </row>
    <row r="70" spans="1:5">
      <c r="A70" s="96"/>
      <c r="B70" s="97"/>
      <c r="C70" s="97"/>
      <c r="D70" s="97"/>
      <c r="E70" s="98"/>
    </row>
    <row r="71" spans="1:5">
      <c r="A71" s="520" t="s">
        <v>1129</v>
      </c>
      <c r="B71" s="375" t="s">
        <v>558</v>
      </c>
      <c r="C71" s="688"/>
      <c r="D71" s="688"/>
      <c r="E71" s="633" t="s">
        <v>430</v>
      </c>
    </row>
    <row r="72" spans="1:5">
      <c r="A72" s="521" t="s">
        <v>3324</v>
      </c>
      <c r="B72" s="134" t="s">
        <v>4032</v>
      </c>
      <c r="C72" s="146"/>
      <c r="D72" s="146"/>
      <c r="E72" s="414" t="s">
        <v>4033</v>
      </c>
    </row>
    <row r="73" spans="1:5">
      <c r="A73" s="444">
        <v>1</v>
      </c>
      <c r="B73" s="97"/>
      <c r="C73" s="97"/>
      <c r="D73" s="97"/>
      <c r="E73" s="479"/>
    </row>
    <row r="74" spans="1:5">
      <c r="A74" s="444">
        <v>2</v>
      </c>
      <c r="B74" s="97"/>
      <c r="C74" s="97"/>
      <c r="D74" s="97"/>
      <c r="E74" s="479"/>
    </row>
    <row r="75" spans="1:5">
      <c r="A75" s="444">
        <v>3</v>
      </c>
      <c r="B75" s="97"/>
      <c r="C75" s="97"/>
      <c r="D75" s="97"/>
      <c r="E75" s="479"/>
    </row>
    <row r="76" spans="1:5">
      <c r="A76" s="444">
        <v>4</v>
      </c>
      <c r="B76" s="97"/>
      <c r="C76" s="97"/>
      <c r="D76" s="97"/>
      <c r="E76" s="479"/>
    </row>
    <row r="77" spans="1:5">
      <c r="A77" s="444">
        <v>5</v>
      </c>
      <c r="B77" s="466"/>
      <c r="C77" s="466"/>
      <c r="D77" s="466"/>
      <c r="E77" s="479"/>
    </row>
    <row r="78" spans="1:5">
      <c r="A78" s="444">
        <v>6</v>
      </c>
      <c r="B78" s="97"/>
      <c r="C78" s="97"/>
      <c r="D78" s="97"/>
      <c r="E78" s="479"/>
    </row>
    <row r="79" spans="1:5">
      <c r="A79" s="444">
        <v>7</v>
      </c>
      <c r="B79" s="97"/>
      <c r="C79" s="97"/>
      <c r="D79" s="97"/>
      <c r="E79" s="479"/>
    </row>
    <row r="80" spans="1:5">
      <c r="A80" s="444">
        <v>8</v>
      </c>
      <c r="B80" s="97"/>
      <c r="C80" s="97"/>
      <c r="D80" s="97"/>
      <c r="E80" s="479"/>
    </row>
    <row r="81" spans="1:5">
      <c r="A81" s="444">
        <v>9</v>
      </c>
      <c r="B81" s="97"/>
      <c r="C81" s="97"/>
      <c r="D81" s="11"/>
      <c r="E81" s="479"/>
    </row>
    <row r="82" spans="1:5">
      <c r="A82" s="444">
        <v>10</v>
      </c>
      <c r="B82" s="97"/>
      <c r="C82" s="97"/>
      <c r="D82" s="97"/>
      <c r="E82" s="700"/>
    </row>
    <row r="83" spans="1:5">
      <c r="A83" s="444">
        <v>11</v>
      </c>
      <c r="B83" s="97"/>
      <c r="C83" s="97"/>
      <c r="D83" s="97"/>
      <c r="E83" s="700"/>
    </row>
    <row r="84" spans="1:5">
      <c r="A84" s="444">
        <v>12</v>
      </c>
      <c r="B84" s="97"/>
      <c r="C84" s="97"/>
      <c r="D84" s="97"/>
      <c r="E84" s="700"/>
    </row>
    <row r="85" spans="1:5">
      <c r="A85" s="444">
        <v>13</v>
      </c>
      <c r="B85" s="97"/>
      <c r="C85" s="97"/>
      <c r="D85" s="97"/>
      <c r="E85" s="700"/>
    </row>
    <row r="86" spans="1:5">
      <c r="A86" s="444">
        <v>14</v>
      </c>
      <c r="B86" s="97"/>
      <c r="C86" s="97"/>
      <c r="D86" s="97"/>
      <c r="E86" s="700"/>
    </row>
    <row r="87" spans="1:5">
      <c r="A87" s="444">
        <v>15</v>
      </c>
      <c r="B87" s="97"/>
      <c r="C87" s="97"/>
      <c r="D87" s="97"/>
      <c r="E87" s="700"/>
    </row>
    <row r="88" spans="1:5">
      <c r="A88" s="444">
        <v>16</v>
      </c>
      <c r="B88" s="97"/>
      <c r="C88" s="97"/>
      <c r="D88" s="97"/>
      <c r="E88" s="700"/>
    </row>
    <row r="89" spans="1:5">
      <c r="A89" s="444">
        <v>17</v>
      </c>
      <c r="B89" s="97"/>
      <c r="C89" s="97"/>
      <c r="D89" s="97"/>
      <c r="E89" s="700"/>
    </row>
    <row r="90" spans="1:5">
      <c r="A90" s="444">
        <v>18</v>
      </c>
      <c r="B90" s="97"/>
      <c r="C90" s="97"/>
      <c r="D90" s="97"/>
      <c r="E90" s="700"/>
    </row>
    <row r="91" spans="1:5">
      <c r="A91" s="444">
        <v>19</v>
      </c>
      <c r="B91" s="97"/>
      <c r="C91" s="97"/>
      <c r="D91" s="97"/>
      <c r="E91" s="700"/>
    </row>
    <row r="92" spans="1:5">
      <c r="A92" s="444">
        <v>20</v>
      </c>
      <c r="B92" s="97"/>
      <c r="C92" s="97"/>
      <c r="D92" s="97"/>
      <c r="E92" s="700"/>
    </row>
    <row r="93" spans="1:5">
      <c r="A93" s="444">
        <v>21</v>
      </c>
      <c r="B93" s="97"/>
      <c r="C93" s="97"/>
      <c r="D93" s="97"/>
      <c r="E93" s="700"/>
    </row>
    <row r="94" spans="1:5">
      <c r="A94" s="444">
        <v>22</v>
      </c>
      <c r="B94" s="97"/>
      <c r="C94" s="97"/>
      <c r="D94" s="11"/>
      <c r="E94" s="700"/>
    </row>
    <row r="95" spans="1:5">
      <c r="A95" s="444">
        <v>23</v>
      </c>
      <c r="B95" s="97"/>
      <c r="C95" s="97"/>
      <c r="D95" s="11"/>
      <c r="E95" s="700"/>
    </row>
    <row r="96" spans="1:5">
      <c r="A96" s="444">
        <v>24</v>
      </c>
      <c r="B96" s="97"/>
      <c r="C96" s="97"/>
      <c r="D96" s="97"/>
      <c r="E96" s="700"/>
    </row>
    <row r="97" spans="1:5">
      <c r="A97" s="444">
        <v>25</v>
      </c>
      <c r="B97" s="97"/>
      <c r="C97" s="97"/>
      <c r="D97" s="97"/>
      <c r="E97" s="700"/>
    </row>
    <row r="98" spans="1:5">
      <c r="A98" s="444">
        <v>26</v>
      </c>
      <c r="B98" s="97"/>
      <c r="C98" s="97"/>
      <c r="D98" s="97"/>
      <c r="E98" s="700"/>
    </row>
    <row r="99" spans="1:5">
      <c r="A99" s="444">
        <v>27</v>
      </c>
      <c r="B99" s="97"/>
      <c r="C99" s="97"/>
      <c r="D99" s="97"/>
      <c r="E99" s="700"/>
    </row>
    <row r="100" spans="1:5">
      <c r="A100" s="444">
        <v>28</v>
      </c>
      <c r="B100" s="97"/>
      <c r="C100" s="97"/>
      <c r="D100" s="97"/>
      <c r="E100" s="700"/>
    </row>
    <row r="101" spans="1:5">
      <c r="A101" s="444">
        <v>29</v>
      </c>
      <c r="B101" s="97"/>
      <c r="C101" s="97"/>
      <c r="D101" s="97"/>
      <c r="E101" s="700"/>
    </row>
    <row r="102" spans="1:5">
      <c r="A102" s="444">
        <v>30</v>
      </c>
      <c r="B102" s="97"/>
      <c r="C102" s="97"/>
      <c r="D102" s="97"/>
      <c r="E102" s="700"/>
    </row>
    <row r="103" spans="1:5">
      <c r="A103" s="444">
        <v>31</v>
      </c>
      <c r="B103" s="97"/>
      <c r="C103" s="97"/>
      <c r="D103" s="97"/>
      <c r="E103" s="700"/>
    </row>
    <row r="104" spans="1:5">
      <c r="A104" s="444">
        <v>32</v>
      </c>
      <c r="B104" s="97"/>
      <c r="C104" s="97"/>
      <c r="D104" s="97"/>
      <c r="E104" s="700"/>
    </row>
    <row r="105" spans="1:5">
      <c r="A105" s="444">
        <v>33</v>
      </c>
      <c r="B105" s="97"/>
      <c r="C105" s="97"/>
      <c r="D105" s="97"/>
      <c r="E105" s="700"/>
    </row>
    <row r="106" spans="1:5">
      <c r="A106" s="444">
        <v>34</v>
      </c>
      <c r="B106" s="97"/>
      <c r="C106" s="97"/>
      <c r="D106" s="97"/>
      <c r="E106" s="700"/>
    </row>
    <row r="107" spans="1:5">
      <c r="A107" s="444">
        <v>35</v>
      </c>
      <c r="B107" s="97"/>
      <c r="C107" s="97"/>
      <c r="D107" s="11"/>
      <c r="E107" s="700"/>
    </row>
    <row r="108" spans="1:5">
      <c r="A108" s="444">
        <v>36</v>
      </c>
      <c r="B108" s="97"/>
      <c r="C108" s="97"/>
      <c r="D108" s="97"/>
      <c r="E108" s="700"/>
    </row>
    <row r="109" spans="1:5">
      <c r="A109" s="444">
        <v>37</v>
      </c>
      <c r="B109" s="97"/>
      <c r="C109" s="97"/>
      <c r="D109" s="97"/>
      <c r="E109" s="700"/>
    </row>
    <row r="110" spans="1:5">
      <c r="A110" s="444">
        <v>38</v>
      </c>
      <c r="B110" s="97"/>
      <c r="C110" s="97"/>
      <c r="D110" s="97"/>
      <c r="E110" s="700"/>
    </row>
    <row r="111" spans="1:5">
      <c r="A111" s="444">
        <v>39</v>
      </c>
      <c r="B111" s="97"/>
      <c r="C111" s="97"/>
      <c r="D111" s="97"/>
      <c r="E111" s="700"/>
    </row>
    <row r="112" spans="1:5">
      <c r="A112" s="444">
        <v>40</v>
      </c>
      <c r="B112" s="97"/>
      <c r="C112" s="97"/>
      <c r="D112" s="97"/>
      <c r="E112" s="700"/>
    </row>
    <row r="113" spans="1:5">
      <c r="A113" s="444">
        <v>41</v>
      </c>
      <c r="B113" s="97"/>
      <c r="C113" s="97"/>
      <c r="D113" s="97"/>
      <c r="E113" s="700"/>
    </row>
    <row r="114" spans="1:5">
      <c r="A114" s="444">
        <v>42</v>
      </c>
      <c r="B114" s="97"/>
      <c r="C114" s="97"/>
      <c r="D114" s="97"/>
      <c r="E114" s="700"/>
    </row>
    <row r="115" spans="1:5">
      <c r="A115" s="444">
        <v>43</v>
      </c>
      <c r="B115" s="97"/>
      <c r="C115" s="97"/>
      <c r="D115" s="97"/>
      <c r="E115" s="700"/>
    </row>
    <row r="116" spans="1:5">
      <c r="A116" s="444">
        <v>44</v>
      </c>
      <c r="B116" s="97"/>
      <c r="C116" s="97"/>
      <c r="D116" s="97"/>
      <c r="E116" s="700"/>
    </row>
    <row r="117" spans="1:5">
      <c r="A117" s="444">
        <v>45</v>
      </c>
      <c r="B117" s="97"/>
      <c r="C117" s="97"/>
      <c r="D117" s="97"/>
      <c r="E117" s="700"/>
    </row>
    <row r="118" spans="1:5">
      <c r="A118" s="444">
        <v>46</v>
      </c>
      <c r="B118" s="97"/>
      <c r="C118" s="97"/>
      <c r="D118" s="97"/>
      <c r="E118" s="700"/>
    </row>
    <row r="119" spans="1:5">
      <c r="A119" s="444">
        <v>47</v>
      </c>
      <c r="B119" s="97"/>
      <c r="C119" s="97"/>
      <c r="D119" s="97"/>
      <c r="E119" s="700"/>
    </row>
    <row r="120" spans="1:5">
      <c r="A120" s="444">
        <v>48</v>
      </c>
      <c r="B120" s="97"/>
      <c r="C120" s="97"/>
      <c r="D120" s="11"/>
      <c r="E120" s="479"/>
    </row>
    <row r="121" spans="1:5" ht="15.75" thickBot="1">
      <c r="A121" s="480">
        <v>49</v>
      </c>
      <c r="B121" s="124"/>
      <c r="C121" s="124"/>
      <c r="D121" s="124"/>
      <c r="E121" s="1227"/>
    </row>
    <row r="122" spans="1:5">
      <c r="A122" s="97" t="s">
        <v>4066</v>
      </c>
      <c r="B122" s="131"/>
      <c r="C122" s="128"/>
      <c r="D122" s="97"/>
      <c r="E122" s="97"/>
    </row>
    <row r="123" spans="1:5">
      <c r="A123" s="128" t="s">
        <v>3442</v>
      </c>
      <c r="B123" s="131"/>
      <c r="C123" s="131"/>
      <c r="D123" s="131"/>
      <c r="E123" s="131"/>
    </row>
  </sheetData>
  <customSheetViews>
    <customSheetView guid="{1BA452AD-1A45-4D9C-9666-ADFFA6F2F567}" scale="70" colorId="22" showPageBreaks="1" fitToPage="1" printArea="1" view="pageBreakPreview">
      <selection activeCell="O25" sqref="O25"/>
      <pageMargins left="0.75" right="0.4" top="0.3" bottom="0.3" header="0.5" footer="0.5"/>
      <printOptions horizontalCentered="1" verticalCentered="1"/>
      <pageSetup scale="69" orientation="portrait" r:id="rId1"/>
      <headerFooter alignWithMargins="0"/>
    </customSheetView>
    <customSheetView guid="{EEF7ABD6-0F96-4791-B749-C06F707E7673}" scale="70" colorId="22" showPageBreaks="1" fitToPage="1" printArea="1" view="pageBreakPreview" showRuler="0">
      <selection activeCell="C47" sqref="C47"/>
      <pageMargins left="0.75" right="0.4" top="0.3" bottom="0.3" header="0.5" footer="0.5"/>
      <printOptions horizontalCentered="1" verticalCentered="1"/>
      <pageSetup scale="69" orientation="portrait" r:id="rId2"/>
      <headerFooter alignWithMargins="0"/>
    </customSheetView>
    <customSheetView guid="{A7D7DB3C-AFE6-468E-8C6B-9531F6711497}" scale="85" colorId="22" showPageBreaks="1" fitToPage="1" printArea="1" view="pageBreakPreview" showRuler="0">
      <selection activeCell="H26" sqref="H26"/>
      <pageMargins left="0.75" right="0.4" top="0.3" bottom="0.3" header="0.5" footer="0.5"/>
      <printOptions horizontalCentered="1" verticalCentered="1"/>
      <pageSetup scale="69" orientation="portrait" r:id="rId3"/>
      <headerFooter alignWithMargins="0"/>
    </customSheetView>
    <customSheetView guid="{4436FEB5-BFEC-4348-9286-CB706802873E}" scale="85" colorId="22" showPageBreaks="1" fitToPage="1" printArea="1" view="pageBreakPreview" showRuler="0" topLeftCell="C1">
      <selection activeCell="J16" sqref="J16"/>
      <pageMargins left="0.75" right="0.4" top="0.3" bottom="0.3" header="0.5" footer="0.5"/>
      <printOptions horizontalCentered="1" verticalCentered="1"/>
      <pageSetup scale="69" orientation="portrait" r:id="rId4"/>
      <headerFooter alignWithMargins="0"/>
    </customSheetView>
    <customSheetView guid="{044CF00C-469F-44B3-B2C4-9B4049CE70CB}" scale="75" colorId="22" fitToPage="1" showRuler="0">
      <selection activeCell="E17" sqref="E17"/>
      <pageMargins left="0.75" right="0.4" top="0.3" bottom="0.3" header="0.5" footer="0.5"/>
      <printOptions horizontalCentered="1" verticalCentered="1"/>
      <pageSetup scale="69" orientation="portrait" r:id="rId5"/>
      <headerFooter alignWithMargins="0"/>
    </customSheetView>
    <customSheetView guid="{4826FCC0-BDD6-4B2C-ACC6-ACE271DDF0E3}" scale="70" colorId="22" showPageBreaks="1" fitToPage="1" printArea="1" view="pageBreakPreview" showRuler="0">
      <selection activeCell="E21" sqref="E21"/>
      <pageMargins left="0.75" right="0.4" top="0.3" bottom="0.3" header="0.5" footer="0.5"/>
      <printOptions horizontalCentered="1" verticalCentered="1"/>
      <pageSetup scale="69" orientation="portrait" r:id="rId6"/>
      <headerFooter alignWithMargins="0"/>
    </customSheetView>
    <customSheetView guid="{EF376D10-23D6-4FE2-AB5B-4460D52CC93F}" scale="70" colorId="22" showPageBreaks="1" fitToPage="1" printArea="1" view="pageBreakPreview" showRuler="0">
      <selection activeCell="C47" sqref="C47"/>
      <pageMargins left="0.75" right="0.4" top="0.3" bottom="0.3" header="0.5" footer="0.5"/>
      <printOptions horizontalCentered="1" verticalCentered="1"/>
      <pageSetup scale="69" orientation="portrait" r:id="rId7"/>
      <headerFooter alignWithMargins="0"/>
    </customSheetView>
    <customSheetView guid="{1C046605-15CE-44F1-BFCD-2CA8588E7ACF}" scale="70" colorId="22" showPageBreaks="1" fitToPage="1" printArea="1" view="pageBreakPreview" showRuler="0">
      <selection activeCell="E46" sqref="E46"/>
      <pageMargins left="0.75" right="0.4" top="0.3" bottom="0.3" header="0.5" footer="0.5"/>
      <printOptions horizontalCentered="1" verticalCentered="1"/>
      <pageSetup scale="69" orientation="portrait" r:id="rId8"/>
      <headerFooter alignWithMargins="0"/>
    </customSheetView>
    <customSheetView guid="{3911D713-188C-46A1-A299-F21DD3B7A146}" scale="70" colorId="22" showPageBreaks="1" fitToPage="1" printArea="1" view="pageBreakPreview" showRuler="0">
      <selection activeCell="E46" sqref="E46"/>
      <pageMargins left="0.75" right="0.4" top="0.3" bottom="0.3" header="0.5" footer="0.5"/>
      <printOptions horizontalCentered="1" verticalCentered="1"/>
      <pageSetup scale="69" orientation="portrait" r:id="rId9"/>
      <headerFooter alignWithMargins="0"/>
    </customSheetView>
    <customSheetView guid="{78BB1E60-60BE-4F56-9763-075185EFEFAB}" scale="70" colorId="22" showPageBreaks="1" fitToPage="1" printArea="1" view="pageBreakPreview">
      <selection activeCell="D49" sqref="D49"/>
      <pageMargins left="0.75" right="0.4" top="0.3" bottom="0.3" header="0.5" footer="0.5"/>
      <printOptions horizontalCentered="1" verticalCentered="1"/>
      <pageSetup scale="69" orientation="portrait" r:id="rId10"/>
      <headerFooter alignWithMargins="0"/>
    </customSheetView>
    <customSheetView guid="{9C30803E-1E2D-4850-B0A5-591CA6F246A1}" scale="70" colorId="22" showPageBreaks="1" fitToPage="1" printArea="1" view="pageBreakPreview">
      <selection activeCell="D49" sqref="D49"/>
      <pageMargins left="0.75" right="0.4" top="0.3" bottom="0.3" header="0.5" footer="0.5"/>
      <printOptions horizontalCentered="1" verticalCentered="1"/>
      <pageSetup scale="69" orientation="portrait" r:id="rId11"/>
      <headerFooter alignWithMargins="0"/>
    </customSheetView>
    <customSheetView guid="{3B1006FF-A2CA-49E7-9B25-DAC8815279AF}" scale="70" colorId="22" showPageBreaks="1" fitToPage="1" printArea="1" view="pageBreakPreview">
      <selection activeCell="D49" sqref="D49"/>
      <pageMargins left="0.75" right="0.4" top="0.3" bottom="0.3" header="0.5" footer="0.5"/>
      <printOptions horizontalCentered="1" verticalCentered="1"/>
      <pageSetup scale="69" orientation="portrait" r:id="rId12"/>
      <headerFooter alignWithMargins="0"/>
    </customSheetView>
    <customSheetView guid="{FB1A60C8-E1F9-4DF0-8E0E-1C965F86027F}" scale="70" colorId="22" showPageBreaks="1" fitToPage="1" printArea="1" view="pageBreakPreview">
      <selection activeCell="D49" sqref="D49"/>
      <pageMargins left="0.75" right="0.4" top="0.3" bottom="0.3" header="0.5" footer="0.5"/>
      <printOptions horizontalCentered="1" verticalCentered="1"/>
      <pageSetup scale="69" orientation="portrait" r:id="rId13"/>
      <headerFooter alignWithMargins="0"/>
    </customSheetView>
    <customSheetView guid="{C5B6D812-CBE6-46AA-99F7-02494E9802B4}" scale="70" colorId="22" fitToPage="1" topLeftCell="C3">
      <selection activeCell="C10" sqref="C10"/>
      <pageMargins left="0.75" right="0.4" top="0.3" bottom="0.3" header="0.5" footer="0.5"/>
      <printOptions horizontalCentered="1" verticalCentered="1"/>
      <pageSetup scale="69" orientation="portrait" r:id="rId14"/>
      <headerFooter alignWithMargins="0"/>
    </customSheetView>
  </customSheetViews>
  <phoneticPr fontId="0" type="noConversion"/>
  <printOptions horizontalCentered="1" verticalCentered="1"/>
  <pageMargins left="0.75" right="0.4" top="0.3" bottom="0.3" header="0.5" footer="0.5"/>
  <pageSetup scale="69" orientation="portrait" r:id="rId15"/>
  <headerFooter alignWithMargins="0"/>
  <customProperties>
    <customPr name="_pios_id" r:id="rId16"/>
  </customProperties>
</worksheet>
</file>

<file path=xl/worksheets/sheet54.xml><?xml version="1.0" encoding="utf-8"?>
<worksheet xmlns="http://schemas.openxmlformats.org/spreadsheetml/2006/main" xmlns:r="http://schemas.openxmlformats.org/officeDocument/2006/relationships">
  <sheetPr transitionEvaluation="1" codeName="Sheet54">
    <pageSetUpPr fitToPage="1"/>
  </sheetPr>
  <dimension ref="A1:G139"/>
  <sheetViews>
    <sheetView defaultGridColor="0" colorId="22" zoomScale="75" zoomScaleNormal="75" zoomScaleSheetLayoutView="70" workbookViewId="0"/>
  </sheetViews>
  <sheetFormatPr defaultColWidth="9.77734375" defaultRowHeight="15"/>
  <cols>
    <col min="1" max="1" width="4.77734375" customWidth="1"/>
    <col min="2" max="2" width="40.77734375" customWidth="1"/>
    <col min="3" max="3" width="17.77734375" customWidth="1"/>
    <col min="4" max="4" width="16.77734375" customWidth="1"/>
    <col min="5" max="5" width="31.5546875" customWidth="1"/>
  </cols>
  <sheetData>
    <row r="1" spans="1:5" ht="15.75" thickBot="1">
      <c r="A1" s="186" t="str">
        <f>'Data sheet'!$A$61</f>
        <v>Annual Report of New York American Water Company, Inc. (f/k/a Long Island Water Corp)                                    Year Ended  December 31, 2013</v>
      </c>
    </row>
    <row r="2" spans="1:5">
      <c r="A2" s="90"/>
      <c r="B2" s="91"/>
      <c r="C2" s="91"/>
      <c r="D2" s="91"/>
      <c r="E2" s="92"/>
    </row>
    <row r="3" spans="1:5" ht="15.75">
      <c r="A3" s="130" t="s">
        <v>1306</v>
      </c>
      <c r="B3" s="128"/>
      <c r="C3" s="128"/>
      <c r="D3" s="128"/>
      <c r="E3" s="145"/>
    </row>
    <row r="4" spans="1:5">
      <c r="A4" s="108"/>
      <c r="B4" s="109"/>
      <c r="C4" s="97"/>
      <c r="D4" s="141"/>
      <c r="E4" s="294"/>
    </row>
    <row r="5" spans="1:5">
      <c r="A5" s="409"/>
      <c r="B5" s="97"/>
      <c r="C5" s="101"/>
      <c r="D5" s="101"/>
      <c r="E5" s="104"/>
    </row>
    <row r="6" spans="1:5">
      <c r="A6" s="121" t="s">
        <v>3883</v>
      </c>
      <c r="B6" s="97" t="s">
        <v>1425</v>
      </c>
      <c r="C6" s="97"/>
      <c r="D6" s="97"/>
      <c r="E6" s="98"/>
    </row>
    <row r="7" spans="1:5">
      <c r="A7" s="121"/>
      <c r="B7" s="97" t="s">
        <v>1426</v>
      </c>
      <c r="C7" s="97"/>
      <c r="D7" s="97"/>
      <c r="E7" s="98"/>
    </row>
    <row r="8" spans="1:5">
      <c r="A8" s="121"/>
      <c r="B8" s="97" t="s">
        <v>1427</v>
      </c>
      <c r="C8" s="97"/>
      <c r="D8" s="97"/>
      <c r="E8" s="98"/>
    </row>
    <row r="9" spans="1:5">
      <c r="A9" s="121"/>
      <c r="B9" s="97" t="s">
        <v>4462</v>
      </c>
      <c r="C9" s="97"/>
      <c r="D9" s="97"/>
      <c r="E9" s="98"/>
    </row>
    <row r="10" spans="1:5">
      <c r="A10" s="121" t="s">
        <v>2916</v>
      </c>
      <c r="B10" s="97" t="s">
        <v>413</v>
      </c>
      <c r="C10" s="97"/>
      <c r="D10" s="97"/>
      <c r="E10" s="98"/>
    </row>
    <row r="11" spans="1:5">
      <c r="A11" s="121"/>
      <c r="B11" s="97" t="s">
        <v>414</v>
      </c>
      <c r="C11" s="97"/>
      <c r="D11" s="97"/>
      <c r="E11" s="98"/>
    </row>
    <row r="12" spans="1:5">
      <c r="A12" s="121"/>
      <c r="B12" s="97" t="s">
        <v>3492</v>
      </c>
      <c r="C12" s="97"/>
      <c r="D12" s="97"/>
      <c r="E12" s="98"/>
    </row>
    <row r="13" spans="1:5">
      <c r="A13" s="121"/>
      <c r="B13" s="97" t="s">
        <v>1297</v>
      </c>
      <c r="C13" s="97"/>
      <c r="D13" s="97"/>
      <c r="E13" s="98"/>
    </row>
    <row r="14" spans="1:5">
      <c r="A14" s="121" t="s">
        <v>3164</v>
      </c>
      <c r="B14" s="97" t="s">
        <v>1398</v>
      </c>
      <c r="C14" s="97"/>
      <c r="D14" s="97"/>
      <c r="E14" s="98"/>
    </row>
    <row r="15" spans="1:5">
      <c r="A15" s="121"/>
      <c r="B15" s="97" t="s">
        <v>3856</v>
      </c>
      <c r="C15" s="97"/>
      <c r="D15" s="97"/>
      <c r="E15" s="98"/>
    </row>
    <row r="16" spans="1:5">
      <c r="A16" s="411"/>
      <c r="B16" s="109" t="s">
        <v>3857</v>
      </c>
      <c r="C16" s="109"/>
      <c r="D16" s="109"/>
      <c r="E16" s="112"/>
    </row>
    <row r="17" spans="1:5">
      <c r="A17" s="444" t="s">
        <v>1129</v>
      </c>
      <c r="B17" s="128" t="s">
        <v>3858</v>
      </c>
      <c r="C17" s="128"/>
      <c r="D17" s="128"/>
      <c r="E17" s="1126" t="s">
        <v>430</v>
      </c>
    </row>
    <row r="18" spans="1:5">
      <c r="A18" s="444" t="s">
        <v>3992</v>
      </c>
      <c r="B18" s="128" t="s">
        <v>4032</v>
      </c>
      <c r="C18" s="128"/>
      <c r="D18" s="128"/>
      <c r="E18" s="1126" t="s">
        <v>4033</v>
      </c>
    </row>
    <row r="19" spans="1:5">
      <c r="A19" s="521"/>
      <c r="B19" s="109"/>
      <c r="C19" s="109"/>
      <c r="D19" s="109"/>
      <c r="E19" s="171"/>
    </row>
    <row r="20" spans="1:5">
      <c r="A20" s="521">
        <v>1</v>
      </c>
      <c r="B20" s="109" t="s">
        <v>716</v>
      </c>
      <c r="C20" s="109"/>
      <c r="D20" s="109"/>
      <c r="E20" s="727"/>
    </row>
    <row r="21" spans="1:5">
      <c r="A21" s="521">
        <v>2</v>
      </c>
      <c r="B21" s="109" t="s">
        <v>717</v>
      </c>
      <c r="C21" s="109"/>
      <c r="D21" s="109"/>
      <c r="E21" s="1228"/>
    </row>
    <row r="22" spans="1:5">
      <c r="A22" s="521">
        <v>3</v>
      </c>
      <c r="B22" s="109"/>
      <c r="C22" s="109"/>
      <c r="D22" s="109"/>
      <c r="E22" s="1229"/>
    </row>
    <row r="23" spans="1:5" ht="15.75">
      <c r="A23" s="521">
        <v>4</v>
      </c>
      <c r="B23" s="1121" t="s">
        <v>1966</v>
      </c>
      <c r="C23" s="109"/>
      <c r="D23" s="109"/>
      <c r="E23" s="1230"/>
    </row>
    <row r="24" spans="1:5">
      <c r="A24" s="521">
        <v>5</v>
      </c>
      <c r="B24" s="109" t="s">
        <v>1967</v>
      </c>
      <c r="C24" s="109"/>
      <c r="D24" s="109"/>
      <c r="E24" s="1231"/>
    </row>
    <row r="25" spans="1:5">
      <c r="A25" s="521">
        <v>6</v>
      </c>
      <c r="B25" s="109"/>
      <c r="C25" s="109"/>
      <c r="D25" s="109"/>
      <c r="E25" s="482"/>
    </row>
    <row r="26" spans="1:5">
      <c r="A26" s="521">
        <v>7</v>
      </c>
      <c r="B26" s="109"/>
      <c r="C26" s="109"/>
      <c r="D26" s="109"/>
      <c r="E26" s="482"/>
    </row>
    <row r="27" spans="1:5">
      <c r="A27" s="521">
        <v>8</v>
      </c>
      <c r="B27" s="109"/>
      <c r="C27" s="109"/>
      <c r="D27" s="109"/>
      <c r="E27" s="479"/>
    </row>
    <row r="28" spans="1:5" ht="15.75">
      <c r="A28" s="521">
        <v>9</v>
      </c>
      <c r="B28" s="1232" t="s">
        <v>2316</v>
      </c>
      <c r="C28" s="109"/>
      <c r="D28" s="109"/>
      <c r="E28" s="1233"/>
    </row>
    <row r="29" spans="1:5">
      <c r="A29" s="521">
        <v>10</v>
      </c>
      <c r="B29" s="780" t="s">
        <v>2317</v>
      </c>
      <c r="C29" s="109"/>
      <c r="D29" s="109"/>
      <c r="E29" s="1234"/>
    </row>
    <row r="30" spans="1:5">
      <c r="A30" s="521">
        <v>11</v>
      </c>
      <c r="B30" s="780" t="s">
        <v>2318</v>
      </c>
      <c r="C30" s="109"/>
      <c r="D30" s="109"/>
      <c r="E30" s="482"/>
    </row>
    <row r="31" spans="1:5">
      <c r="A31" s="521">
        <v>12</v>
      </c>
      <c r="B31" s="780" t="s">
        <v>2319</v>
      </c>
      <c r="C31" s="109"/>
      <c r="D31" s="109"/>
      <c r="E31" s="482"/>
    </row>
    <row r="32" spans="1:5">
      <c r="A32" s="521">
        <v>13</v>
      </c>
      <c r="B32" s="780" t="s">
        <v>382</v>
      </c>
      <c r="C32" s="109"/>
      <c r="D32" s="109"/>
      <c r="E32" s="482"/>
    </row>
    <row r="33" spans="1:5">
      <c r="A33" s="521">
        <v>14</v>
      </c>
      <c r="B33" s="780" t="s">
        <v>383</v>
      </c>
      <c r="C33" s="109"/>
      <c r="D33" s="109"/>
      <c r="E33" s="482"/>
    </row>
    <row r="34" spans="1:5">
      <c r="A34" s="521">
        <v>15</v>
      </c>
      <c r="B34" s="780" t="s">
        <v>1376</v>
      </c>
      <c r="C34" s="109"/>
      <c r="D34" s="109"/>
      <c r="E34" s="479"/>
    </row>
    <row r="35" spans="1:5" ht="15.75">
      <c r="A35" s="521">
        <v>16</v>
      </c>
      <c r="B35" s="1232" t="s">
        <v>384</v>
      </c>
      <c r="C35" s="109"/>
      <c r="D35" s="109"/>
      <c r="E35" s="1235"/>
    </row>
    <row r="36" spans="1:5">
      <c r="A36" s="521">
        <v>17</v>
      </c>
      <c r="B36" s="780" t="s">
        <v>385</v>
      </c>
      <c r="C36" s="109"/>
      <c r="D36" s="109"/>
      <c r="E36" s="350"/>
    </row>
    <row r="37" spans="1:5">
      <c r="A37" s="521">
        <v>18</v>
      </c>
      <c r="B37" s="780"/>
      <c r="C37" s="109"/>
      <c r="D37" s="109"/>
      <c r="E37" s="482"/>
    </row>
    <row r="38" spans="1:5">
      <c r="A38" s="521">
        <v>19</v>
      </c>
      <c r="B38" s="780"/>
      <c r="C38" s="109"/>
      <c r="D38" s="109"/>
      <c r="E38" s="482"/>
    </row>
    <row r="39" spans="1:5">
      <c r="A39" s="521">
        <v>20</v>
      </c>
      <c r="B39" s="780"/>
      <c r="C39" s="109"/>
      <c r="D39" s="109"/>
      <c r="E39" s="482"/>
    </row>
    <row r="40" spans="1:5" ht="15.75">
      <c r="A40" s="521">
        <v>21</v>
      </c>
      <c r="B40" s="1232" t="s">
        <v>4478</v>
      </c>
      <c r="C40" s="109"/>
      <c r="D40" s="109"/>
      <c r="E40" s="1235"/>
    </row>
    <row r="41" spans="1:5">
      <c r="A41" s="521">
        <v>22</v>
      </c>
      <c r="B41" s="780" t="s">
        <v>323</v>
      </c>
      <c r="C41" s="109"/>
      <c r="D41" s="109"/>
      <c r="E41" s="1231"/>
    </row>
    <row r="42" spans="1:5">
      <c r="A42" s="521">
        <v>23</v>
      </c>
      <c r="B42" s="780" t="s">
        <v>2844</v>
      </c>
      <c r="C42" s="109"/>
      <c r="D42" s="109"/>
      <c r="E42" s="482"/>
    </row>
    <row r="43" spans="1:5">
      <c r="A43" s="521">
        <v>24</v>
      </c>
      <c r="B43" s="780" t="s">
        <v>373</v>
      </c>
      <c r="C43" s="109"/>
      <c r="D43" s="109"/>
      <c r="E43" s="482"/>
    </row>
    <row r="44" spans="1:5">
      <c r="A44" s="521">
        <v>25</v>
      </c>
      <c r="B44" s="780" t="s">
        <v>2845</v>
      </c>
      <c r="C44" s="109"/>
      <c r="D44" s="109"/>
      <c r="E44" s="482"/>
    </row>
    <row r="45" spans="1:5">
      <c r="A45" s="521">
        <v>26</v>
      </c>
      <c r="B45" s="780" t="s">
        <v>2846</v>
      </c>
      <c r="C45" s="109"/>
      <c r="D45" s="109"/>
      <c r="E45" s="482"/>
    </row>
    <row r="46" spans="1:5">
      <c r="A46" s="521">
        <v>27</v>
      </c>
      <c r="B46" s="780" t="s">
        <v>2847</v>
      </c>
      <c r="C46" s="109"/>
      <c r="D46" s="109"/>
      <c r="E46" s="432"/>
    </row>
    <row r="47" spans="1:5">
      <c r="A47" s="415">
        <v>28</v>
      </c>
      <c r="B47" s="780"/>
      <c r="C47" s="109"/>
      <c r="D47" s="109"/>
      <c r="E47" s="482"/>
    </row>
    <row r="48" spans="1:5">
      <c r="A48" s="521">
        <v>29</v>
      </c>
      <c r="B48" s="780" t="s">
        <v>2848</v>
      </c>
      <c r="C48" s="109"/>
      <c r="D48" s="109"/>
      <c r="E48" s="1236"/>
    </row>
    <row r="49" spans="1:7">
      <c r="A49" s="444">
        <v>30</v>
      </c>
      <c r="B49" s="119" t="s">
        <v>2935</v>
      </c>
      <c r="C49" s="97"/>
      <c r="D49" s="97"/>
      <c r="E49" s="479"/>
    </row>
    <row r="50" spans="1:7">
      <c r="A50" s="444">
        <v>31</v>
      </c>
      <c r="B50" s="119"/>
      <c r="C50" s="97"/>
      <c r="D50" s="97"/>
      <c r="E50" s="479"/>
    </row>
    <row r="51" spans="1:7">
      <c r="A51" s="444">
        <v>32</v>
      </c>
      <c r="B51" s="119" t="s">
        <v>2848</v>
      </c>
      <c r="C51" s="97"/>
      <c r="D51" s="97"/>
      <c r="E51" s="479"/>
    </row>
    <row r="52" spans="1:7">
      <c r="A52" s="444">
        <v>31</v>
      </c>
      <c r="B52" s="1237" t="s">
        <v>2936</v>
      </c>
      <c r="C52" s="97"/>
      <c r="D52" s="97" t="s">
        <v>4373</v>
      </c>
      <c r="E52" s="479"/>
    </row>
    <row r="53" spans="1:7">
      <c r="A53" s="444">
        <v>32</v>
      </c>
      <c r="B53" s="119"/>
      <c r="C53" s="97"/>
      <c r="D53" s="97" t="s">
        <v>4373</v>
      </c>
      <c r="E53" s="479"/>
    </row>
    <row r="54" spans="1:7">
      <c r="A54" s="444">
        <v>33</v>
      </c>
      <c r="B54" s="119" t="s">
        <v>2937</v>
      </c>
      <c r="C54" s="97"/>
      <c r="D54" s="97" t="s">
        <v>4373</v>
      </c>
      <c r="E54" s="479"/>
    </row>
    <row r="55" spans="1:7">
      <c r="A55" s="444">
        <v>34</v>
      </c>
      <c r="B55" s="119" t="s">
        <v>2938</v>
      </c>
      <c r="C55" s="97"/>
      <c r="D55" s="97"/>
      <c r="E55" s="672"/>
    </row>
    <row r="56" spans="1:7">
      <c r="A56" s="444">
        <v>35</v>
      </c>
      <c r="B56" s="119" t="s">
        <v>2939</v>
      </c>
      <c r="C56" s="97"/>
      <c r="D56" s="97"/>
      <c r="E56" s="479"/>
      <c r="F56" s="1029"/>
      <c r="G56" s="1029"/>
    </row>
    <row r="57" spans="1:7">
      <c r="A57" s="444">
        <v>36</v>
      </c>
      <c r="B57" s="119"/>
      <c r="C57" s="97"/>
      <c r="D57" s="97"/>
      <c r="E57" s="479"/>
    </row>
    <row r="58" spans="1:7">
      <c r="A58" s="444">
        <v>37</v>
      </c>
      <c r="B58" s="119"/>
      <c r="C58" s="97"/>
      <c r="D58" s="97"/>
      <c r="E58" s="479"/>
    </row>
    <row r="59" spans="1:7">
      <c r="A59" s="444">
        <v>38</v>
      </c>
      <c r="B59" s="119"/>
      <c r="C59" s="97"/>
      <c r="D59" s="97"/>
      <c r="E59" s="479"/>
    </row>
    <row r="60" spans="1:7" ht="20.25">
      <c r="A60" s="444">
        <v>39</v>
      </c>
      <c r="B60" s="119"/>
      <c r="C60" s="97"/>
      <c r="D60" s="97"/>
      <c r="E60" s="1238" t="s">
        <v>2237</v>
      </c>
    </row>
    <row r="61" spans="1:7" ht="20.25">
      <c r="A61" s="444">
        <v>40</v>
      </c>
      <c r="B61" s="119"/>
      <c r="C61" s="97"/>
      <c r="D61" s="97"/>
      <c r="E61" s="1238" t="s">
        <v>1209</v>
      </c>
    </row>
    <row r="62" spans="1:7">
      <c r="A62" s="444">
        <v>41</v>
      </c>
      <c r="B62" s="119"/>
      <c r="C62" s="97"/>
      <c r="D62" s="97"/>
      <c r="E62" s="479"/>
    </row>
    <row r="63" spans="1:7">
      <c r="A63" s="444">
        <v>42</v>
      </c>
      <c r="B63" s="119"/>
      <c r="C63" s="97"/>
      <c r="D63" s="97"/>
      <c r="E63" s="479"/>
    </row>
    <row r="64" spans="1:7">
      <c r="A64" s="444">
        <v>43</v>
      </c>
      <c r="B64" s="119"/>
      <c r="C64" s="97"/>
      <c r="D64" s="97"/>
      <c r="E64" s="479"/>
    </row>
    <row r="65" spans="1:5">
      <c r="A65" s="444">
        <v>44</v>
      </c>
      <c r="B65" s="119"/>
      <c r="C65" s="97"/>
      <c r="D65" s="97"/>
      <c r="E65" s="479"/>
    </row>
    <row r="66" spans="1:5" ht="15.75" thickBot="1">
      <c r="A66" s="480">
        <v>45</v>
      </c>
      <c r="B66" s="1239"/>
      <c r="C66" s="124"/>
      <c r="D66" s="124"/>
      <c r="E66" s="1227"/>
    </row>
    <row r="67" spans="1:5">
      <c r="A67" s="97" t="s">
        <v>4066</v>
      </c>
      <c r="B67" s="97"/>
      <c r="C67" s="97"/>
      <c r="D67" s="97"/>
    </row>
    <row r="68" spans="1:5">
      <c r="A68" s="128" t="s">
        <v>2940</v>
      </c>
      <c r="B68" s="128"/>
      <c r="C68" s="128"/>
      <c r="D68" s="128"/>
      <c r="E68" s="128"/>
    </row>
    <row r="69" spans="1:5">
      <c r="A69" s="97"/>
      <c r="B69" s="97"/>
      <c r="C69" s="97"/>
      <c r="D69" s="97"/>
      <c r="E69" s="97"/>
    </row>
    <row r="70" spans="1:5">
      <c r="A70" s="97"/>
      <c r="B70" s="97"/>
      <c r="C70" s="97"/>
      <c r="D70" s="97"/>
      <c r="E70" s="97"/>
    </row>
    <row r="71" spans="1:5" ht="15.75">
      <c r="A71" s="97"/>
      <c r="B71" s="484" t="s">
        <v>179</v>
      </c>
      <c r="C71" s="97"/>
      <c r="D71" s="97"/>
      <c r="E71" s="97"/>
    </row>
    <row r="72" spans="1:5">
      <c r="A72" s="97"/>
      <c r="B72" s="97"/>
      <c r="C72" s="97"/>
      <c r="D72" s="97"/>
      <c r="E72" s="97"/>
    </row>
    <row r="73" spans="1:5" ht="16.5" thickBot="1">
      <c r="A73" s="511"/>
      <c r="B73" s="97"/>
      <c r="C73" s="97"/>
      <c r="D73" s="141"/>
    </row>
    <row r="74" spans="1:5">
      <c r="A74" s="451"/>
      <c r="B74" s="143"/>
      <c r="C74" s="143"/>
      <c r="D74" s="143"/>
      <c r="E74" s="144"/>
    </row>
    <row r="75" spans="1:5" ht="15.75">
      <c r="A75" s="130" t="s">
        <v>1306</v>
      </c>
      <c r="B75" s="128"/>
      <c r="C75" s="128"/>
      <c r="D75" s="128"/>
      <c r="E75" s="145"/>
    </row>
    <row r="76" spans="1:5">
      <c r="A76" s="411"/>
      <c r="B76" s="109"/>
      <c r="C76" s="109"/>
      <c r="D76" s="109"/>
      <c r="E76" s="112"/>
    </row>
    <row r="77" spans="1:5">
      <c r="A77" s="121"/>
      <c r="B77" s="128" t="s">
        <v>3858</v>
      </c>
      <c r="C77" s="128"/>
      <c r="D77" s="128"/>
      <c r="E77" s="1126" t="s">
        <v>430</v>
      </c>
    </row>
    <row r="78" spans="1:5">
      <c r="A78" s="411"/>
      <c r="B78" s="146" t="s">
        <v>4032</v>
      </c>
      <c r="C78" s="146"/>
      <c r="D78" s="146"/>
      <c r="E78" s="1127" t="s">
        <v>4033</v>
      </c>
    </row>
    <row r="79" spans="1:5">
      <c r="A79" s="121"/>
      <c r="B79" s="97"/>
      <c r="C79" s="97"/>
      <c r="D79" s="97"/>
      <c r="E79" s="479"/>
    </row>
    <row r="80" spans="1:5">
      <c r="A80" s="121"/>
      <c r="B80" s="97"/>
      <c r="C80" s="97"/>
      <c r="D80" s="97"/>
      <c r="E80" s="479"/>
    </row>
    <row r="81" spans="1:5">
      <c r="A81" s="121"/>
      <c r="B81" s="97"/>
      <c r="C81" s="97"/>
      <c r="D81" s="97"/>
      <c r="E81" s="479"/>
    </row>
    <row r="82" spans="1:5">
      <c r="A82" s="121"/>
      <c r="B82" s="97"/>
      <c r="C82" s="97"/>
      <c r="D82" s="97"/>
      <c r="E82" s="479"/>
    </row>
    <row r="83" spans="1:5">
      <c r="A83" s="121"/>
      <c r="B83" s="97"/>
      <c r="C83" s="97"/>
      <c r="D83" s="97"/>
      <c r="E83" s="479"/>
    </row>
    <row r="84" spans="1:5">
      <c r="A84" s="121"/>
      <c r="B84" s="97"/>
      <c r="C84" s="97"/>
      <c r="D84" s="97"/>
      <c r="E84" s="479"/>
    </row>
    <row r="85" spans="1:5">
      <c r="A85" s="121"/>
      <c r="B85" s="97"/>
      <c r="C85" s="97"/>
      <c r="D85" s="97"/>
      <c r="E85" s="479"/>
    </row>
    <row r="86" spans="1:5">
      <c r="A86" s="121"/>
      <c r="B86" s="97"/>
      <c r="C86" s="97"/>
      <c r="D86" s="97"/>
      <c r="E86" s="479"/>
    </row>
    <row r="87" spans="1:5">
      <c r="A87" s="121"/>
      <c r="B87" s="97"/>
      <c r="C87" s="97"/>
      <c r="D87" s="97"/>
      <c r="E87" s="479"/>
    </row>
    <row r="88" spans="1:5">
      <c r="A88" s="121"/>
      <c r="B88" s="97"/>
      <c r="C88" s="97"/>
      <c r="D88" s="97"/>
      <c r="E88" s="479"/>
    </row>
    <row r="89" spans="1:5">
      <c r="A89" s="121"/>
      <c r="B89" s="97"/>
      <c r="C89" s="97"/>
      <c r="D89" s="97"/>
      <c r="E89" s="479"/>
    </row>
    <row r="90" spans="1:5">
      <c r="A90" s="121"/>
      <c r="B90" s="97"/>
      <c r="C90" s="97"/>
      <c r="D90" s="97"/>
      <c r="E90" s="479"/>
    </row>
    <row r="91" spans="1:5">
      <c r="A91" s="121"/>
      <c r="B91" s="128"/>
      <c r="C91" s="128"/>
      <c r="D91" s="128"/>
      <c r="E91" s="1240"/>
    </row>
    <row r="92" spans="1:5">
      <c r="A92" s="121"/>
      <c r="B92" s="128"/>
      <c r="C92" s="128"/>
      <c r="D92" s="128"/>
      <c r="E92" s="1240"/>
    </row>
    <row r="93" spans="1:5">
      <c r="A93" s="121"/>
      <c r="B93" s="97"/>
      <c r="C93" s="97"/>
      <c r="D93" s="97"/>
      <c r="E93" s="479"/>
    </row>
    <row r="94" spans="1:5">
      <c r="A94" s="121"/>
      <c r="B94" s="97"/>
      <c r="C94" s="97"/>
      <c r="D94" s="97"/>
      <c r="E94" s="479"/>
    </row>
    <row r="95" spans="1:5">
      <c r="A95" s="121"/>
      <c r="B95" s="97"/>
      <c r="C95" s="97"/>
      <c r="D95" s="97"/>
      <c r="E95" s="1241"/>
    </row>
    <row r="96" spans="1:5">
      <c r="A96" s="121"/>
      <c r="B96" s="97"/>
      <c r="C96" s="97"/>
      <c r="D96" s="97"/>
      <c r="E96" s="1242"/>
    </row>
    <row r="97" spans="1:5">
      <c r="A97" s="121"/>
      <c r="B97" s="97"/>
      <c r="C97" s="97"/>
      <c r="D97" s="97"/>
      <c r="E97" s="1242"/>
    </row>
    <row r="98" spans="1:5">
      <c r="A98" s="121"/>
      <c r="B98" s="97"/>
      <c r="C98" s="97"/>
      <c r="D98" s="97"/>
      <c r="E98" s="683"/>
    </row>
    <row r="99" spans="1:5">
      <c r="A99" s="121"/>
      <c r="B99" s="97"/>
      <c r="C99" s="97"/>
      <c r="D99" s="97"/>
      <c r="E99" s="1243"/>
    </row>
    <row r="100" spans="1:5">
      <c r="A100" s="121"/>
      <c r="B100" s="97"/>
      <c r="C100" s="97"/>
      <c r="D100" s="97"/>
      <c r="E100" s="1243"/>
    </row>
    <row r="101" spans="1:5">
      <c r="A101" s="121"/>
      <c r="B101" s="97"/>
      <c r="C101" s="97"/>
      <c r="D101" s="97"/>
      <c r="E101" s="1243"/>
    </row>
    <row r="102" spans="1:5">
      <c r="A102" s="121"/>
      <c r="B102" s="119"/>
      <c r="C102" s="97"/>
      <c r="D102" s="97"/>
      <c r="E102" s="1241"/>
    </row>
    <row r="103" spans="1:5">
      <c r="A103" s="121"/>
      <c r="B103" s="119"/>
      <c r="C103" s="97"/>
      <c r="D103" s="97"/>
      <c r="E103" s="1243"/>
    </row>
    <row r="104" spans="1:5">
      <c r="A104" s="121"/>
      <c r="B104" s="119"/>
      <c r="C104" s="97"/>
      <c r="D104" s="97"/>
      <c r="E104" s="1243"/>
    </row>
    <row r="105" spans="1:5">
      <c r="A105" s="121"/>
      <c r="B105" s="119"/>
      <c r="C105" s="97"/>
      <c r="D105" s="97"/>
      <c r="E105" s="1243"/>
    </row>
    <row r="106" spans="1:5">
      <c r="A106" s="121"/>
      <c r="B106" s="119"/>
      <c r="C106" s="97"/>
      <c r="D106" s="97"/>
      <c r="E106" s="1243"/>
    </row>
    <row r="107" spans="1:5">
      <c r="A107" s="121"/>
      <c r="B107" s="119"/>
      <c r="C107" s="97"/>
      <c r="D107" s="97"/>
      <c r="E107" s="1241"/>
    </row>
    <row r="108" spans="1:5">
      <c r="A108" s="121"/>
      <c r="B108" s="119"/>
      <c r="C108" s="97"/>
      <c r="D108" s="97"/>
      <c r="E108" s="1083"/>
    </row>
    <row r="109" spans="1:5">
      <c r="A109" s="121"/>
      <c r="B109" s="119"/>
      <c r="C109" s="97"/>
      <c r="D109" s="97"/>
      <c r="E109" s="1243"/>
    </row>
    <row r="110" spans="1:5">
      <c r="A110" s="121"/>
      <c r="B110" s="119"/>
      <c r="C110" s="97"/>
      <c r="D110" s="97"/>
      <c r="E110" s="1243"/>
    </row>
    <row r="111" spans="1:5">
      <c r="A111" s="121"/>
      <c r="B111" s="119"/>
      <c r="C111" s="97"/>
      <c r="D111" s="97"/>
      <c r="E111" s="1243"/>
    </row>
    <row r="112" spans="1:5">
      <c r="A112" s="121"/>
      <c r="B112" s="119"/>
      <c r="C112" s="97"/>
      <c r="D112" s="97"/>
      <c r="E112" s="1241"/>
    </row>
    <row r="113" spans="1:5">
      <c r="A113" s="121"/>
      <c r="B113" s="119"/>
      <c r="C113" s="97"/>
      <c r="D113" s="97"/>
      <c r="E113" s="683"/>
    </row>
    <row r="114" spans="1:5">
      <c r="A114" s="121"/>
      <c r="B114" s="119"/>
      <c r="C114" s="97"/>
      <c r="D114" s="97"/>
      <c r="E114" s="1243"/>
    </row>
    <row r="115" spans="1:5">
      <c r="A115" s="121"/>
      <c r="B115" s="119"/>
      <c r="C115" s="97"/>
      <c r="D115" s="97"/>
      <c r="E115" s="1243"/>
    </row>
    <row r="116" spans="1:5">
      <c r="A116" s="121"/>
      <c r="B116" s="119"/>
      <c r="C116" s="97"/>
      <c r="D116" s="97"/>
      <c r="E116" s="1243"/>
    </row>
    <row r="117" spans="1:5">
      <c r="A117" s="121"/>
      <c r="B117" s="119"/>
      <c r="C117" s="97"/>
      <c r="D117" s="97"/>
      <c r="E117" s="1243"/>
    </row>
    <row r="118" spans="1:5">
      <c r="A118" s="121"/>
      <c r="B118" s="119"/>
      <c r="C118" s="97"/>
      <c r="D118" s="97"/>
      <c r="E118" s="1243"/>
    </row>
    <row r="119" spans="1:5">
      <c r="A119" s="121"/>
      <c r="B119" s="119"/>
      <c r="C119" s="97"/>
      <c r="D119" s="97"/>
      <c r="E119" s="1243"/>
    </row>
    <row r="120" spans="1:5">
      <c r="A120" s="121"/>
      <c r="B120" s="119"/>
      <c r="C120" s="97"/>
      <c r="D120" s="97"/>
      <c r="E120" s="1243"/>
    </row>
    <row r="121" spans="1:5">
      <c r="A121" s="121"/>
      <c r="B121" s="119"/>
      <c r="C121" s="97"/>
      <c r="D121" s="97"/>
      <c r="E121" s="1243"/>
    </row>
    <row r="122" spans="1:5">
      <c r="A122" s="121"/>
      <c r="B122" s="119"/>
      <c r="C122" s="97"/>
      <c r="D122" s="97"/>
      <c r="E122" s="1243"/>
    </row>
    <row r="123" spans="1:5">
      <c r="A123" s="121"/>
      <c r="B123" s="119"/>
      <c r="C123" s="97"/>
      <c r="D123" s="97"/>
      <c r="E123" s="1243"/>
    </row>
    <row r="124" spans="1:5">
      <c r="A124" s="121"/>
      <c r="B124" s="119"/>
      <c r="C124" s="97"/>
      <c r="D124" s="97"/>
      <c r="E124" s="1243"/>
    </row>
    <row r="125" spans="1:5">
      <c r="A125" s="121"/>
      <c r="B125" s="119"/>
      <c r="C125" s="97"/>
      <c r="D125" s="97"/>
      <c r="E125" s="1243"/>
    </row>
    <row r="126" spans="1:5">
      <c r="A126" s="121"/>
      <c r="B126" s="119"/>
      <c r="C126" s="97"/>
      <c r="D126" s="97"/>
      <c r="E126" s="1243"/>
    </row>
    <row r="127" spans="1:5">
      <c r="A127" s="121"/>
      <c r="B127" s="119"/>
      <c r="C127" s="97"/>
      <c r="D127" s="97"/>
      <c r="E127" s="1243"/>
    </row>
    <row r="128" spans="1:5">
      <c r="A128" s="121"/>
      <c r="B128" s="119"/>
      <c r="C128" s="97"/>
      <c r="D128" s="97"/>
      <c r="E128" s="1243"/>
    </row>
    <row r="129" spans="1:5">
      <c r="A129" s="121"/>
      <c r="B129" s="119"/>
      <c r="C129" s="97"/>
      <c r="D129" s="97"/>
      <c r="E129" s="1243"/>
    </row>
    <row r="130" spans="1:5">
      <c r="A130" s="121"/>
      <c r="B130" s="119"/>
      <c r="C130" s="97"/>
      <c r="D130" s="97"/>
      <c r="E130" s="1243"/>
    </row>
    <row r="131" spans="1:5">
      <c r="A131" s="121"/>
      <c r="B131" s="119"/>
      <c r="C131" s="97"/>
      <c r="D131" s="97"/>
      <c r="E131" s="1243"/>
    </row>
    <row r="132" spans="1:5">
      <c r="A132" s="121"/>
      <c r="B132" s="119"/>
      <c r="C132" s="97"/>
      <c r="D132" s="97"/>
      <c r="E132" s="1243"/>
    </row>
    <row r="133" spans="1:5">
      <c r="A133" s="121"/>
      <c r="B133" s="119"/>
      <c r="C133" s="97"/>
      <c r="D133" s="97"/>
      <c r="E133" s="479"/>
    </row>
    <row r="134" spans="1:5">
      <c r="A134" s="121"/>
      <c r="B134" s="119"/>
      <c r="C134" s="97"/>
      <c r="D134" s="97"/>
      <c r="E134" s="479"/>
    </row>
    <row r="135" spans="1:5">
      <c r="A135" s="121"/>
      <c r="B135" s="119"/>
      <c r="C135" s="97"/>
      <c r="D135" s="97"/>
      <c r="E135" s="479"/>
    </row>
    <row r="136" spans="1:5">
      <c r="A136" s="121"/>
      <c r="B136" s="119"/>
      <c r="C136" s="97"/>
      <c r="D136" s="97"/>
      <c r="E136" s="479"/>
    </row>
    <row r="137" spans="1:5" ht="15.75" thickBot="1">
      <c r="A137" s="471"/>
      <c r="B137" s="1239"/>
      <c r="C137" s="124"/>
      <c r="D137" s="124"/>
      <c r="E137" s="1227"/>
    </row>
    <row r="138" spans="1:5">
      <c r="A138" s="97"/>
      <c r="B138" s="97"/>
      <c r="C138" s="97"/>
      <c r="D138" s="97"/>
      <c r="E138" s="97"/>
    </row>
    <row r="139" spans="1:5">
      <c r="A139" s="128" t="s">
        <v>485</v>
      </c>
      <c r="B139" s="128"/>
      <c r="C139" s="128"/>
      <c r="D139" s="128"/>
      <c r="E139" s="128"/>
    </row>
  </sheetData>
  <customSheetViews>
    <customSheetView guid="{1BA452AD-1A45-4D9C-9666-ADFFA6F2F567}" scale="60" colorId="22" showPageBreaks="1" fitToPage="1" printArea="1" view="pageBreakPreview">
      <selection activeCell="B27" sqref="B27"/>
      <rowBreaks count="1" manualBreakCount="1">
        <brk id="69" max="16383" man="1"/>
      </rowBreaks>
      <pageMargins left="0.75" right="0.4" top="0.3" bottom="0.3" header="0" footer="0"/>
      <printOptions horizontalCentered="1" verticalCentered="1"/>
      <pageSetup scale="64" orientation="portrait" r:id="rId1"/>
      <headerFooter alignWithMargins="0"/>
    </customSheetView>
    <customSheetView guid="{EEF7ABD6-0F96-4791-B749-C06F707E7673}" scale="60" colorId="22" showPageBreaks="1" fitToPage="1" printArea="1" view="pageBreakPreview" showRuler="0">
      <selection activeCell="I59" sqref="I59"/>
      <rowBreaks count="1" manualBreakCount="1">
        <brk id="69" max="16383" man="1"/>
      </rowBreaks>
      <pageMargins left="0.75" right="0.4" top="0.3" bottom="0.3" header="0" footer="0"/>
      <printOptions horizontalCentered="1" verticalCentered="1"/>
      <pageSetup scale="64" orientation="portrait" r:id="rId2"/>
      <headerFooter alignWithMargins="0"/>
    </customSheetView>
    <customSheetView guid="{A7D7DB3C-AFE6-468E-8C6B-9531F6711497}" scale="60" colorId="22" showPageBreaks="1" fitToPage="1" printArea="1" view="pageBreakPreview" showRuler="0" topLeftCell="A13">
      <selection activeCell="H5" sqref="H5"/>
      <rowBreaks count="1" manualBreakCount="1">
        <brk id="69" max="16383" man="1"/>
      </rowBreaks>
      <pageMargins left="0.75" right="0.4" top="0.3" bottom="0.3" header="0" footer="0"/>
      <printOptions horizontalCentered="1" verticalCentered="1"/>
      <pageSetup scale="70" orientation="portrait" r:id="rId3"/>
      <headerFooter alignWithMargins="0"/>
    </customSheetView>
    <customSheetView guid="{4436FEB5-BFEC-4348-9286-CB706802873E}" scale="60" colorId="22" showPageBreaks="1" fitToPage="1" printArea="1" view="pageBreakPreview" showRuler="0">
      <selection activeCell="H5" sqref="H5"/>
      <rowBreaks count="1" manualBreakCount="1">
        <brk id="69" max="16383" man="1"/>
      </rowBreaks>
      <pageMargins left="0.75" right="0.4" top="0.3" bottom="0.3" header="0" footer="0"/>
      <printOptions horizontalCentered="1" verticalCentered="1"/>
      <pageSetup scale="70" orientation="portrait" r:id="rId4"/>
      <headerFooter alignWithMargins="0"/>
    </customSheetView>
    <customSheetView guid="{044CF00C-469F-44B3-B2C4-9B4049CE70CB}" scale="75" colorId="22" fitToPage="1" showRuler="0" topLeftCell="A61">
      <selection activeCell="E33" sqref="E33"/>
      <rowBreaks count="1" manualBreakCount="1">
        <brk id="69" max="16383" man="1"/>
      </rowBreaks>
      <pageMargins left="0.75" right="0.4" top="0.3" bottom="0.3" header="0" footer="0"/>
      <printOptions horizontalCentered="1" verticalCentered="1"/>
      <pageSetup scale="70" orientation="portrait" r:id="rId5"/>
      <headerFooter alignWithMargins="0"/>
    </customSheetView>
    <customSheetView guid="{4826FCC0-BDD6-4B2C-ACC6-ACE271DDF0E3}" scale="60" colorId="22" showPageBreaks="1" fitToPage="1" printArea="1" view="pageBreakPreview" showRuler="0">
      <selection activeCell="I59" sqref="I59"/>
      <rowBreaks count="1" manualBreakCount="1">
        <brk id="69" max="16383" man="1"/>
      </rowBreaks>
      <pageMargins left="0.75" right="0.4" top="0.3" bottom="0.3" header="0" footer="0"/>
      <printOptions horizontalCentered="1" verticalCentered="1"/>
      <pageSetup scale="64" orientation="portrait" r:id="rId6"/>
      <headerFooter alignWithMargins="0"/>
    </customSheetView>
    <customSheetView guid="{EF376D10-23D6-4FE2-AB5B-4460D52CC93F}" scale="60" colorId="22" showPageBreaks="1" fitToPage="1" printArea="1" view="pageBreakPreview" showRuler="0">
      <selection activeCell="I59" sqref="I59"/>
      <rowBreaks count="1" manualBreakCount="1">
        <brk id="69" max="16383" man="1"/>
      </rowBreaks>
      <pageMargins left="0.75" right="0.4" top="0.3" bottom="0.3" header="0" footer="0"/>
      <printOptions horizontalCentered="1" verticalCentered="1"/>
      <pageSetup scale="64" orientation="portrait" r:id="rId7"/>
      <headerFooter alignWithMargins="0"/>
    </customSheetView>
    <customSheetView guid="{1C046605-15CE-44F1-BFCD-2CA8588E7ACF}" scale="60" colorId="22" showPageBreaks="1" fitToPage="1" printArea="1" view="pageBreakPreview" showRuler="0">
      <selection activeCell="B20" sqref="B20"/>
      <rowBreaks count="1" manualBreakCount="1">
        <brk id="69" max="16383" man="1"/>
      </rowBreaks>
      <pageMargins left="0.75" right="0.4" top="0.3" bottom="0.3" header="0" footer="0"/>
      <printOptions horizontalCentered="1" verticalCentered="1"/>
      <pageSetup scale="64" orientation="portrait" r:id="rId8"/>
      <headerFooter alignWithMargins="0"/>
    </customSheetView>
    <customSheetView guid="{3911D713-188C-46A1-A299-F21DD3B7A146}" scale="60" colorId="22" showPageBreaks="1" fitToPage="1" printArea="1" view="pageBreakPreview" showRuler="0" topLeftCell="A19">
      <selection activeCell="B20" sqref="B20"/>
      <rowBreaks count="1" manualBreakCount="1">
        <brk id="69" max="16383" man="1"/>
      </rowBreaks>
      <pageMargins left="0.75" right="0.4" top="0.3" bottom="0.3" header="0" footer="0"/>
      <printOptions horizontalCentered="1" verticalCentered="1"/>
      <pageSetup scale="64" orientation="portrait" r:id="rId9"/>
      <headerFooter alignWithMargins="0"/>
    </customSheetView>
    <customSheetView guid="{78BB1E60-60BE-4F56-9763-075185EFEFAB}" scale="60" colorId="22" showPageBreaks="1" fitToPage="1" printArea="1" view="pageBreakPreview">
      <selection activeCell="B27" sqref="B27"/>
      <rowBreaks count="1" manualBreakCount="1">
        <brk id="69" max="16383" man="1"/>
      </rowBreaks>
      <pageMargins left="0.75" right="0.4" top="0.3" bottom="0.3" header="0" footer="0"/>
      <printOptions horizontalCentered="1" verticalCentered="1"/>
      <pageSetup scale="64" orientation="portrait" r:id="rId10"/>
      <headerFooter alignWithMargins="0"/>
    </customSheetView>
    <customSheetView guid="{9C30803E-1E2D-4850-B0A5-591CA6F246A1}" scale="60" colorId="22" showPageBreaks="1" fitToPage="1" printArea="1" view="pageBreakPreview">
      <selection activeCell="B27" sqref="B27"/>
      <rowBreaks count="1" manualBreakCount="1">
        <brk id="69" max="16383" man="1"/>
      </rowBreaks>
      <pageMargins left="0.75" right="0.4" top="0.3" bottom="0.3" header="0" footer="0"/>
      <printOptions horizontalCentered="1" verticalCentered="1"/>
      <pageSetup scale="64" orientation="portrait" r:id="rId11"/>
      <headerFooter alignWithMargins="0"/>
    </customSheetView>
    <customSheetView guid="{3B1006FF-A2CA-49E7-9B25-DAC8815279AF}" scale="60" colorId="22" showPageBreaks="1" fitToPage="1" printArea="1" view="pageBreakPreview">
      <selection activeCell="B27" sqref="B27"/>
      <rowBreaks count="1" manualBreakCount="1">
        <brk id="69" max="16383" man="1"/>
      </rowBreaks>
      <pageMargins left="0.75" right="0.4" top="0.3" bottom="0.3" header="0" footer="0"/>
      <printOptions horizontalCentered="1" verticalCentered="1"/>
      <pageSetup scale="64" orientation="portrait" r:id="rId12"/>
      <headerFooter alignWithMargins="0"/>
    </customSheetView>
    <customSheetView guid="{FB1A60C8-E1F9-4DF0-8E0E-1C965F86027F}" scale="60" colorId="22" showPageBreaks="1" fitToPage="1" printArea="1" view="pageBreakPreview">
      <selection activeCell="B27" sqref="B27"/>
      <rowBreaks count="1" manualBreakCount="1">
        <brk id="69" max="16383" man="1"/>
      </rowBreaks>
      <pageMargins left="0.75" right="0.4" top="0.3" bottom="0.3" header="0" footer="0"/>
      <printOptions horizontalCentered="1" verticalCentered="1"/>
      <pageSetup scale="64" orientation="portrait" r:id="rId13"/>
      <headerFooter alignWithMargins="0"/>
    </customSheetView>
    <customSheetView guid="{C5B6D812-CBE6-46AA-99F7-02494E9802B4}" scale="70" colorId="22" showPageBreaks="1" fitToPage="1" printArea="1" view="pageBreakPreview" topLeftCell="A5">
      <selection activeCell="C10" sqref="C10"/>
      <rowBreaks count="1" manualBreakCount="1">
        <brk id="69" max="16383" man="1"/>
      </rowBreaks>
      <pageMargins left="0.75" right="0.4" top="0.3" bottom="0.3" header="0" footer="0"/>
      <printOptions horizontalCentered="1" verticalCentered="1"/>
      <pageSetup scale="64" orientation="portrait" r:id="rId14"/>
      <headerFooter alignWithMargins="0"/>
    </customSheetView>
  </customSheetViews>
  <phoneticPr fontId="0" type="noConversion"/>
  <printOptions horizontalCentered="1" verticalCentered="1"/>
  <pageMargins left="0.75" right="0.4" top="0.3" bottom="0.3" header="0" footer="0"/>
  <pageSetup scale="64" orientation="portrait" r:id="rId15"/>
  <headerFooter alignWithMargins="0"/>
  <rowBreaks count="1" manualBreakCount="1">
    <brk id="69" max="16383" man="1"/>
  </rowBreaks>
  <customProperties>
    <customPr name="_pios_id" r:id="rId16"/>
  </customProperties>
</worksheet>
</file>

<file path=xl/worksheets/sheet55.xml><?xml version="1.0" encoding="utf-8"?>
<worksheet xmlns="http://schemas.openxmlformats.org/spreadsheetml/2006/main" xmlns:r="http://schemas.openxmlformats.org/officeDocument/2006/relationships">
  <sheetPr enableFormatConditionsCalculation="0">
    <pageSetUpPr fitToPage="1"/>
  </sheetPr>
  <dimension ref="A1:Y152"/>
  <sheetViews>
    <sheetView zoomScale="70" zoomScaleNormal="70" workbookViewId="0"/>
  </sheetViews>
  <sheetFormatPr defaultColWidth="9.77734375" defaultRowHeight="14.25"/>
  <cols>
    <col min="1" max="1" width="5.77734375" style="1745" customWidth="1"/>
    <col min="2" max="4" width="14.21875" style="1745" customWidth="1"/>
    <col min="5" max="5" width="3.77734375" style="1745" customWidth="1"/>
    <col min="6" max="7" width="11.21875" style="1745" customWidth="1"/>
    <col min="8" max="8" width="6.88671875" style="1745" customWidth="1"/>
    <col min="9" max="9" width="15.109375" style="1745" customWidth="1"/>
    <col min="10" max="10" width="4.88671875" style="1745" customWidth="1"/>
    <col min="11" max="11" width="13.88671875" style="1745" bestFit="1" customWidth="1"/>
    <col min="12" max="12" width="9.77734375" style="1745"/>
    <col min="13" max="13" width="11.33203125" style="1745" bestFit="1" customWidth="1"/>
    <col min="14" max="14" width="9.77734375" style="1745"/>
    <col min="15" max="15" width="12.77734375" style="1745" bestFit="1" customWidth="1"/>
    <col min="16" max="17" width="9.77734375" style="1745"/>
    <col min="18" max="18" width="11.88671875" style="1745" bestFit="1" customWidth="1"/>
    <col min="19" max="19" width="12.77734375" style="1745" bestFit="1" customWidth="1"/>
    <col min="20" max="16384" width="9.77734375" style="1745"/>
  </cols>
  <sheetData>
    <row r="1" spans="1:25">
      <c r="A1" s="186" t="str">
        <f>'Data sheet'!$A$53</f>
        <v>Annual Report of New York American Water Company, Inc. (f/k/a Long Island Water Corp)                                   Year Ended  December 31, 2013</v>
      </c>
    </row>
    <row r="2" spans="1:25">
      <c r="A2" s="3067" t="s">
        <v>1210</v>
      </c>
      <c r="B2" s="3067"/>
      <c r="C2" s="3067"/>
      <c r="D2" s="3067"/>
      <c r="E2" s="3067"/>
      <c r="F2" s="3067"/>
      <c r="G2" s="3067"/>
      <c r="H2" s="3067"/>
      <c r="I2" s="3067"/>
      <c r="J2" s="1953"/>
    </row>
    <row r="3" spans="1:25" ht="15">
      <c r="A3" s="3067" t="s">
        <v>3521</v>
      </c>
      <c r="B3" s="3067"/>
      <c r="C3" s="3067"/>
      <c r="D3" s="3067"/>
      <c r="E3" s="3067"/>
      <c r="F3" s="3067"/>
      <c r="G3" s="3067"/>
      <c r="H3" s="3067"/>
      <c r="I3" s="3067"/>
      <c r="J3" s="1953"/>
      <c r="L3"/>
      <c r="M3"/>
      <c r="N3"/>
      <c r="O3"/>
      <c r="P3"/>
      <c r="Q3"/>
      <c r="R3"/>
      <c r="S3"/>
      <c r="T3"/>
      <c r="U3"/>
      <c r="V3"/>
      <c r="W3"/>
      <c r="X3"/>
      <c r="Y3"/>
    </row>
    <row r="4" spans="1:25" ht="15">
      <c r="L4"/>
      <c r="M4"/>
      <c r="N4"/>
      <c r="O4"/>
      <c r="P4"/>
      <c r="Q4"/>
      <c r="R4"/>
      <c r="S4"/>
      <c r="T4"/>
      <c r="U4"/>
      <c r="V4"/>
      <c r="W4"/>
      <c r="X4"/>
      <c r="Y4"/>
    </row>
    <row r="5" spans="1:25" ht="15">
      <c r="A5" s="1746" t="s">
        <v>479</v>
      </c>
      <c r="B5" s="1747" t="s">
        <v>1647</v>
      </c>
      <c r="C5" s="1747"/>
      <c r="D5" s="1747"/>
      <c r="E5" s="1747"/>
      <c r="F5" s="1747"/>
      <c r="G5" s="1747"/>
      <c r="H5" s="1747"/>
      <c r="I5" s="1748"/>
      <c r="J5" s="1356"/>
      <c r="L5"/>
      <c r="M5"/>
      <c r="N5"/>
      <c r="O5"/>
      <c r="P5"/>
      <c r="Q5"/>
      <c r="R5"/>
      <c r="S5"/>
      <c r="T5"/>
      <c r="U5"/>
      <c r="V5"/>
      <c r="W5"/>
      <c r="X5"/>
      <c r="Y5"/>
    </row>
    <row r="6" spans="1:25" ht="15">
      <c r="A6" s="829"/>
      <c r="B6" s="406" t="s">
        <v>1668</v>
      </c>
      <c r="C6" s="406"/>
      <c r="D6" s="406"/>
      <c r="E6" s="406"/>
      <c r="F6" s="406"/>
      <c r="G6" s="406"/>
      <c r="H6" s="406"/>
      <c r="I6" s="1749"/>
      <c r="J6" s="1356"/>
      <c r="L6"/>
      <c r="M6"/>
      <c r="N6"/>
      <c r="O6"/>
      <c r="P6"/>
      <c r="Q6"/>
      <c r="R6"/>
      <c r="S6"/>
      <c r="T6"/>
      <c r="U6"/>
      <c r="V6"/>
      <c r="W6"/>
      <c r="X6"/>
      <c r="Y6"/>
    </row>
    <row r="7" spans="1:25" ht="15">
      <c r="A7" s="829"/>
      <c r="B7" s="406" t="s">
        <v>1669</v>
      </c>
      <c r="C7" s="406"/>
      <c r="D7" s="406"/>
      <c r="E7" s="406"/>
      <c r="F7" s="406"/>
      <c r="G7" s="406"/>
      <c r="H7" s="406"/>
      <c r="I7" s="1749"/>
      <c r="J7" s="1356"/>
      <c r="L7"/>
      <c r="M7"/>
      <c r="N7"/>
      <c r="O7"/>
      <c r="P7"/>
      <c r="Q7"/>
      <c r="R7"/>
      <c r="S7"/>
      <c r="T7"/>
      <c r="U7"/>
      <c r="V7"/>
      <c r="W7"/>
      <c r="X7"/>
      <c r="Y7"/>
    </row>
    <row r="8" spans="1:25" ht="15">
      <c r="A8" s="829"/>
      <c r="B8" s="406" t="s">
        <v>1670</v>
      </c>
      <c r="C8" s="406"/>
      <c r="D8" s="406"/>
      <c r="E8" s="406"/>
      <c r="F8" s="406"/>
      <c r="G8" s="406"/>
      <c r="H8" s="406"/>
      <c r="I8" s="1749"/>
      <c r="J8" s="1356"/>
      <c r="L8"/>
      <c r="M8"/>
      <c r="N8"/>
      <c r="O8"/>
      <c r="P8"/>
      <c r="Q8"/>
      <c r="R8"/>
      <c r="S8"/>
      <c r="T8"/>
      <c r="U8"/>
      <c r="V8"/>
      <c r="W8"/>
      <c r="X8"/>
      <c r="Y8"/>
    </row>
    <row r="9" spans="1:25" ht="15">
      <c r="A9" s="829" t="s">
        <v>2916</v>
      </c>
      <c r="B9" s="406" t="s">
        <v>1671</v>
      </c>
      <c r="C9" s="406"/>
      <c r="D9" s="406"/>
      <c r="E9" s="406"/>
      <c r="F9" s="406"/>
      <c r="G9" s="406"/>
      <c r="H9" s="406"/>
      <c r="I9" s="1749"/>
      <c r="J9" s="1356"/>
      <c r="L9"/>
      <c r="M9"/>
      <c r="N9"/>
      <c r="O9"/>
      <c r="P9"/>
      <c r="Q9"/>
      <c r="R9"/>
      <c r="S9"/>
      <c r="T9"/>
      <c r="U9"/>
      <c r="V9"/>
      <c r="W9"/>
      <c r="X9"/>
      <c r="Y9"/>
    </row>
    <row r="10" spans="1:25" ht="15">
      <c r="A10" s="1750"/>
      <c r="B10" s="406" t="s">
        <v>465</v>
      </c>
      <c r="C10" s="406"/>
      <c r="D10" s="406"/>
      <c r="E10" s="406"/>
      <c r="F10" s="406"/>
      <c r="G10" s="406"/>
      <c r="H10" s="406"/>
      <c r="I10" s="1749"/>
      <c r="J10" s="1356"/>
      <c r="L10"/>
      <c r="M10"/>
      <c r="N10"/>
      <c r="O10"/>
      <c r="P10"/>
      <c r="Q10"/>
      <c r="R10"/>
      <c r="S10"/>
      <c r="T10"/>
      <c r="U10"/>
      <c r="V10"/>
      <c r="W10"/>
      <c r="X10"/>
      <c r="Y10"/>
    </row>
    <row r="11" spans="1:25" ht="15">
      <c r="A11" s="1750"/>
      <c r="B11" s="406" t="s">
        <v>466</v>
      </c>
      <c r="C11" s="406"/>
      <c r="D11" s="406"/>
      <c r="E11" s="406"/>
      <c r="F11" s="406"/>
      <c r="G11" s="406"/>
      <c r="H11" s="406"/>
      <c r="I11" s="1749"/>
      <c r="J11" s="1749"/>
      <c r="L11"/>
      <c r="M11"/>
      <c r="N11"/>
      <c r="O11"/>
      <c r="P11"/>
      <c r="Q11"/>
      <c r="R11"/>
      <c r="S11"/>
      <c r="T11"/>
      <c r="U11"/>
      <c r="V11"/>
      <c r="W11"/>
      <c r="X11"/>
      <c r="Y11"/>
    </row>
    <row r="12" spans="1:25" ht="15">
      <c r="A12" s="1750"/>
      <c r="B12" s="406" t="s">
        <v>467</v>
      </c>
      <c r="C12" s="406"/>
      <c r="D12" s="406"/>
      <c r="E12" s="406"/>
      <c r="F12" s="406"/>
      <c r="G12" s="406"/>
      <c r="H12" s="406"/>
      <c r="I12" s="1749"/>
      <c r="J12" s="1356"/>
      <c r="L12"/>
      <c r="M12"/>
      <c r="N12"/>
      <c r="O12"/>
      <c r="P12"/>
      <c r="Q12"/>
      <c r="R12"/>
      <c r="S12"/>
      <c r="T12"/>
      <c r="U12"/>
      <c r="V12"/>
      <c r="W12"/>
      <c r="X12"/>
      <c r="Y12"/>
    </row>
    <row r="13" spans="1:25" ht="15">
      <c r="A13" s="1750"/>
      <c r="B13" s="406" t="s">
        <v>470</v>
      </c>
      <c r="C13" s="406"/>
      <c r="D13" s="406"/>
      <c r="E13" s="406"/>
      <c r="F13" s="406"/>
      <c r="G13" s="406"/>
      <c r="H13" s="406"/>
      <c r="I13" s="1749"/>
      <c r="J13" s="1356"/>
      <c r="L13"/>
      <c r="M13"/>
      <c r="N13"/>
      <c r="O13"/>
      <c r="P13"/>
      <c r="Q13"/>
      <c r="R13"/>
      <c r="S13"/>
      <c r="T13"/>
      <c r="U13"/>
      <c r="V13"/>
      <c r="W13"/>
      <c r="X13"/>
      <c r="Y13"/>
    </row>
    <row r="14" spans="1:25" ht="15">
      <c r="A14" s="1750"/>
      <c r="B14" s="406"/>
      <c r="C14" s="406"/>
      <c r="D14" s="406"/>
      <c r="E14" s="406"/>
      <c r="F14" s="406"/>
      <c r="G14" s="406"/>
      <c r="H14" s="406"/>
      <c r="I14" s="1749"/>
      <c r="J14" s="1356"/>
      <c r="L14"/>
      <c r="M14"/>
      <c r="N14"/>
      <c r="O14"/>
      <c r="P14"/>
      <c r="Q14"/>
      <c r="R14"/>
      <c r="S14"/>
      <c r="T14"/>
      <c r="U14"/>
      <c r="V14"/>
      <c r="W14"/>
      <c r="X14"/>
      <c r="Y14"/>
    </row>
    <row r="15" spans="1:25" ht="15">
      <c r="A15" s="1751" t="s">
        <v>471</v>
      </c>
      <c r="B15" s="1752"/>
      <c r="C15" s="1752"/>
      <c r="D15" s="1752"/>
      <c r="E15" s="1752"/>
      <c r="F15" s="1752"/>
      <c r="G15" s="1753"/>
      <c r="H15" s="1754" t="s">
        <v>472</v>
      </c>
      <c r="I15" s="1984" t="s">
        <v>3535</v>
      </c>
      <c r="J15" s="1982"/>
      <c r="L15"/>
      <c r="M15"/>
      <c r="N15"/>
      <c r="O15"/>
      <c r="P15"/>
      <c r="Q15"/>
      <c r="R15"/>
      <c r="S15"/>
      <c r="T15"/>
      <c r="U15"/>
      <c r="V15"/>
      <c r="W15"/>
      <c r="X15"/>
      <c r="Y15"/>
    </row>
    <row r="16" spans="1:25" ht="15">
      <c r="A16" s="1755" t="s">
        <v>473</v>
      </c>
      <c r="B16" s="1756"/>
      <c r="C16" s="1757"/>
      <c r="D16" s="1757"/>
      <c r="E16" s="1757"/>
      <c r="F16" s="1757"/>
      <c r="G16" s="1758"/>
      <c r="H16" s="1761"/>
      <c r="I16" s="2364">
        <f>ROUND('116119'!G114,0)</f>
        <v>5681883</v>
      </c>
      <c r="J16" s="1980"/>
      <c r="L16"/>
      <c r="M16"/>
      <c r="N16"/>
      <c r="O16"/>
      <c r="P16"/>
      <c r="Q16"/>
      <c r="R16"/>
      <c r="S16"/>
      <c r="T16"/>
      <c r="U16"/>
      <c r="V16"/>
      <c r="W16"/>
      <c r="X16"/>
      <c r="Y16"/>
    </row>
    <row r="17" spans="1:25" ht="15">
      <c r="A17" s="1755"/>
      <c r="B17" s="1756"/>
      <c r="C17" s="1761"/>
      <c r="D17" s="1761"/>
      <c r="E17" s="1761"/>
      <c r="F17" s="1761"/>
      <c r="G17" s="1759"/>
      <c r="H17" s="1761"/>
      <c r="I17" s="1985"/>
      <c r="J17" s="1772"/>
      <c r="K17" s="1760"/>
      <c r="L17"/>
      <c r="M17"/>
      <c r="N17"/>
      <c r="O17"/>
      <c r="P17"/>
      <c r="Q17"/>
      <c r="R17"/>
      <c r="S17"/>
      <c r="T17"/>
      <c r="U17"/>
      <c r="V17"/>
      <c r="W17"/>
      <c r="X17"/>
      <c r="Y17"/>
    </row>
    <row r="18" spans="1:25" ht="15">
      <c r="A18" s="1755" t="s">
        <v>474</v>
      </c>
      <c r="B18" s="1756"/>
      <c r="C18" s="1756"/>
      <c r="D18" s="1756"/>
      <c r="E18" s="1756"/>
      <c r="F18" s="1756"/>
      <c r="G18" s="1759"/>
      <c r="H18" s="1761"/>
      <c r="I18" s="1985">
        <f>-3662535-254308+239+248571+284831+7476418-15000</f>
        <v>4078216</v>
      </c>
      <c r="J18" s="1772"/>
      <c r="L18"/>
      <c r="M18"/>
      <c r="N18"/>
      <c r="O18"/>
      <c r="P18"/>
      <c r="Q18"/>
      <c r="R18"/>
      <c r="S18"/>
      <c r="T18"/>
      <c r="U18"/>
      <c r="V18"/>
      <c r="W18"/>
      <c r="X18"/>
      <c r="Y18"/>
    </row>
    <row r="19" spans="1:25" ht="15">
      <c r="A19" s="1755" t="s">
        <v>475</v>
      </c>
      <c r="B19" s="1756"/>
      <c r="C19" s="1756"/>
      <c r="D19" s="1756"/>
      <c r="E19" s="1756"/>
      <c r="F19" s="1756"/>
      <c r="G19" s="1759"/>
      <c r="H19" s="1761"/>
      <c r="I19" s="1985">
        <f>-512444+27417+65-27417+26903+1543574</f>
        <v>1058098</v>
      </c>
      <c r="J19" s="1772"/>
      <c r="L19"/>
      <c r="M19"/>
      <c r="N19"/>
      <c r="O19"/>
      <c r="P19"/>
      <c r="Q19"/>
      <c r="R19"/>
      <c r="S19"/>
      <c r="T19"/>
      <c r="U19"/>
      <c r="V19"/>
      <c r="W19"/>
      <c r="X19"/>
      <c r="Y19"/>
    </row>
    <row r="20" spans="1:25" ht="15">
      <c r="A20" s="1755"/>
      <c r="B20" s="1756"/>
      <c r="C20" s="1756"/>
      <c r="D20" s="1756"/>
      <c r="E20" s="1756" t="s">
        <v>2638</v>
      </c>
      <c r="F20" s="1756"/>
      <c r="G20" s="1759"/>
      <c r="H20" s="1761"/>
      <c r="I20" s="2194">
        <f>SUM(I16:I19)</f>
        <v>10818197</v>
      </c>
      <c r="J20" s="1772"/>
      <c r="K20" s="1760"/>
      <c r="L20"/>
      <c r="M20"/>
      <c r="N20"/>
      <c r="O20"/>
      <c r="P20"/>
      <c r="Q20"/>
      <c r="R20"/>
      <c r="S20"/>
      <c r="T20"/>
      <c r="U20"/>
      <c r="V20"/>
      <c r="W20"/>
      <c r="X20"/>
      <c r="Y20"/>
    </row>
    <row r="21" spans="1:25" ht="15">
      <c r="A21" s="1755"/>
      <c r="B21" s="1762"/>
      <c r="C21" s="1761"/>
      <c r="D21" s="1761"/>
      <c r="E21" s="1761"/>
      <c r="F21" s="1761"/>
      <c r="G21" s="1759"/>
      <c r="H21" s="1761"/>
      <c r="I21" s="1987"/>
      <c r="J21" s="1980"/>
      <c r="K21" s="1760"/>
      <c r="L21"/>
      <c r="M21"/>
      <c r="N21"/>
      <c r="O21"/>
      <c r="P21"/>
      <c r="Q21"/>
      <c r="R21"/>
      <c r="S21"/>
      <c r="T21"/>
      <c r="U21"/>
      <c r="V21"/>
      <c r="W21"/>
      <c r="X21"/>
      <c r="Y21"/>
    </row>
    <row r="22" spans="1:25" ht="15.75">
      <c r="A22" s="1755" t="s">
        <v>476</v>
      </c>
      <c r="B22" s="1764"/>
      <c r="C22" s="1761"/>
      <c r="D22" s="1761"/>
      <c r="E22" s="1761"/>
      <c r="F22" s="1761"/>
      <c r="G22" s="1759"/>
      <c r="H22" s="1761"/>
      <c r="I22" s="1987"/>
      <c r="J22" s="1980"/>
      <c r="K22" s="1760"/>
      <c r="L22"/>
      <c r="M22"/>
      <c r="N22"/>
      <c r="O22"/>
      <c r="P22"/>
      <c r="Q22"/>
      <c r="R22"/>
      <c r="S22"/>
      <c r="T22"/>
      <c r="U22"/>
      <c r="V22"/>
      <c r="W22"/>
      <c r="X22"/>
      <c r="Y22"/>
    </row>
    <row r="23" spans="1:25" ht="15">
      <c r="A23" s="1755"/>
      <c r="B23" s="1762" t="s">
        <v>477</v>
      </c>
      <c r="C23" s="1761"/>
      <c r="D23" s="1761"/>
      <c r="E23" s="1761"/>
      <c r="F23" s="1761"/>
      <c r="G23" s="1759"/>
      <c r="H23" s="1761"/>
      <c r="I23" s="2038">
        <v>2639</v>
      </c>
      <c r="J23" s="1983"/>
      <c r="K23" s="1760"/>
      <c r="L23"/>
      <c r="M23"/>
      <c r="N23"/>
      <c r="O23"/>
      <c r="P23"/>
      <c r="Q23"/>
      <c r="R23"/>
      <c r="S23"/>
      <c r="T23"/>
      <c r="U23"/>
      <c r="V23"/>
      <c r="W23"/>
      <c r="X23"/>
      <c r="Y23"/>
    </row>
    <row r="24" spans="1:25" ht="15">
      <c r="A24" s="1755"/>
      <c r="B24" s="1762" t="s">
        <v>1808</v>
      </c>
      <c r="C24" s="1761"/>
      <c r="D24" s="1761"/>
      <c r="E24" s="1761"/>
      <c r="F24" s="1761"/>
      <c r="G24" s="1759"/>
      <c r="H24" s="1761"/>
      <c r="I24" s="2038">
        <v>47</v>
      </c>
      <c r="J24" s="1983"/>
      <c r="K24" s="1760"/>
      <c r="L24"/>
      <c r="M24"/>
      <c r="N24"/>
      <c r="O24"/>
      <c r="P24"/>
      <c r="Q24"/>
      <c r="R24"/>
      <c r="S24"/>
      <c r="T24"/>
      <c r="U24"/>
      <c r="V24"/>
      <c r="W24"/>
      <c r="X24"/>
      <c r="Y24"/>
    </row>
    <row r="25" spans="1:25" ht="15">
      <c r="A25" s="1755"/>
      <c r="B25" s="1762" t="s">
        <v>1809</v>
      </c>
      <c r="C25" s="1761"/>
      <c r="D25" s="1761"/>
      <c r="E25" s="1761"/>
      <c r="F25" s="1761"/>
      <c r="G25" s="1759"/>
      <c r="H25" s="1761"/>
      <c r="I25" s="2363">
        <v>0</v>
      </c>
      <c r="J25" s="1980"/>
      <c r="K25" s="1760"/>
      <c r="L25"/>
      <c r="M25"/>
      <c r="N25"/>
      <c r="O25"/>
      <c r="P25"/>
      <c r="Q25"/>
      <c r="R25"/>
      <c r="S25"/>
      <c r="T25"/>
      <c r="U25"/>
      <c r="V25"/>
      <c r="W25"/>
      <c r="X25"/>
      <c r="Y25"/>
    </row>
    <row r="26" spans="1:25" ht="15">
      <c r="A26" s="1755"/>
      <c r="B26" s="1762" t="s">
        <v>3295</v>
      </c>
      <c r="C26" s="1761"/>
      <c r="D26" s="1761"/>
      <c r="E26" s="1761"/>
      <c r="F26" s="1761"/>
      <c r="G26" s="1759"/>
      <c r="H26" s="1761"/>
      <c r="I26" s="2038">
        <v>0</v>
      </c>
      <c r="J26" s="1983"/>
      <c r="K26" s="1760"/>
      <c r="L26"/>
      <c r="M26"/>
      <c r="N26"/>
      <c r="O26"/>
      <c r="P26"/>
      <c r="Q26"/>
      <c r="R26"/>
      <c r="S26"/>
      <c r="T26"/>
      <c r="U26"/>
      <c r="V26"/>
      <c r="W26"/>
      <c r="X26"/>
      <c r="Y26"/>
    </row>
    <row r="27" spans="1:25" ht="15">
      <c r="A27" s="1755"/>
      <c r="B27" s="1762" t="s">
        <v>3630</v>
      </c>
      <c r="C27" s="1761"/>
      <c r="D27" s="1761"/>
      <c r="E27" s="1761"/>
      <c r="F27" s="1761"/>
      <c r="G27" s="1759"/>
      <c r="H27" s="1761"/>
      <c r="I27" s="2038">
        <v>1359</v>
      </c>
      <c r="J27" s="1983"/>
      <c r="K27" s="1760"/>
      <c r="L27"/>
      <c r="M27"/>
      <c r="N27"/>
      <c r="O27"/>
      <c r="P27"/>
      <c r="Q27"/>
      <c r="R27"/>
      <c r="S27"/>
      <c r="T27"/>
      <c r="U27"/>
      <c r="V27"/>
      <c r="W27"/>
      <c r="X27"/>
      <c r="Y27"/>
    </row>
    <row r="28" spans="1:25" ht="15">
      <c r="A28" s="1755"/>
      <c r="B28" s="1761"/>
      <c r="C28" s="1761"/>
      <c r="D28" s="1761"/>
      <c r="E28" s="1761" t="s">
        <v>1810</v>
      </c>
      <c r="F28" s="1761"/>
      <c r="G28" s="1759"/>
      <c r="H28" s="1761"/>
      <c r="I28" s="1988">
        <f>SUM(I23:I27)</f>
        <v>4045</v>
      </c>
      <c r="J28" s="1980"/>
      <c r="K28" s="1760"/>
      <c r="L28"/>
      <c r="M28"/>
      <c r="N28"/>
      <c r="O28"/>
      <c r="P28"/>
      <c r="Q28"/>
      <c r="R28"/>
      <c r="S28"/>
      <c r="T28"/>
      <c r="U28"/>
      <c r="V28"/>
      <c r="W28"/>
      <c r="X28"/>
      <c r="Y28"/>
    </row>
    <row r="29" spans="1:25" ht="15">
      <c r="A29" s="1755"/>
      <c r="B29" s="1761"/>
      <c r="C29" s="1761"/>
      <c r="D29" s="1761"/>
      <c r="E29" s="1761"/>
      <c r="F29" s="1761"/>
      <c r="G29" s="1759"/>
      <c r="H29" s="1761"/>
      <c r="I29" s="1987"/>
      <c r="J29" s="1980"/>
      <c r="K29" s="1760"/>
      <c r="L29"/>
      <c r="M29"/>
      <c r="N29"/>
      <c r="O29"/>
      <c r="P29"/>
      <c r="Q29"/>
      <c r="R29"/>
      <c r="S29"/>
      <c r="T29"/>
      <c r="U29"/>
      <c r="V29"/>
      <c r="W29"/>
      <c r="X29"/>
      <c r="Y29"/>
    </row>
    <row r="30" spans="1:25" ht="15">
      <c r="A30" s="1755" t="s">
        <v>1811</v>
      </c>
      <c r="B30" s="1762"/>
      <c r="C30" s="1761"/>
      <c r="D30" s="1761"/>
      <c r="E30" s="1761"/>
      <c r="F30" s="1761"/>
      <c r="G30" s="1759"/>
      <c r="H30" s="1761"/>
      <c r="I30" s="2195">
        <f>+I20+I28</f>
        <v>10822242</v>
      </c>
      <c r="J30" s="1980"/>
      <c r="L30"/>
      <c r="M30"/>
      <c r="N30"/>
      <c r="O30"/>
      <c r="P30"/>
      <c r="Q30"/>
      <c r="R30"/>
      <c r="S30"/>
      <c r="T30"/>
      <c r="U30"/>
      <c r="V30"/>
      <c r="W30"/>
      <c r="X30"/>
      <c r="Y30"/>
    </row>
    <row r="31" spans="1:25" ht="15">
      <c r="A31" s="1755"/>
      <c r="B31" s="1762"/>
      <c r="C31" s="1761"/>
      <c r="D31" s="1761"/>
      <c r="E31" s="1761"/>
      <c r="F31" s="1761"/>
      <c r="G31" s="1759"/>
      <c r="H31" s="1761"/>
      <c r="I31" s="1987"/>
      <c r="J31" s="1980"/>
      <c r="K31" s="1760"/>
      <c r="L31"/>
      <c r="M31"/>
      <c r="N31"/>
      <c r="O31"/>
      <c r="P31"/>
      <c r="Q31"/>
      <c r="R31"/>
      <c r="S31"/>
      <c r="T31"/>
      <c r="U31"/>
      <c r="V31"/>
      <c r="W31"/>
      <c r="X31"/>
      <c r="Y31"/>
    </row>
    <row r="32" spans="1:25" ht="15">
      <c r="A32" s="1755" t="s">
        <v>1812</v>
      </c>
      <c r="B32" s="1762"/>
      <c r="C32" s="1761"/>
      <c r="D32" s="1761"/>
      <c r="E32" s="1761"/>
      <c r="F32" s="1761"/>
      <c r="G32" s="1759"/>
      <c r="H32" s="1761"/>
      <c r="I32" s="1987"/>
      <c r="J32" s="1980"/>
      <c r="K32" s="1760"/>
      <c r="L32"/>
      <c r="M32"/>
      <c r="N32"/>
      <c r="O32"/>
      <c r="P32"/>
      <c r="Q32"/>
      <c r="R32"/>
      <c r="S32"/>
      <c r="T32"/>
      <c r="U32"/>
      <c r="V32"/>
      <c r="W32"/>
      <c r="X32"/>
      <c r="Y32"/>
    </row>
    <row r="33" spans="1:25" ht="15">
      <c r="A33" s="1755"/>
      <c r="B33" s="1762" t="s">
        <v>2844</v>
      </c>
      <c r="C33" s="1761"/>
      <c r="D33" s="1761"/>
      <c r="E33" s="1761"/>
      <c r="F33" s="1761"/>
      <c r="G33" s="1759"/>
      <c r="H33" s="1761"/>
      <c r="I33" s="1987">
        <v>121671</v>
      </c>
      <c r="J33" s="1980"/>
      <c r="K33" s="1760"/>
      <c r="L33"/>
      <c r="M33"/>
      <c r="N33"/>
      <c r="O33"/>
      <c r="P33"/>
      <c r="Q33"/>
      <c r="R33"/>
      <c r="S33"/>
      <c r="T33"/>
      <c r="U33"/>
      <c r="V33"/>
      <c r="W33"/>
      <c r="X33"/>
      <c r="Y33"/>
    </row>
    <row r="34" spans="1:25">
      <c r="A34" s="1755"/>
      <c r="B34" s="1762" t="s">
        <v>1813</v>
      </c>
      <c r="C34" s="1761"/>
      <c r="D34" s="1761"/>
      <c r="E34" s="1761"/>
      <c r="F34" s="1761"/>
      <c r="G34" s="1759"/>
      <c r="H34" s="1761"/>
      <c r="I34" s="1987">
        <v>1525</v>
      </c>
      <c r="J34" s="1980"/>
      <c r="K34" s="1760"/>
      <c r="T34" s="1760"/>
    </row>
    <row r="35" spans="1:25">
      <c r="A35" s="1755"/>
      <c r="B35" s="1762" t="s">
        <v>1967</v>
      </c>
      <c r="C35" s="1761"/>
      <c r="D35" s="1761"/>
      <c r="E35" s="1761"/>
      <c r="F35" s="1761"/>
      <c r="G35" s="1759"/>
      <c r="H35" s="1761"/>
      <c r="I35" s="1987">
        <v>0</v>
      </c>
      <c r="J35" s="1980"/>
      <c r="K35" s="1760"/>
      <c r="T35" s="1760"/>
    </row>
    <row r="36" spans="1:25">
      <c r="A36" s="1755"/>
      <c r="B36" s="1762" t="s">
        <v>1814</v>
      </c>
      <c r="C36" s="1761"/>
      <c r="D36" s="1761"/>
      <c r="E36" s="1761"/>
      <c r="F36" s="1761"/>
      <c r="G36" s="1759"/>
      <c r="H36" s="1761"/>
      <c r="I36" s="1987">
        <f>-34305+55034</f>
        <v>20729</v>
      </c>
      <c r="J36" s="1980"/>
      <c r="K36" s="1760"/>
      <c r="T36" s="1760"/>
    </row>
    <row r="37" spans="1:25">
      <c r="A37" s="1755"/>
      <c r="B37" s="1762" t="s">
        <v>3484</v>
      </c>
      <c r="C37" s="1761"/>
      <c r="D37" s="1761"/>
      <c r="E37" s="1761"/>
      <c r="F37" s="1761"/>
      <c r="G37" s="1759"/>
      <c r="H37" s="1761"/>
      <c r="I37" s="1987">
        <v>43215</v>
      </c>
      <c r="J37" s="1980"/>
      <c r="K37" s="1760"/>
      <c r="T37" s="1760"/>
    </row>
    <row r="38" spans="1:25">
      <c r="A38" s="1755"/>
      <c r="B38" s="1762" t="s">
        <v>3485</v>
      </c>
      <c r="C38" s="1761"/>
      <c r="D38" s="1761"/>
      <c r="E38" s="1761"/>
      <c r="F38" s="1761"/>
      <c r="G38" s="1759"/>
      <c r="H38" s="1761"/>
      <c r="I38" s="1987">
        <v>-5142957</v>
      </c>
      <c r="J38" s="1980"/>
      <c r="K38" s="1760"/>
      <c r="T38" s="1760"/>
    </row>
    <row r="39" spans="1:25">
      <c r="A39" s="1755"/>
      <c r="B39" s="1762" t="s">
        <v>3486</v>
      </c>
      <c r="C39" s="1761"/>
      <c r="D39" s="1761"/>
      <c r="E39" s="1761"/>
      <c r="F39" s="1761"/>
      <c r="G39" s="1759"/>
      <c r="H39" s="1761"/>
      <c r="I39" s="1987">
        <v>0</v>
      </c>
      <c r="J39" s="1980"/>
      <c r="K39" s="1760"/>
      <c r="T39" s="1760"/>
    </row>
    <row r="40" spans="1:25">
      <c r="A40" s="1755"/>
      <c r="B40" s="1762" t="s">
        <v>3487</v>
      </c>
      <c r="C40" s="1761"/>
      <c r="D40" s="1761"/>
      <c r="E40" s="1761"/>
      <c r="F40" s="1761"/>
      <c r="G40" s="1759"/>
      <c r="H40" s="1761"/>
      <c r="I40" s="1987">
        <v>0</v>
      </c>
      <c r="J40" s="1980"/>
      <c r="K40" s="1760"/>
      <c r="T40" s="1760"/>
    </row>
    <row r="41" spans="1:25">
      <c r="A41" s="1755"/>
      <c r="B41" s="1762" t="s">
        <v>3488</v>
      </c>
      <c r="C41" s="1761"/>
      <c r="D41" s="1761"/>
      <c r="E41" s="1761"/>
      <c r="F41" s="1761"/>
      <c r="G41" s="1759"/>
      <c r="H41" s="1761"/>
      <c r="I41" s="1987">
        <v>-65198</v>
      </c>
      <c r="J41" s="1980"/>
      <c r="K41" s="1760"/>
      <c r="T41" s="1760"/>
    </row>
    <row r="42" spans="1:25">
      <c r="A42" s="1755"/>
      <c r="B42" s="1762" t="s">
        <v>3489</v>
      </c>
      <c r="C42" s="1761"/>
      <c r="D42" s="1761"/>
      <c r="E42" s="1761"/>
      <c r="F42" s="1761"/>
      <c r="G42" s="1759"/>
      <c r="H42" s="1761"/>
      <c r="I42" s="1987">
        <v>-239668</v>
      </c>
      <c r="J42" s="1980"/>
      <c r="K42" s="1760"/>
      <c r="T42" s="1760"/>
    </row>
    <row r="43" spans="1:25">
      <c r="A43" s="1755"/>
      <c r="B43" s="1762" t="s">
        <v>3490</v>
      </c>
      <c r="C43" s="1761"/>
      <c r="D43" s="1761"/>
      <c r="E43" s="1761"/>
      <c r="F43" s="1761"/>
      <c r="G43" s="1759"/>
      <c r="H43" s="1761"/>
      <c r="I43" s="1987">
        <v>0</v>
      </c>
      <c r="J43" s="1980"/>
      <c r="K43" s="1760"/>
      <c r="T43" s="1760"/>
    </row>
    <row r="44" spans="1:25">
      <c r="A44" s="1755"/>
      <c r="B44" s="1762" t="s">
        <v>495</v>
      </c>
      <c r="C44" s="1761"/>
      <c r="D44" s="1761"/>
      <c r="E44" s="1761"/>
      <c r="F44" s="1761"/>
      <c r="G44" s="1759"/>
      <c r="H44" s="1761"/>
      <c r="I44" s="1987">
        <v>0</v>
      </c>
      <c r="J44" s="1980"/>
      <c r="K44" s="1760"/>
      <c r="T44" s="1760"/>
    </row>
    <row r="45" spans="1:25">
      <c r="A45" s="1755"/>
      <c r="B45" s="1762" t="s">
        <v>496</v>
      </c>
      <c r="C45" s="1761"/>
      <c r="D45" s="1761"/>
      <c r="E45" s="1761"/>
      <c r="F45" s="1761"/>
      <c r="G45" s="1759"/>
      <c r="H45" s="1761"/>
      <c r="I45" s="1987">
        <v>-42270</v>
      </c>
      <c r="J45" s="1980"/>
      <c r="K45" s="1760"/>
      <c r="T45" s="1760"/>
    </row>
    <row r="46" spans="1:25">
      <c r="A46" s="1755"/>
      <c r="B46" s="1762" t="s">
        <v>497</v>
      </c>
      <c r="C46" s="1761"/>
      <c r="D46" s="1761"/>
      <c r="E46" s="1761"/>
      <c r="F46" s="1761"/>
      <c r="G46" s="1759"/>
      <c r="H46" s="1761"/>
      <c r="I46" s="1987">
        <v>0</v>
      </c>
      <c r="J46" s="1980"/>
      <c r="K46" s="1760"/>
      <c r="T46" s="1760"/>
    </row>
    <row r="47" spans="1:25">
      <c r="A47" s="1755"/>
      <c r="B47" s="1762" t="s">
        <v>3296</v>
      </c>
      <c r="C47" s="1761"/>
      <c r="D47" s="1761"/>
      <c r="E47" s="1761"/>
      <c r="F47" s="1761"/>
      <c r="G47" s="1759"/>
      <c r="H47" s="1761"/>
      <c r="I47" s="1987">
        <v>-1172418</v>
      </c>
      <c r="J47" s="1980"/>
      <c r="K47" s="1760"/>
      <c r="T47" s="1760"/>
    </row>
    <row r="48" spans="1:25">
      <c r="A48" s="1755"/>
      <c r="B48" s="1762" t="s">
        <v>498</v>
      </c>
      <c r="C48" s="1761"/>
      <c r="D48" s="1761"/>
      <c r="E48" s="1761"/>
      <c r="F48" s="1761"/>
      <c r="G48" s="1759"/>
      <c r="H48" s="1761"/>
      <c r="I48" s="1987">
        <v>0</v>
      </c>
      <c r="J48" s="1980"/>
      <c r="K48" s="1760"/>
      <c r="T48" s="1760"/>
    </row>
    <row r="49" spans="1:20">
      <c r="A49" s="1755"/>
      <c r="B49" s="1762" t="s">
        <v>499</v>
      </c>
      <c r="C49" s="1756"/>
      <c r="D49" s="1756"/>
      <c r="E49" s="1756"/>
      <c r="F49" s="1756"/>
      <c r="G49" s="1759"/>
      <c r="H49" s="1761"/>
      <c r="I49" s="1985">
        <v>0</v>
      </c>
      <c r="J49" s="1772"/>
      <c r="K49" s="1760"/>
      <c r="T49" s="1760"/>
    </row>
    <row r="50" spans="1:20">
      <c r="A50" s="1755"/>
      <c r="B50" s="1765" t="s">
        <v>3203</v>
      </c>
      <c r="C50" s="1761"/>
      <c r="D50" s="1761"/>
      <c r="E50" s="1761"/>
      <c r="F50" s="1761"/>
      <c r="G50" s="1759"/>
      <c r="H50" s="1761"/>
      <c r="I50" s="1985">
        <v>-2427231</v>
      </c>
      <c r="J50" s="1772"/>
      <c r="K50" s="1760"/>
      <c r="T50" s="1760"/>
    </row>
    <row r="51" spans="1:20">
      <c r="A51" s="1755"/>
      <c r="B51" s="1765" t="s">
        <v>500</v>
      </c>
      <c r="C51" s="1756"/>
      <c r="D51" s="1766"/>
      <c r="E51" s="1756"/>
      <c r="F51" s="1767"/>
      <c r="G51" s="1768"/>
      <c r="H51" s="1761"/>
      <c r="I51" s="1985">
        <v>-1114220</v>
      </c>
      <c r="J51" s="1772"/>
      <c r="K51" s="1760"/>
      <c r="T51" s="1760"/>
    </row>
    <row r="52" spans="1:20">
      <c r="A52" s="1755"/>
      <c r="B52" s="1762" t="s">
        <v>2953</v>
      </c>
      <c r="C52" s="1761"/>
      <c r="D52" s="1769"/>
      <c r="E52" s="1761"/>
      <c r="F52" s="1770"/>
      <c r="G52" s="1763"/>
      <c r="H52" s="1761"/>
      <c r="I52" s="1985">
        <v>0</v>
      </c>
      <c r="J52" s="1772"/>
      <c r="K52" s="1760"/>
      <c r="T52" s="1760"/>
    </row>
    <row r="53" spans="1:20">
      <c r="A53" s="1755"/>
      <c r="B53" s="1762" t="s">
        <v>3297</v>
      </c>
      <c r="C53" s="1761"/>
      <c r="D53" s="1769"/>
      <c r="E53" s="1761"/>
      <c r="F53" s="1770"/>
      <c r="G53" s="1763"/>
      <c r="H53" s="1761"/>
      <c r="I53" s="1985">
        <v>13184</v>
      </c>
      <c r="J53" s="1772"/>
      <c r="K53" s="1760"/>
      <c r="T53" s="1760"/>
    </row>
    <row r="54" spans="1:20">
      <c r="A54" s="1755"/>
      <c r="B54" s="1762" t="s">
        <v>1577</v>
      </c>
      <c r="C54" s="1761"/>
      <c r="D54" s="1769"/>
      <c r="E54" s="1761"/>
      <c r="F54" s="1770"/>
      <c r="G54" s="1763"/>
      <c r="H54" s="1761"/>
      <c r="I54" s="1985">
        <v>-6636</v>
      </c>
      <c r="J54" s="1772"/>
      <c r="K54" s="1760"/>
      <c r="T54" s="1760"/>
    </row>
    <row r="55" spans="1:20">
      <c r="A55" s="1755"/>
      <c r="B55" s="1762" t="s">
        <v>3298</v>
      </c>
      <c r="C55" s="1761"/>
      <c r="D55" s="1769"/>
      <c r="E55" s="1761"/>
      <c r="F55" s="1770"/>
      <c r="G55" s="1763"/>
      <c r="H55" s="1761"/>
      <c r="I55" s="1985">
        <v>66574</v>
      </c>
      <c r="J55" s="1772"/>
      <c r="K55" s="1760"/>
      <c r="T55" s="1760"/>
    </row>
    <row r="56" spans="1:20">
      <c r="A56" s="1755"/>
      <c r="B56" s="1762" t="s">
        <v>4469</v>
      </c>
      <c r="C56" s="1761"/>
      <c r="D56" s="1769"/>
      <c r="E56" s="1761"/>
      <c r="F56" s="1770"/>
      <c r="G56" s="1763"/>
      <c r="H56" s="1761"/>
      <c r="I56" s="1985">
        <v>-1379222</v>
      </c>
      <c r="J56" s="1772"/>
      <c r="K56" s="1760"/>
      <c r="T56" s="1760"/>
    </row>
    <row r="57" spans="1:20">
      <c r="A57" s="1755"/>
      <c r="B57" s="1762" t="s">
        <v>516</v>
      </c>
      <c r="C57" s="1761"/>
      <c r="D57" s="1769"/>
      <c r="E57" s="1761"/>
      <c r="F57" s="1770"/>
      <c r="G57" s="1763"/>
      <c r="H57" s="1761"/>
      <c r="I57" s="1985">
        <v>-2881090</v>
      </c>
      <c r="J57" s="1772"/>
      <c r="K57" s="1760"/>
      <c r="T57" s="1760"/>
    </row>
    <row r="58" spans="1:20">
      <c r="A58" s="1755"/>
      <c r="B58" s="1762" t="s">
        <v>4470</v>
      </c>
      <c r="C58" s="1761"/>
      <c r="D58" s="1769"/>
      <c r="E58" s="1761"/>
      <c r="F58" s="1770"/>
      <c r="G58" s="1763"/>
      <c r="H58" s="1761"/>
      <c r="I58" s="1985">
        <v>0</v>
      </c>
      <c r="J58" s="1772"/>
      <c r="K58" s="1760"/>
      <c r="T58" s="1760"/>
    </row>
    <row r="59" spans="1:20">
      <c r="A59" s="1755"/>
      <c r="B59" s="1762" t="s">
        <v>4471</v>
      </c>
      <c r="C59" s="1761"/>
      <c r="D59" s="1769"/>
      <c r="E59" s="1761"/>
      <c r="F59" s="1770"/>
      <c r="G59" s="1763"/>
      <c r="H59" s="1761"/>
      <c r="I59" s="1985">
        <v>0</v>
      </c>
      <c r="J59" s="1772"/>
      <c r="K59" s="1760"/>
      <c r="T59" s="1760"/>
    </row>
    <row r="60" spans="1:20">
      <c r="A60" s="1755"/>
      <c r="B60" s="1762" t="s">
        <v>3233</v>
      </c>
      <c r="C60" s="1761"/>
      <c r="D60" s="1769"/>
      <c r="E60" s="1761"/>
      <c r="F60" s="1770"/>
      <c r="G60" s="1763"/>
      <c r="H60" s="1761"/>
      <c r="I60" s="1985">
        <v>0</v>
      </c>
      <c r="J60" s="1772"/>
      <c r="K60" s="1760"/>
      <c r="L60" s="1760"/>
      <c r="T60" s="1760"/>
    </row>
    <row r="61" spans="1:20">
      <c r="A61" s="1755"/>
      <c r="B61" s="1762" t="s">
        <v>4166</v>
      </c>
      <c r="C61" s="1761"/>
      <c r="D61" s="1769"/>
      <c r="E61" s="1761"/>
      <c r="F61" s="1770"/>
      <c r="G61" s="1763"/>
      <c r="H61" s="1761"/>
      <c r="I61" s="1985">
        <v>999</v>
      </c>
      <c r="J61" s="1772"/>
      <c r="K61" s="1760"/>
      <c r="L61" s="1760"/>
      <c r="T61" s="1760"/>
    </row>
    <row r="62" spans="1:20">
      <c r="A62" s="1755"/>
      <c r="B62" s="1762" t="s">
        <v>4167</v>
      </c>
      <c r="C62" s="1761"/>
      <c r="D62" s="1769"/>
      <c r="E62" s="1761"/>
      <c r="F62" s="1770"/>
      <c r="G62" s="1763"/>
      <c r="H62" s="1761"/>
      <c r="I62" s="1985">
        <v>0</v>
      </c>
      <c r="J62" s="1772"/>
      <c r="K62" s="1760"/>
      <c r="L62" s="1760"/>
      <c r="T62" s="1760"/>
    </row>
    <row r="63" spans="1:20">
      <c r="A63" s="1755"/>
      <c r="B63" s="1762" t="s">
        <v>4168</v>
      </c>
      <c r="C63" s="1761"/>
      <c r="D63" s="1769"/>
      <c r="E63" s="1761"/>
      <c r="F63" s="1770"/>
      <c r="G63" s="1763"/>
      <c r="H63" s="1761"/>
      <c r="I63" s="1985">
        <v>16270</v>
      </c>
      <c r="J63" s="1772"/>
      <c r="K63" s="1760"/>
      <c r="L63" s="1760"/>
      <c r="T63" s="1760"/>
    </row>
    <row r="64" spans="1:20">
      <c r="A64" s="1755"/>
      <c r="B64" s="1762" t="s">
        <v>4169</v>
      </c>
      <c r="C64" s="1761"/>
      <c r="D64" s="1769"/>
      <c r="E64" s="1761"/>
      <c r="F64" s="1770"/>
      <c r="G64" s="1763"/>
      <c r="H64" s="1761"/>
      <c r="I64" s="1985">
        <v>62</v>
      </c>
      <c r="J64" s="1772"/>
      <c r="K64" s="1760"/>
      <c r="T64" s="1760"/>
    </row>
    <row r="65" spans="1:20">
      <c r="A65" s="1755"/>
      <c r="B65" s="1762" t="s">
        <v>4165</v>
      </c>
      <c r="C65" s="1761"/>
      <c r="D65" s="1769"/>
      <c r="E65" s="1761"/>
      <c r="F65" s="1770"/>
      <c r="G65" s="1763"/>
      <c r="H65" s="1761"/>
      <c r="I65" s="1985">
        <v>-294221</v>
      </c>
      <c r="J65" s="1772"/>
      <c r="K65" s="1760"/>
      <c r="T65" s="1760"/>
    </row>
    <row r="66" spans="1:20">
      <c r="A66" s="1755"/>
      <c r="B66" s="1762" t="s">
        <v>3435</v>
      </c>
      <c r="C66" s="1761"/>
      <c r="D66" s="1769"/>
      <c r="E66" s="1761"/>
      <c r="F66" s="1770"/>
      <c r="G66" s="1763"/>
      <c r="H66" s="1761"/>
      <c r="I66" s="1985">
        <v>-3890878</v>
      </c>
      <c r="J66" s="1772"/>
      <c r="K66" s="1760"/>
      <c r="T66" s="1760"/>
    </row>
    <row r="67" spans="1:20">
      <c r="A67" s="1755"/>
      <c r="B67" s="1762" t="s">
        <v>3322</v>
      </c>
      <c r="C67" s="1761"/>
      <c r="D67" s="1769"/>
      <c r="E67" s="1761"/>
      <c r="F67" s="1770"/>
      <c r="G67" s="1763"/>
      <c r="H67" s="1761"/>
      <c r="I67" s="1985"/>
      <c r="J67" s="1772"/>
      <c r="K67" s="1760"/>
      <c r="T67" s="1760"/>
    </row>
    <row r="68" spans="1:20">
      <c r="A68" s="1755"/>
      <c r="B68" s="1761"/>
      <c r="C68" s="1761"/>
      <c r="D68" s="1769"/>
      <c r="E68" s="1761" t="s">
        <v>3291</v>
      </c>
      <c r="F68" s="1770"/>
      <c r="G68" s="1763"/>
      <c r="H68" s="1761"/>
      <c r="I68" s="1989">
        <f>SUM(I33:I67)</f>
        <v>-18371780</v>
      </c>
      <c r="J68" s="1772"/>
      <c r="K68" s="1760"/>
      <c r="T68" s="1760"/>
    </row>
    <row r="69" spans="1:20">
      <c r="A69" s="1755"/>
      <c r="B69" s="1761"/>
      <c r="C69" s="1761"/>
      <c r="D69" s="1769"/>
      <c r="E69" s="1761"/>
      <c r="F69" s="1770"/>
      <c r="G69" s="1763"/>
      <c r="H69" s="1761"/>
      <c r="I69" s="1986"/>
      <c r="J69" s="1772"/>
      <c r="K69" s="1760"/>
    </row>
    <row r="70" spans="1:20">
      <c r="A70" s="1755" t="s">
        <v>3292</v>
      </c>
      <c r="B70" s="1761"/>
      <c r="C70" s="1761"/>
      <c r="D70" s="1769"/>
      <c r="E70" s="1761"/>
      <c r="F70" s="1770"/>
      <c r="G70" s="1763"/>
      <c r="H70" s="1761"/>
      <c r="I70" s="1985">
        <f>+I30+I68</f>
        <v>-7549538</v>
      </c>
      <c r="J70" s="1772"/>
      <c r="K70" s="1760"/>
    </row>
    <row r="71" spans="1:20">
      <c r="A71" s="1755"/>
      <c r="B71" s="1761"/>
      <c r="C71" s="1761"/>
      <c r="D71" s="1769"/>
      <c r="E71" s="1761"/>
      <c r="F71" s="1770"/>
      <c r="G71" s="1763"/>
      <c r="H71" s="1761"/>
      <c r="I71" s="1985"/>
      <c r="J71" s="1772"/>
      <c r="K71" s="1760"/>
    </row>
    <row r="72" spans="1:20">
      <c r="A72" s="1755" t="s">
        <v>1673</v>
      </c>
      <c r="B72" s="1761"/>
      <c r="C72" s="1761"/>
      <c r="D72" s="1769"/>
      <c r="E72" s="1761"/>
      <c r="F72" s="1770"/>
      <c r="G72" s="1763"/>
      <c r="H72" s="1761"/>
      <c r="I72" s="1985">
        <v>4385401</v>
      </c>
      <c r="J72" s="1772"/>
      <c r="K72" s="1760"/>
      <c r="M72" s="1952"/>
    </row>
    <row r="73" spans="1:20">
      <c r="A73" s="1755" t="s">
        <v>1675</v>
      </c>
      <c r="B73" s="1761"/>
      <c r="C73" s="1761"/>
      <c r="D73" s="1769"/>
      <c r="E73" s="1761"/>
      <c r="F73" s="1770"/>
      <c r="G73" s="1763"/>
      <c r="H73" s="1761"/>
      <c r="I73" s="1986">
        <f>+I70+I72</f>
        <v>-3164137</v>
      </c>
      <c r="J73" s="1772"/>
      <c r="K73" s="1952"/>
    </row>
    <row r="74" spans="1:20">
      <c r="A74" s="1755" t="s">
        <v>5329</v>
      </c>
      <c r="B74" s="1761"/>
      <c r="C74" s="1761"/>
      <c r="D74" s="1769"/>
      <c r="E74" s="1761"/>
      <c r="F74" s="1770"/>
      <c r="G74" s="1763"/>
      <c r="H74" s="1761"/>
      <c r="I74" s="2365">
        <f>-5937184+3164137</f>
        <v>-2773047</v>
      </c>
      <c r="J74" s="1772"/>
      <c r="K74" s="1952"/>
    </row>
    <row r="75" spans="1:20">
      <c r="A75" s="1755"/>
      <c r="B75" s="1761"/>
      <c r="C75" s="1761"/>
      <c r="D75" s="1769"/>
      <c r="E75" s="1761"/>
      <c r="F75" s="1770"/>
      <c r="G75" s="1763"/>
      <c r="H75" s="1759"/>
      <c r="I75" s="1990"/>
      <c r="J75" s="1772"/>
      <c r="K75" s="1952"/>
    </row>
    <row r="76" spans="1:20">
      <c r="A76" s="1755" t="s">
        <v>1674</v>
      </c>
      <c r="B76" s="1761"/>
      <c r="C76" s="1761"/>
      <c r="D76" s="1769"/>
      <c r="E76" s="1761"/>
      <c r="F76" s="1770"/>
      <c r="G76" s="1763"/>
      <c r="H76" s="1759"/>
      <c r="I76" s="1990">
        <f>SUM(I73:I75)</f>
        <v>-5937184</v>
      </c>
      <c r="J76" s="1772"/>
      <c r="K76" s="1952"/>
    </row>
    <row r="77" spans="1:20">
      <c r="A77" s="1755"/>
      <c r="B77" s="1761"/>
      <c r="C77" s="1761"/>
      <c r="D77" s="1769"/>
      <c r="E77" s="1761"/>
      <c r="F77" s="1770"/>
      <c r="G77" s="1763"/>
      <c r="H77" s="1759"/>
      <c r="I77" s="1990"/>
      <c r="J77" s="1772"/>
      <c r="K77" s="1952"/>
    </row>
    <row r="78" spans="1:20">
      <c r="A78" s="1755" t="s">
        <v>4896</v>
      </c>
      <c r="B78" s="1761"/>
      <c r="C78" s="1761"/>
      <c r="D78" s="1769"/>
      <c r="E78" s="1761"/>
      <c r="F78" s="1770"/>
      <c r="G78" s="1763"/>
      <c r="H78" s="1759"/>
      <c r="I78" s="1990">
        <f>+I76*0.0863</f>
        <v>-512378.9792</v>
      </c>
      <c r="J78" s="1772"/>
      <c r="K78" s="1952"/>
    </row>
    <row r="79" spans="1:20">
      <c r="A79" s="1755"/>
      <c r="B79" s="1761"/>
      <c r="C79" s="1761"/>
      <c r="D79" s="1769"/>
      <c r="E79" s="1761"/>
      <c r="F79" s="1770"/>
      <c r="G79" s="1763"/>
      <c r="H79" s="1759"/>
      <c r="I79" s="1990"/>
      <c r="J79" s="1772"/>
      <c r="K79" s="1952"/>
    </row>
    <row r="80" spans="1:20">
      <c r="A80" s="1755" t="s">
        <v>3293</v>
      </c>
      <c r="B80" s="1761"/>
      <c r="C80" s="1761"/>
      <c r="D80" s="1769"/>
      <c r="E80" s="1761"/>
      <c r="F80" s="1770"/>
      <c r="G80" s="1763"/>
      <c r="H80" s="1759"/>
      <c r="I80" s="1990">
        <f>+I70-I78</f>
        <v>-7037159.0208000001</v>
      </c>
      <c r="J80" s="1772"/>
      <c r="K80" s="2058"/>
    </row>
    <row r="81" spans="1:15">
      <c r="A81" s="1755"/>
      <c r="B81" s="1761"/>
      <c r="C81" s="1761"/>
      <c r="D81" s="1769"/>
      <c r="E81" s="1761"/>
      <c r="F81" s="1770"/>
      <c r="G81" s="1763"/>
      <c r="H81" s="1759"/>
      <c r="I81" s="1991"/>
      <c r="J81" s="1772"/>
      <c r="K81" s="2058"/>
    </row>
    <row r="82" spans="1:15">
      <c r="A82" s="2057" t="s">
        <v>5217</v>
      </c>
      <c r="B82" s="1761"/>
      <c r="C82" s="1761"/>
      <c r="D82" s="1769"/>
      <c r="E82" s="1761"/>
      <c r="F82" s="1770"/>
      <c r="G82" s="1763"/>
      <c r="H82" s="1759"/>
      <c r="I82" s="1991">
        <f>-10463703+7037159</f>
        <v>-3426544</v>
      </c>
      <c r="J82" s="1772"/>
      <c r="K82" s="1760"/>
    </row>
    <row r="83" spans="1:15">
      <c r="A83" s="2057"/>
      <c r="B83" s="1761"/>
      <c r="C83" s="1761"/>
      <c r="D83" s="1769"/>
      <c r="E83" s="1761"/>
      <c r="F83" s="1770"/>
      <c r="G83" s="1763"/>
      <c r="H83" s="1759"/>
      <c r="I83" s="1991"/>
      <c r="J83" s="1772"/>
      <c r="K83" s="1760"/>
    </row>
    <row r="84" spans="1:15">
      <c r="A84" s="2057" t="s">
        <v>3436</v>
      </c>
      <c r="B84" s="1761"/>
      <c r="C84" s="1761"/>
      <c r="D84" s="1769"/>
      <c r="E84" s="1761"/>
      <c r="F84" s="1770"/>
      <c r="G84" s="1763"/>
      <c r="H84" s="1759"/>
      <c r="I84" s="1991">
        <f>I80+I82</f>
        <v>-10463703.0208</v>
      </c>
      <c r="J84" s="1772"/>
      <c r="K84" s="1760"/>
    </row>
    <row r="85" spans="1:15">
      <c r="A85" s="1755"/>
      <c r="B85" s="1761"/>
      <c r="C85" s="1761"/>
      <c r="D85" s="1769"/>
      <c r="E85" s="1761"/>
      <c r="F85" s="1770"/>
      <c r="G85" s="1763"/>
      <c r="H85" s="1759"/>
      <c r="I85" s="1991"/>
      <c r="J85" s="1772"/>
      <c r="K85" s="1760"/>
      <c r="O85" s="2366"/>
    </row>
    <row r="86" spans="1:15">
      <c r="A86" s="1755" t="s">
        <v>1672</v>
      </c>
      <c r="B86" s="1761"/>
      <c r="C86" s="1761"/>
      <c r="D86" s="1769"/>
      <c r="E86" s="1761"/>
      <c r="F86" s="1770"/>
      <c r="G86" s="1763"/>
      <c r="H86" s="1759"/>
      <c r="I86" s="1992">
        <v>0.35</v>
      </c>
      <c r="J86" s="1981"/>
      <c r="K86" s="1760"/>
    </row>
    <row r="87" spans="1:15">
      <c r="A87" s="1755"/>
      <c r="B87" s="1761"/>
      <c r="C87" s="1761"/>
      <c r="D87" s="1769"/>
      <c r="E87" s="1761"/>
      <c r="F87" s="1770"/>
      <c r="G87" s="1763"/>
      <c r="H87" s="1759"/>
      <c r="I87" s="1991"/>
      <c r="J87" s="1772"/>
      <c r="K87" s="1760"/>
    </row>
    <row r="88" spans="1:15">
      <c r="A88" s="1755"/>
      <c r="B88" s="1761"/>
      <c r="C88" s="1761"/>
      <c r="D88" s="1769"/>
      <c r="E88" s="1771" t="s">
        <v>2763</v>
      </c>
      <c r="G88" s="1763"/>
      <c r="H88" s="1759"/>
      <c r="I88" s="1991">
        <f>+I84*I86</f>
        <v>-3662296.0572799998</v>
      </c>
      <c r="J88" s="1772"/>
      <c r="K88" s="1760"/>
    </row>
    <row r="89" spans="1:15">
      <c r="A89" s="1755"/>
      <c r="B89" s="1761"/>
      <c r="C89" s="1761"/>
      <c r="D89" s="1769"/>
      <c r="E89" s="1761"/>
      <c r="F89" s="1770"/>
      <c r="G89" s="1763"/>
      <c r="H89" s="1759"/>
      <c r="I89" s="1991"/>
      <c r="J89" s="1772"/>
      <c r="K89" s="1760"/>
    </row>
    <row r="90" spans="1:15">
      <c r="A90" s="1755"/>
      <c r="B90" s="1761"/>
      <c r="C90" s="1761"/>
      <c r="D90" s="1769"/>
      <c r="E90" s="1761" t="s">
        <v>3294</v>
      </c>
      <c r="F90" s="1770"/>
      <c r="G90" s="1763"/>
      <c r="H90" s="1759"/>
      <c r="I90" s="1991">
        <v>0</v>
      </c>
      <c r="J90" s="1772"/>
      <c r="K90" s="1760"/>
    </row>
    <row r="91" spans="1:15">
      <c r="A91" s="1755"/>
      <c r="B91" s="1761"/>
      <c r="C91" s="1761"/>
      <c r="D91" s="1769"/>
      <c r="E91" s="1761"/>
      <c r="F91" s="1770"/>
      <c r="G91" s="1763"/>
      <c r="H91" s="1759"/>
      <c r="I91" s="1991"/>
      <c r="J91" s="1772"/>
      <c r="K91" s="1760"/>
    </row>
    <row r="92" spans="1:15" ht="15" thickBot="1">
      <c r="A92" s="1755"/>
      <c r="B92" s="1761"/>
      <c r="C92" s="1761"/>
      <c r="D92" s="1769"/>
      <c r="E92" s="1771" t="s">
        <v>3495</v>
      </c>
      <c r="F92" s="1770"/>
      <c r="G92" s="1763"/>
      <c r="H92" s="1759"/>
      <c r="I92" s="1993">
        <f>+I88+I90</f>
        <v>-3662296.0572799998</v>
      </c>
      <c r="J92" s="1772"/>
      <c r="K92" s="1760"/>
    </row>
    <row r="93" spans="1:15" ht="15" thickTop="1">
      <c r="A93" s="1773"/>
      <c r="B93" s="1774"/>
      <c r="C93" s="1774"/>
      <c r="D93" s="1775"/>
      <c r="E93" s="1774"/>
      <c r="F93" s="1774"/>
      <c r="G93" s="1776"/>
      <c r="H93" s="1777"/>
      <c r="I93" s="1994"/>
      <c r="J93" s="1772"/>
      <c r="K93" s="1760"/>
    </row>
    <row r="94" spans="1:15" ht="15.75">
      <c r="A94" s="1778"/>
      <c r="B94" s="1779"/>
      <c r="C94" s="1779"/>
      <c r="D94" s="1779"/>
      <c r="E94" s="1779" t="s">
        <v>205</v>
      </c>
      <c r="G94" s="1779"/>
      <c r="H94" s="1779"/>
      <c r="I94" s="1779"/>
      <c r="J94" s="1779"/>
      <c r="K94" s="1760"/>
    </row>
    <row r="95" spans="1:15">
      <c r="I95" s="1760"/>
      <c r="J95" s="1760"/>
      <c r="K95" s="1760"/>
    </row>
    <row r="96" spans="1:15">
      <c r="D96" s="1760"/>
      <c r="E96" s="1760"/>
      <c r="F96" s="1760"/>
      <c r="G96" s="1760"/>
      <c r="I96" s="1760"/>
      <c r="J96" s="1760"/>
      <c r="K96" s="1760"/>
    </row>
    <row r="97" spans="4:11">
      <c r="D97" s="1780"/>
      <c r="E97" s="1760"/>
      <c r="F97" s="1760"/>
      <c r="G97" s="1780"/>
      <c r="I97" s="1760"/>
      <c r="J97" s="1760"/>
      <c r="K97" s="1760"/>
    </row>
    <row r="98" spans="4:11">
      <c r="D98" s="1760"/>
      <c r="E98" s="1760"/>
      <c r="F98" s="1760"/>
      <c r="G98" s="1760"/>
      <c r="I98" s="1760"/>
      <c r="J98" s="1760"/>
      <c r="K98" s="1760"/>
    </row>
    <row r="99" spans="4:11">
      <c r="K99" s="1760"/>
    </row>
    <row r="100" spans="4:11">
      <c r="K100" s="1760"/>
    </row>
    <row r="101" spans="4:11">
      <c r="K101" s="1760"/>
    </row>
    <row r="102" spans="4:11">
      <c r="I102" s="1760"/>
      <c r="J102" s="1760"/>
      <c r="K102" s="1760"/>
    </row>
    <row r="103" spans="4:11">
      <c r="I103" s="1760"/>
      <c r="J103" s="1760"/>
      <c r="K103" s="1760"/>
    </row>
    <row r="104" spans="4:11">
      <c r="I104" s="1760"/>
      <c r="J104" s="1760"/>
      <c r="K104" s="1760"/>
    </row>
    <row r="105" spans="4:11">
      <c r="I105" s="1760"/>
      <c r="J105" s="1760"/>
      <c r="K105" s="1760"/>
    </row>
    <row r="106" spans="4:11">
      <c r="I106" s="1760"/>
      <c r="J106" s="1760"/>
      <c r="K106" s="1760"/>
    </row>
    <row r="107" spans="4:11">
      <c r="K107" s="1760"/>
    </row>
    <row r="108" spans="4:11">
      <c r="K108" s="1760"/>
    </row>
    <row r="109" spans="4:11">
      <c r="K109" s="1760"/>
    </row>
    <row r="110" spans="4:11">
      <c r="K110" s="1760"/>
    </row>
    <row r="111" spans="4:11">
      <c r="K111" s="1760"/>
    </row>
    <row r="112" spans="4:11">
      <c r="K112" s="1760"/>
    </row>
    <row r="113" spans="11:11">
      <c r="K113" s="1760"/>
    </row>
    <row r="114" spans="11:11">
      <c r="K114" s="1760"/>
    </row>
    <row r="115" spans="11:11">
      <c r="K115" s="1760"/>
    </row>
    <row r="116" spans="11:11">
      <c r="K116" s="1760"/>
    </row>
    <row r="117" spans="11:11">
      <c r="K117" s="1760"/>
    </row>
    <row r="118" spans="11:11">
      <c r="K118" s="1760"/>
    </row>
    <row r="119" spans="11:11">
      <c r="K119" s="1760"/>
    </row>
    <row r="120" spans="11:11">
      <c r="K120" s="1760"/>
    </row>
    <row r="121" spans="11:11">
      <c r="K121" s="1760"/>
    </row>
    <row r="122" spans="11:11">
      <c r="K122" s="1760"/>
    </row>
    <row r="123" spans="11:11">
      <c r="K123" s="1760"/>
    </row>
    <row r="124" spans="11:11">
      <c r="K124" s="1760"/>
    </row>
    <row r="125" spans="11:11">
      <c r="K125" s="1760"/>
    </row>
    <row r="126" spans="11:11">
      <c r="K126" s="1760"/>
    </row>
    <row r="127" spans="11:11">
      <c r="K127" s="1760"/>
    </row>
    <row r="128" spans="11:11">
      <c r="K128" s="1760"/>
    </row>
    <row r="129" spans="11:11">
      <c r="K129" s="1760"/>
    </row>
    <row r="130" spans="11:11">
      <c r="K130" s="1760"/>
    </row>
    <row r="131" spans="11:11">
      <c r="K131" s="1760"/>
    </row>
    <row r="132" spans="11:11">
      <c r="K132" s="1760"/>
    </row>
    <row r="133" spans="11:11">
      <c r="K133" s="1760"/>
    </row>
    <row r="134" spans="11:11">
      <c r="K134" s="1760"/>
    </row>
    <row r="135" spans="11:11">
      <c r="K135" s="1760"/>
    </row>
    <row r="136" spans="11:11">
      <c r="K136" s="1760"/>
    </row>
    <row r="137" spans="11:11">
      <c r="K137" s="1760"/>
    </row>
    <row r="138" spans="11:11">
      <c r="K138" s="1760"/>
    </row>
    <row r="139" spans="11:11">
      <c r="K139" s="1760"/>
    </row>
    <row r="140" spans="11:11">
      <c r="K140" s="1760"/>
    </row>
    <row r="141" spans="11:11">
      <c r="K141" s="1760"/>
    </row>
    <row r="142" spans="11:11">
      <c r="K142" s="1760"/>
    </row>
    <row r="143" spans="11:11">
      <c r="K143" s="1760"/>
    </row>
    <row r="144" spans="11:11">
      <c r="K144" s="1760"/>
    </row>
    <row r="145" spans="11:11">
      <c r="K145" s="1760"/>
    </row>
    <row r="146" spans="11:11">
      <c r="K146" s="1760"/>
    </row>
    <row r="147" spans="11:11">
      <c r="K147" s="1760"/>
    </row>
    <row r="148" spans="11:11">
      <c r="K148" s="1760"/>
    </row>
    <row r="149" spans="11:11">
      <c r="K149" s="1760"/>
    </row>
    <row r="150" spans="11:11">
      <c r="K150" s="1760"/>
    </row>
    <row r="151" spans="11:11">
      <c r="K151" s="1760"/>
    </row>
    <row r="152" spans="11:11">
      <c r="K152" s="1760"/>
    </row>
  </sheetData>
  <customSheetViews>
    <customSheetView guid="{1BA452AD-1A45-4D9C-9666-ADFFA6F2F567}" scale="85" fitToPage="1">
      <selection activeCell="I16" sqref="I16"/>
      <pageMargins left="0.75" right="0.75" top="1" bottom="1" header="0.5" footer="0.5"/>
      <pageSetup scale="49" orientation="portrait" r:id="rId1"/>
      <headerFooter alignWithMargins="0"/>
    </customSheetView>
    <customSheetView guid="{EEF7ABD6-0F96-4791-B749-C06F707E7673}" fitToPage="1" showRuler="0" topLeftCell="A52">
      <selection activeCell="A70" sqref="A70"/>
      <pageMargins left="0.75" right="0.75" top="1" bottom="1" header="0.5" footer="0.5"/>
      <pageSetup scale="50" orientation="portrait" r:id="rId2"/>
      <headerFooter alignWithMargins="0"/>
    </customSheetView>
    <customSheetView guid="{A7D7DB3C-AFE6-468E-8C6B-9531F6711497}" scale="60" showPageBreaks="1" fitToPage="1" printArea="1" view="pageBreakPreview" showRuler="0" topLeftCell="A28">
      <selection activeCell="N75" sqref="N75"/>
      <pageMargins left="0.75" right="0.75" top="1" bottom="1" header="0.5" footer="0.5"/>
      <pageSetup scale="60" orientation="portrait" r:id="rId3"/>
      <headerFooter alignWithMargins="0"/>
    </customSheetView>
    <customSheetView guid="{4436FEB5-BFEC-4348-9286-CB706802873E}" scale="60" showPageBreaks="1" fitToPage="1" printArea="1" view="pageBreakPreview" showRuler="0">
      <selection activeCell="I61" sqref="I61"/>
      <pageMargins left="0.75" right="0.75" top="1" bottom="1" header="0.5" footer="0.5"/>
      <pageSetup scale="61" orientation="portrait" r:id="rId4"/>
      <headerFooter alignWithMargins="0"/>
    </customSheetView>
    <customSheetView guid="{4826FCC0-BDD6-4B2C-ACC6-ACE271DDF0E3}" fitToPage="1" showRuler="0" topLeftCell="A52">
      <selection activeCell="A70" sqref="A70"/>
      <pageMargins left="0.75" right="0.75" top="1" bottom="1" header="0.5" footer="0.5"/>
      <pageSetup scale="51" orientation="portrait" r:id="rId5"/>
      <headerFooter alignWithMargins="0"/>
    </customSheetView>
    <customSheetView guid="{EF376D10-23D6-4FE2-AB5B-4460D52CC93F}" fitToPage="1" showRuler="0" topLeftCell="A52">
      <selection activeCell="A70" sqref="A70"/>
      <pageMargins left="0.75" right="0.75" top="1" bottom="1" header="0.5" footer="0.5"/>
      <pageSetup scale="51" orientation="portrait" r:id="rId6"/>
      <headerFooter alignWithMargins="0"/>
    </customSheetView>
    <customSheetView guid="{1C046605-15CE-44F1-BFCD-2CA8588E7ACF}" fitToPage="1" showRuler="0" topLeftCell="A13">
      <selection activeCell="K16" sqref="K16"/>
      <pageMargins left="0.75" right="0.75" top="1" bottom="1" header="0.5" footer="0.5"/>
      <pageSetup scale="50" orientation="portrait" r:id="rId7"/>
      <headerFooter alignWithMargins="0"/>
    </customSheetView>
    <customSheetView guid="{3911D713-188C-46A1-A299-F21DD3B7A146}" fitToPage="1" showRuler="0" topLeftCell="A13">
      <selection activeCell="K16" sqref="K16"/>
      <pageMargins left="0.75" right="0.75" top="1" bottom="1" header="0.5" footer="0.5"/>
      <pageSetup scale="50" orientation="portrait" r:id="rId8"/>
      <headerFooter alignWithMargins="0"/>
    </customSheetView>
    <customSheetView guid="{78BB1E60-60BE-4F56-9763-075185EFEFAB}" scale="85" fitToPage="1" topLeftCell="A52">
      <selection activeCell="I18" sqref="I18:I19"/>
      <pageMargins left="0.75" right="0.75" top="1" bottom="1" header="0.5" footer="0.5"/>
      <pageSetup scale="49" orientation="portrait" r:id="rId9"/>
      <headerFooter alignWithMargins="0"/>
    </customSheetView>
    <customSheetView guid="{9C30803E-1E2D-4850-B0A5-591CA6F246A1}" scale="85" fitToPage="1" topLeftCell="A52">
      <selection activeCell="I18" sqref="I18:I19"/>
      <pageMargins left="0.75" right="0.75" top="1" bottom="1" header="0.5" footer="0.5"/>
      <pageSetup scale="49" orientation="portrait" r:id="rId10"/>
      <headerFooter alignWithMargins="0"/>
    </customSheetView>
    <customSheetView guid="{3B1006FF-A2CA-49E7-9B25-DAC8815279AF}" scale="85" fitToPage="1" topLeftCell="A52">
      <selection activeCell="I18" sqref="I18:I19"/>
      <pageMargins left="0.75" right="0.75" top="1" bottom="1" header="0.5" footer="0.5"/>
      <pageSetup scale="49" orientation="portrait" r:id="rId11"/>
      <headerFooter alignWithMargins="0"/>
    </customSheetView>
    <customSheetView guid="{FB1A60C8-E1F9-4DF0-8E0E-1C965F86027F}" scale="85" fitToPage="1" topLeftCell="A52">
      <selection activeCell="I18" sqref="I18:I19"/>
      <pageMargins left="0.75" right="0.75" top="1" bottom="1" header="0.5" footer="0.5"/>
      <pageSetup scale="47" orientation="portrait" r:id="rId12"/>
      <headerFooter alignWithMargins="0"/>
    </customSheetView>
    <customSheetView guid="{C5B6D812-CBE6-46AA-99F7-02494E9802B4}" scale="70" fitToPage="1">
      <selection activeCell="I92" sqref="I92"/>
      <pageMargins left="0.75" right="0.75" top="0.33" bottom="0.17" header="0.17" footer="0.5"/>
      <pageSetup scale="57" orientation="portrait" r:id="rId13"/>
      <headerFooter alignWithMargins="0"/>
    </customSheetView>
  </customSheetViews>
  <mergeCells count="2">
    <mergeCell ref="A2:I2"/>
    <mergeCell ref="A3:I3"/>
  </mergeCells>
  <phoneticPr fontId="90" type="noConversion"/>
  <pageMargins left="0.75" right="0.75" top="0.33" bottom="0.17" header="0.17" footer="0.5"/>
  <pageSetup scale="57" orientation="portrait" r:id="rId14"/>
  <headerFooter alignWithMargins="0"/>
  <customProperties>
    <customPr name="_pios_id" r:id="rId15"/>
  </customProperties>
</worksheet>
</file>

<file path=xl/worksheets/sheet56.xml><?xml version="1.0" encoding="utf-8"?>
<worksheet xmlns="http://schemas.openxmlformats.org/spreadsheetml/2006/main" xmlns:r="http://schemas.openxmlformats.org/officeDocument/2006/relationships">
  <sheetPr transitionEvaluation="1" codeName="Sheet55" enableFormatConditionsCalculation="0">
    <pageSetUpPr fitToPage="1"/>
  </sheetPr>
  <dimension ref="A1:K61"/>
  <sheetViews>
    <sheetView defaultGridColor="0" colorId="22" zoomScale="75" zoomScaleNormal="75" zoomScaleSheetLayoutView="70" workbookViewId="0"/>
  </sheetViews>
  <sheetFormatPr defaultColWidth="9.77734375" defaultRowHeight="15"/>
  <cols>
    <col min="1" max="1" width="4.77734375" customWidth="1"/>
    <col min="2" max="2" width="2.77734375" customWidth="1"/>
    <col min="3" max="3" width="49.77734375" customWidth="1"/>
    <col min="4" max="4" width="12.77734375" customWidth="1"/>
    <col min="5" max="6" width="10.77734375" customWidth="1"/>
    <col min="7" max="7" width="15.5546875" customWidth="1"/>
  </cols>
  <sheetData>
    <row r="1" spans="1:8" ht="16.5" thickBot="1">
      <c r="A1" s="186" t="str">
        <f>'Data sheet'!$A$61</f>
        <v>Annual Report of New York American Water Company, Inc. (f/k/a Long Island Water Corp)                                    Year Ended  December 31, 2013</v>
      </c>
      <c r="B1" s="230"/>
      <c r="C1" s="230"/>
      <c r="D1" s="13"/>
      <c r="E1" s="1673"/>
      <c r="F1" s="1673"/>
      <c r="G1" s="1677"/>
      <c r="H1" s="230"/>
    </row>
    <row r="2" spans="1:8">
      <c r="A2" s="530"/>
      <c r="B2" s="233"/>
      <c r="C2" s="233"/>
      <c r="D2" s="233"/>
      <c r="E2" s="233"/>
      <c r="F2" s="233"/>
      <c r="G2" s="531"/>
      <c r="H2" s="230"/>
    </row>
    <row r="3" spans="1:8" ht="15.75">
      <c r="A3" s="235" t="s">
        <v>486</v>
      </c>
      <c r="B3" s="13"/>
      <c r="C3" s="13"/>
      <c r="D3" s="13"/>
      <c r="E3" s="13"/>
      <c r="F3" s="13"/>
      <c r="G3" s="545"/>
      <c r="H3" s="230"/>
    </row>
    <row r="4" spans="1:8">
      <c r="A4" s="238"/>
      <c r="B4" s="230"/>
      <c r="C4" s="230"/>
      <c r="D4" s="230"/>
      <c r="E4" s="230"/>
      <c r="F4" s="230"/>
      <c r="G4" s="532"/>
      <c r="H4" s="230"/>
    </row>
    <row r="5" spans="1:8">
      <c r="A5" s="238"/>
      <c r="B5" s="230" t="s">
        <v>487</v>
      </c>
      <c r="C5" s="230"/>
      <c r="D5" s="230"/>
      <c r="E5" s="230"/>
      <c r="F5" s="230"/>
      <c r="G5" s="532"/>
      <c r="H5" s="230"/>
    </row>
    <row r="6" spans="1:8">
      <c r="A6" s="238"/>
      <c r="B6" s="230" t="s">
        <v>1982</v>
      </c>
      <c r="C6" s="230"/>
      <c r="D6" s="230"/>
      <c r="E6" s="230"/>
      <c r="F6" s="230"/>
      <c r="G6" s="532"/>
      <c r="H6" s="230"/>
    </row>
    <row r="7" spans="1:8">
      <c r="A7" s="238"/>
      <c r="B7" s="230" t="s">
        <v>1983</v>
      </c>
      <c r="C7" s="230"/>
      <c r="D7" s="230"/>
      <c r="E7" s="230"/>
      <c r="F7" s="230"/>
      <c r="G7" s="532"/>
      <c r="H7" s="230"/>
    </row>
    <row r="8" spans="1:8">
      <c r="A8" s="238"/>
      <c r="B8" s="230" t="s">
        <v>1984</v>
      </c>
      <c r="C8" s="230"/>
      <c r="D8" s="230"/>
      <c r="E8" s="230"/>
      <c r="F8" s="230"/>
      <c r="G8" s="532"/>
      <c r="H8" s="230"/>
    </row>
    <row r="9" spans="1:8">
      <c r="A9" s="533"/>
      <c r="B9" s="534"/>
      <c r="C9" s="534"/>
      <c r="D9" s="534"/>
      <c r="E9" s="534"/>
      <c r="F9" s="534"/>
      <c r="G9" s="535"/>
      <c r="H9" s="230"/>
    </row>
    <row r="10" spans="1:8">
      <c r="A10" s="533"/>
      <c r="B10" s="534"/>
      <c r="C10" s="534"/>
      <c r="D10" s="534"/>
      <c r="E10" s="534"/>
      <c r="F10" s="534"/>
      <c r="G10" s="535"/>
      <c r="H10" s="230"/>
    </row>
    <row r="11" spans="1:8">
      <c r="A11" s="270"/>
      <c r="B11" s="230"/>
      <c r="C11" s="252"/>
      <c r="D11" s="765" t="s">
        <v>1985</v>
      </c>
      <c r="E11" s="765"/>
      <c r="F11" s="765"/>
      <c r="G11" s="772" t="s">
        <v>1135</v>
      </c>
      <c r="H11" s="230"/>
    </row>
    <row r="12" spans="1:8">
      <c r="A12" s="270" t="s">
        <v>357</v>
      </c>
      <c r="B12" s="230"/>
      <c r="C12" s="765" t="s">
        <v>1986</v>
      </c>
      <c r="D12" s="765" t="s">
        <v>2325</v>
      </c>
      <c r="E12" s="765"/>
      <c r="F12" s="765"/>
      <c r="G12" s="532"/>
      <c r="H12" s="230"/>
    </row>
    <row r="13" spans="1:8">
      <c r="A13" s="277" t="s">
        <v>2955</v>
      </c>
      <c r="B13" s="534"/>
      <c r="C13" s="805" t="s">
        <v>4032</v>
      </c>
      <c r="D13" s="805" t="s">
        <v>4033</v>
      </c>
      <c r="E13" s="805" t="s">
        <v>4034</v>
      </c>
      <c r="F13" s="805" t="s">
        <v>4035</v>
      </c>
      <c r="G13" s="773" t="s">
        <v>2277</v>
      </c>
      <c r="H13" s="230"/>
    </row>
    <row r="14" spans="1:8" ht="15.75">
      <c r="A14" s="270">
        <v>1</v>
      </c>
      <c r="B14" s="230" t="s">
        <v>2326</v>
      </c>
      <c r="C14" s="1244"/>
      <c r="D14" s="652"/>
      <c r="E14" s="652"/>
      <c r="F14" s="652"/>
      <c r="G14" s="469"/>
      <c r="H14" s="230"/>
    </row>
    <row r="15" spans="1:8">
      <c r="A15" s="270">
        <v>2</v>
      </c>
      <c r="B15" s="230"/>
      <c r="C15" s="1245" t="s">
        <v>2327</v>
      </c>
      <c r="D15" s="2035">
        <v>0</v>
      </c>
      <c r="E15" s="652"/>
      <c r="F15" s="652"/>
      <c r="G15" s="469">
        <f t="shared" ref="G15:G22" si="0">SUM(D15:F15)</f>
        <v>0</v>
      </c>
      <c r="H15" s="230"/>
    </row>
    <row r="16" spans="1:8">
      <c r="A16" s="270">
        <v>3</v>
      </c>
      <c r="B16" s="230"/>
      <c r="C16" s="252" t="s">
        <v>2328</v>
      </c>
      <c r="D16" s="2039">
        <v>1031</v>
      </c>
      <c r="E16" s="1247"/>
      <c r="F16" s="1247"/>
      <c r="G16" s="461">
        <f t="shared" si="0"/>
        <v>1031</v>
      </c>
      <c r="H16" s="230"/>
    </row>
    <row r="17" spans="1:11">
      <c r="A17" s="270">
        <v>4</v>
      </c>
      <c r="B17" s="230"/>
      <c r="C17" s="252" t="s">
        <v>2329</v>
      </c>
      <c r="D17" s="2040"/>
      <c r="E17" s="1247"/>
      <c r="F17" s="1247"/>
      <c r="G17" s="461">
        <f t="shared" si="0"/>
        <v>0</v>
      </c>
      <c r="H17" s="230"/>
    </row>
    <row r="18" spans="1:11">
      <c r="A18" s="270">
        <v>5</v>
      </c>
      <c r="B18" s="230"/>
      <c r="C18" s="252" t="s">
        <v>2330</v>
      </c>
      <c r="D18" s="2040"/>
      <c r="E18" s="1247"/>
      <c r="F18" s="1247"/>
      <c r="G18" s="461">
        <f t="shared" si="0"/>
        <v>0</v>
      </c>
      <c r="H18" s="230"/>
    </row>
    <row r="19" spans="1:11">
      <c r="A19" s="270">
        <v>6</v>
      </c>
      <c r="B19" s="230"/>
      <c r="C19" s="252"/>
      <c r="D19" s="2040"/>
      <c r="E19" s="1247"/>
      <c r="F19" s="1247"/>
      <c r="G19" s="461">
        <f t="shared" si="0"/>
        <v>0</v>
      </c>
      <c r="H19" s="230"/>
    </row>
    <row r="20" spans="1:11">
      <c r="A20" s="270">
        <v>7</v>
      </c>
      <c r="B20" s="230"/>
      <c r="C20" s="252"/>
      <c r="D20" s="2040"/>
      <c r="E20" s="1247"/>
      <c r="F20" s="1247"/>
      <c r="G20" s="461">
        <f t="shared" si="0"/>
        <v>0</v>
      </c>
      <c r="H20" s="230"/>
    </row>
    <row r="21" spans="1:11">
      <c r="A21" s="270">
        <v>8</v>
      </c>
      <c r="B21" s="230"/>
      <c r="C21" s="1248"/>
      <c r="D21" s="1853"/>
      <c r="E21" s="620"/>
      <c r="F21" s="620"/>
      <c r="G21" s="461">
        <f t="shared" si="0"/>
        <v>0</v>
      </c>
      <c r="H21" s="230"/>
    </row>
    <row r="22" spans="1:11">
      <c r="A22" s="270">
        <v>9</v>
      </c>
      <c r="B22" s="230"/>
      <c r="C22" s="765"/>
      <c r="D22" s="1853"/>
      <c r="E22" s="620"/>
      <c r="F22" s="620"/>
      <c r="G22" s="461">
        <f t="shared" si="0"/>
        <v>0</v>
      </c>
      <c r="H22" s="230"/>
    </row>
    <row r="23" spans="1:11">
      <c r="A23" s="270">
        <v>10</v>
      </c>
      <c r="B23" s="230"/>
      <c r="C23" s="1248" t="s">
        <v>2331</v>
      </c>
      <c r="D23" s="2081">
        <f>SUM(D15:D22)</f>
        <v>1031</v>
      </c>
      <c r="E23" s="1250">
        <f>SUM(E15:E22)</f>
        <v>0</v>
      </c>
      <c r="F23" s="1250">
        <f>SUM(F15:F22)</f>
        <v>0</v>
      </c>
      <c r="G23" s="1251">
        <f>SUM(G15:G22)</f>
        <v>1031</v>
      </c>
      <c r="H23" s="230"/>
    </row>
    <row r="24" spans="1:11">
      <c r="A24" s="270">
        <v>11</v>
      </c>
      <c r="B24" s="230"/>
      <c r="C24" s="252"/>
      <c r="D24" s="2040"/>
      <c r="E24" s="1247"/>
      <c r="F24" s="1247"/>
      <c r="G24" s="461"/>
      <c r="H24" s="230"/>
    </row>
    <row r="25" spans="1:11">
      <c r="A25" s="270">
        <v>12</v>
      </c>
      <c r="B25" s="230"/>
      <c r="C25" s="252"/>
      <c r="D25" s="2041"/>
      <c r="E25" s="1249"/>
      <c r="F25" s="1249"/>
      <c r="G25" s="461"/>
      <c r="H25" s="230"/>
    </row>
    <row r="26" spans="1:11">
      <c r="A26" s="270">
        <v>13</v>
      </c>
      <c r="B26" s="230" t="s">
        <v>2332</v>
      </c>
      <c r="C26" s="252"/>
      <c r="D26" s="2041"/>
      <c r="E26" s="1249"/>
      <c r="F26" s="1249"/>
      <c r="G26" s="461"/>
      <c r="H26" s="230"/>
    </row>
    <row r="27" spans="1:11">
      <c r="A27" s="270">
        <v>14</v>
      </c>
      <c r="B27" s="230"/>
      <c r="C27" s="252" t="s">
        <v>3666</v>
      </c>
      <c r="D27" s="2042">
        <v>0</v>
      </c>
      <c r="E27" s="598"/>
      <c r="F27" s="598"/>
      <c r="G27" s="469">
        <f t="shared" ref="G27:G42" si="1">SUM(D27:F27)</f>
        <v>0</v>
      </c>
      <c r="I27" s="230"/>
      <c r="K27" s="2203"/>
    </row>
    <row r="28" spans="1:11">
      <c r="A28" s="270">
        <v>15</v>
      </c>
      <c r="B28" s="230"/>
      <c r="C28" s="1245" t="s">
        <v>983</v>
      </c>
      <c r="D28" s="2042"/>
      <c r="E28" s="557"/>
      <c r="F28" s="557"/>
      <c r="G28" s="469">
        <f>SUM(D28:F28)</f>
        <v>0</v>
      </c>
      <c r="H28" s="230"/>
      <c r="I28" s="230"/>
    </row>
    <row r="29" spans="1:11">
      <c r="A29" s="270">
        <v>16</v>
      </c>
      <c r="B29" s="230"/>
      <c r="C29" s="252"/>
      <c r="D29" s="2042"/>
      <c r="E29" s="620"/>
      <c r="F29" s="620"/>
      <c r="G29" s="461">
        <f>SUM(D29:F29)</f>
        <v>0</v>
      </c>
      <c r="H29" s="230"/>
    </row>
    <row r="30" spans="1:11">
      <c r="A30" s="270">
        <v>17</v>
      </c>
      <c r="B30" s="230"/>
      <c r="C30" s="252"/>
      <c r="D30" s="620"/>
      <c r="E30" s="620"/>
      <c r="F30" s="620"/>
      <c r="G30" s="461">
        <f t="shared" si="1"/>
        <v>0</v>
      </c>
      <c r="H30" s="230"/>
    </row>
    <row r="31" spans="1:11">
      <c r="A31" s="270">
        <v>18</v>
      </c>
      <c r="B31" s="230"/>
      <c r="C31" s="1245"/>
      <c r="D31" s="620"/>
      <c r="E31" s="620"/>
      <c r="F31" s="620"/>
      <c r="G31" s="461">
        <f t="shared" si="1"/>
        <v>0</v>
      </c>
      <c r="H31" s="230"/>
    </row>
    <row r="32" spans="1:11">
      <c r="A32" s="270">
        <v>19</v>
      </c>
      <c r="B32" s="230"/>
      <c r="C32" s="2080"/>
      <c r="D32" s="620"/>
      <c r="E32" s="620"/>
      <c r="F32" s="620"/>
      <c r="G32" s="461">
        <f t="shared" si="1"/>
        <v>0</v>
      </c>
      <c r="H32" s="230"/>
    </row>
    <row r="33" spans="1:8" ht="15.75">
      <c r="A33" s="270">
        <v>20</v>
      </c>
      <c r="B33" s="230"/>
      <c r="C33" s="1244"/>
      <c r="D33" s="620"/>
      <c r="E33" s="620"/>
      <c r="F33" s="620"/>
      <c r="G33" s="461">
        <f t="shared" si="1"/>
        <v>0</v>
      </c>
      <c r="H33" s="230"/>
    </row>
    <row r="34" spans="1:8">
      <c r="A34" s="270">
        <v>21</v>
      </c>
      <c r="B34" s="230"/>
      <c r="C34" s="252"/>
      <c r="D34" s="620"/>
      <c r="E34" s="620"/>
      <c r="F34" s="620"/>
      <c r="G34" s="461">
        <f t="shared" si="1"/>
        <v>0</v>
      </c>
      <c r="H34" s="230"/>
    </row>
    <row r="35" spans="1:8">
      <c r="A35" s="270">
        <v>22</v>
      </c>
      <c r="B35" s="230"/>
      <c r="C35" s="252"/>
      <c r="D35" s="1247"/>
      <c r="E35" s="1247"/>
      <c r="F35" s="1247"/>
      <c r="G35" s="461">
        <f t="shared" si="1"/>
        <v>0</v>
      </c>
      <c r="H35" s="230"/>
    </row>
    <row r="36" spans="1:8">
      <c r="A36" s="270">
        <v>23</v>
      </c>
      <c r="B36" s="230"/>
      <c r="C36" s="252"/>
      <c r="D36" s="1247"/>
      <c r="E36" s="1247"/>
      <c r="F36" s="1247"/>
      <c r="G36" s="461">
        <f t="shared" si="1"/>
        <v>0</v>
      </c>
      <c r="H36" s="230"/>
    </row>
    <row r="37" spans="1:8">
      <c r="A37" s="270">
        <v>24</v>
      </c>
      <c r="B37" s="230"/>
      <c r="C37" s="252"/>
      <c r="D37" s="1247"/>
      <c r="E37" s="1247"/>
      <c r="F37" s="1247"/>
      <c r="G37" s="461">
        <f t="shared" si="1"/>
        <v>0</v>
      </c>
      <c r="H37" s="230"/>
    </row>
    <row r="38" spans="1:8">
      <c r="A38" s="270">
        <v>25</v>
      </c>
      <c r="B38" s="230"/>
      <c r="C38" s="252"/>
      <c r="D38" s="1247"/>
      <c r="E38" s="1247"/>
      <c r="F38" s="1247"/>
      <c r="G38" s="461">
        <f t="shared" si="1"/>
        <v>0</v>
      </c>
      <c r="H38" s="230"/>
    </row>
    <row r="39" spans="1:8">
      <c r="A39" s="270">
        <v>26</v>
      </c>
      <c r="B39" s="230"/>
      <c r="C39" s="1245" t="s">
        <v>2333</v>
      </c>
      <c r="D39" s="1247"/>
      <c r="E39" s="1247"/>
      <c r="F39" s="1247"/>
      <c r="G39" s="461">
        <f t="shared" si="1"/>
        <v>0</v>
      </c>
      <c r="H39" s="230"/>
    </row>
    <row r="40" spans="1:8">
      <c r="A40" s="270">
        <v>27</v>
      </c>
      <c r="B40" s="230"/>
      <c r="C40" s="252" t="s">
        <v>2334</v>
      </c>
      <c r="D40" s="1247"/>
      <c r="E40" s="1247"/>
      <c r="F40" s="1247"/>
      <c r="G40" s="461">
        <f t="shared" si="1"/>
        <v>0</v>
      </c>
      <c r="H40" s="230"/>
    </row>
    <row r="41" spans="1:8">
      <c r="A41" s="270">
        <v>28</v>
      </c>
      <c r="B41" s="230"/>
      <c r="C41" s="252" t="s">
        <v>2335</v>
      </c>
      <c r="D41" s="2082"/>
      <c r="E41" s="1247"/>
      <c r="F41" s="1247"/>
      <c r="G41" s="469">
        <f>SUM(D41:F41)</f>
        <v>0</v>
      </c>
      <c r="H41" s="230"/>
    </row>
    <row r="42" spans="1:8">
      <c r="A42" s="270">
        <v>29</v>
      </c>
      <c r="B42" s="230"/>
      <c r="C42" s="252" t="s">
        <v>323</v>
      </c>
      <c r="D42" s="1247"/>
      <c r="E42" s="1247"/>
      <c r="F42" s="1247"/>
      <c r="G42" s="461">
        <f t="shared" si="1"/>
        <v>0</v>
      </c>
      <c r="H42" s="230"/>
    </row>
    <row r="43" spans="1:8">
      <c r="A43" s="270">
        <v>30</v>
      </c>
      <c r="B43" s="230"/>
      <c r="C43" s="1248" t="s">
        <v>3268</v>
      </c>
      <c r="D43" s="425">
        <f>SUM(D27:D42)</f>
        <v>0</v>
      </c>
      <c r="E43" s="425">
        <f>SUM(E27:E42)</f>
        <v>0</v>
      </c>
      <c r="F43" s="425">
        <f>SUM(F27:F42)</f>
        <v>0</v>
      </c>
      <c r="G43" s="423">
        <f>SUM(G27:G42)</f>
        <v>0</v>
      </c>
      <c r="H43" s="230"/>
    </row>
    <row r="44" spans="1:8">
      <c r="A44" s="270">
        <v>31</v>
      </c>
      <c r="B44" s="230"/>
      <c r="C44" s="252"/>
      <c r="D44" s="620"/>
      <c r="E44" s="620"/>
      <c r="F44" s="620"/>
      <c r="G44" s="461"/>
      <c r="H44" s="230"/>
    </row>
    <row r="45" spans="1:8">
      <c r="A45" s="270">
        <v>32</v>
      </c>
      <c r="B45" s="230"/>
      <c r="C45" s="252"/>
      <c r="D45" s="1247"/>
      <c r="E45" s="1247"/>
      <c r="F45" s="1247"/>
      <c r="G45" s="461"/>
      <c r="H45" s="230"/>
    </row>
    <row r="46" spans="1:8">
      <c r="A46" s="270">
        <v>33</v>
      </c>
      <c r="B46" s="230"/>
      <c r="C46" s="252"/>
      <c r="D46" s="1247"/>
      <c r="E46" s="1247"/>
      <c r="F46" s="1247"/>
      <c r="G46" s="461"/>
      <c r="H46" s="230"/>
    </row>
    <row r="47" spans="1:8">
      <c r="A47" s="270">
        <v>34</v>
      </c>
      <c r="B47" s="230"/>
      <c r="C47" s="1248" t="s">
        <v>3269</v>
      </c>
      <c r="D47" s="1250">
        <f>D23-D43</f>
        <v>1031</v>
      </c>
      <c r="E47" s="1250">
        <f>E23-E43</f>
        <v>0</v>
      </c>
      <c r="F47" s="1250">
        <f>F23-F43</f>
        <v>0</v>
      </c>
      <c r="G47" s="1251">
        <f>G23-G43</f>
        <v>1031</v>
      </c>
      <c r="H47" s="230"/>
    </row>
    <row r="48" spans="1:8">
      <c r="A48" s="270">
        <v>35</v>
      </c>
      <c r="B48" s="230"/>
      <c r="C48" s="252"/>
      <c r="D48" s="1247"/>
      <c r="E48" s="1247"/>
      <c r="F48" s="1247"/>
      <c r="G48" s="461"/>
      <c r="H48" s="230"/>
    </row>
    <row r="49" spans="1:8">
      <c r="A49" s="270">
        <v>36</v>
      </c>
      <c r="B49" s="1252" t="s">
        <v>3270</v>
      </c>
      <c r="C49" s="1245"/>
      <c r="D49" s="1246"/>
      <c r="E49" s="1253"/>
      <c r="F49" s="1253"/>
      <c r="G49" s="1254"/>
      <c r="H49" s="230"/>
    </row>
    <row r="50" spans="1:8">
      <c r="A50" s="270">
        <v>37</v>
      </c>
      <c r="B50" s="230"/>
      <c r="C50" s="1245" t="s">
        <v>3271</v>
      </c>
      <c r="D50" s="1247"/>
      <c r="E50" s="1247"/>
      <c r="F50" s="1247"/>
      <c r="G50" s="461">
        <f>SUM(D50:F50)</f>
        <v>0</v>
      </c>
      <c r="H50" s="230"/>
    </row>
    <row r="51" spans="1:8">
      <c r="A51" s="270">
        <v>38</v>
      </c>
      <c r="B51" s="230"/>
      <c r="C51" s="1245" t="s">
        <v>3272</v>
      </c>
      <c r="D51" s="1247"/>
      <c r="E51" s="1247"/>
      <c r="F51" s="1247"/>
      <c r="G51" s="461">
        <f>SUM(D51:F51)</f>
        <v>0</v>
      </c>
      <c r="H51" s="230"/>
    </row>
    <row r="52" spans="1:8">
      <c r="A52" s="270">
        <v>39</v>
      </c>
      <c r="B52" s="230"/>
      <c r="C52" s="1245" t="s">
        <v>3273</v>
      </c>
      <c r="D52" s="1247"/>
      <c r="E52" s="1247"/>
      <c r="F52" s="1247"/>
      <c r="G52" s="461">
        <f>SUM(D52:F52)</f>
        <v>0</v>
      </c>
      <c r="H52" s="230"/>
    </row>
    <row r="53" spans="1:8">
      <c r="A53" s="270">
        <v>40</v>
      </c>
      <c r="B53" s="230"/>
      <c r="C53" s="252"/>
      <c r="D53" s="1247"/>
      <c r="E53" s="1247"/>
      <c r="F53" s="1247"/>
      <c r="G53" s="461"/>
      <c r="H53" s="230"/>
    </row>
    <row r="54" spans="1:8">
      <c r="A54" s="270">
        <v>41</v>
      </c>
      <c r="B54" s="230"/>
      <c r="C54" s="1248" t="s">
        <v>3274</v>
      </c>
      <c r="D54" s="425">
        <f>SUM(D50:D52)</f>
        <v>0</v>
      </c>
      <c r="E54" s="425">
        <f>SUM(E50:E52)</f>
        <v>0</v>
      </c>
      <c r="F54" s="425">
        <f>SUM(F50:F52)</f>
        <v>0</v>
      </c>
      <c r="G54" s="423">
        <f>SUM(G50:G52)</f>
        <v>0</v>
      </c>
      <c r="H54" s="230"/>
    </row>
    <row r="55" spans="1:8">
      <c r="A55" s="270">
        <v>42</v>
      </c>
      <c r="B55" s="230"/>
      <c r="C55" s="765"/>
      <c r="D55" s="620"/>
      <c r="E55" s="620"/>
      <c r="F55" s="620"/>
      <c r="G55" s="461"/>
      <c r="H55" s="230"/>
    </row>
    <row r="56" spans="1:8">
      <c r="A56" s="270">
        <v>43</v>
      </c>
      <c r="B56" s="230"/>
      <c r="C56" s="765"/>
      <c r="D56" s="1247"/>
      <c r="E56" s="1247"/>
      <c r="F56" s="1247"/>
      <c r="G56" s="461"/>
      <c r="H56" s="230"/>
    </row>
    <row r="57" spans="1:8">
      <c r="A57" s="270">
        <v>44</v>
      </c>
      <c r="B57" s="230"/>
      <c r="C57" s="765"/>
      <c r="D57" s="1247"/>
      <c r="E57" s="1247"/>
      <c r="F57" s="1247"/>
      <c r="G57" s="461"/>
      <c r="H57" s="230"/>
    </row>
    <row r="58" spans="1:8" ht="15.75" thickBot="1">
      <c r="A58" s="563">
        <v>45</v>
      </c>
      <c r="B58" s="550"/>
      <c r="C58" s="1255" t="s">
        <v>3275</v>
      </c>
      <c r="D58" s="707">
        <f>D47-D54</f>
        <v>1031</v>
      </c>
      <c r="E58" s="707">
        <f>E47-E54</f>
        <v>0</v>
      </c>
      <c r="F58" s="707">
        <f>F47-F54</f>
        <v>0</v>
      </c>
      <c r="G58" s="1256">
        <f>G47-G54</f>
        <v>1031</v>
      </c>
      <c r="H58" s="230"/>
    </row>
    <row r="59" spans="1:8">
      <c r="A59" s="230"/>
      <c r="B59" s="13"/>
      <c r="C59" s="13"/>
      <c r="D59" s="454"/>
      <c r="E59" s="454"/>
      <c r="F59" s="454"/>
      <c r="G59" s="454" t="s">
        <v>4066</v>
      </c>
      <c r="H59" s="230"/>
    </row>
    <row r="60" spans="1:8">
      <c r="A60" s="13" t="s">
        <v>3276</v>
      </c>
      <c r="B60" s="13"/>
      <c r="C60" s="13"/>
      <c r="D60" s="454"/>
      <c r="E60" s="454"/>
      <c r="F60" s="454"/>
      <c r="G60" s="454"/>
      <c r="H60" s="230"/>
    </row>
    <row r="61" spans="1:8">
      <c r="A61" s="13"/>
      <c r="B61" s="13"/>
      <c r="C61" s="13"/>
      <c r="D61" s="454"/>
      <c r="E61" s="454"/>
      <c r="F61" s="454"/>
      <c r="G61" s="454"/>
      <c r="H61" s="230"/>
    </row>
  </sheetData>
  <customSheetViews>
    <customSheetView guid="{1BA452AD-1A45-4D9C-9666-ADFFA6F2F567}" scale="60" colorId="22" showPageBreaks="1" fitToPage="1" printArea="1" view="pageBreakPreview">
      <selection activeCell="G48" sqref="G48"/>
      <pageMargins left="0.65" right="0.4" top="0.3" bottom="0.3" header="0.5" footer="0.5"/>
      <printOptions horizontalCentered="1" verticalCentered="1"/>
      <pageSetup scale="74" orientation="portrait" r:id="rId1"/>
      <headerFooter alignWithMargins="0"/>
    </customSheetView>
    <customSheetView guid="{EEF7ABD6-0F96-4791-B749-C06F707E7673}" scale="60" colorId="22" showPageBreaks="1" fitToPage="1" printArea="1" view="pageBreakPreview" showRuler="0">
      <selection activeCell="D28" sqref="D28"/>
      <pageMargins left="0.65" right="0.4" top="0.3" bottom="0.3" header="0.5" footer="0.5"/>
      <printOptions horizontalCentered="1" verticalCentered="1"/>
      <pageSetup scale="74" orientation="portrait" r:id="rId2"/>
      <headerFooter alignWithMargins="0"/>
    </customSheetView>
    <customSheetView guid="{A7D7DB3C-AFE6-468E-8C6B-9531F6711497}" scale="60" colorId="22" showPageBreaks="1" printArea="1" view="pageBreakPreview" showRuler="0" topLeftCell="A27">
      <selection activeCell="D62" sqref="D62"/>
      <pageMargins left="0.65" right="0.4" top="0.3" bottom="0.3" header="0.5" footer="0.5"/>
      <printOptions horizontalCentered="1" verticalCentered="1"/>
      <pageSetup scale="74" orientation="portrait" r:id="rId3"/>
      <headerFooter alignWithMargins="0"/>
    </customSheetView>
    <customSheetView guid="{4436FEB5-BFEC-4348-9286-CB706802873E}" scale="60" colorId="22" showPageBreaks="1" printArea="1" view="pageBreakPreview" showRuler="0" topLeftCell="A27">
      <selection activeCell="D62" sqref="D62"/>
      <pageMargins left="0.65" right="0.4" top="0.3" bottom="0.3" header="0.5" footer="0.5"/>
      <printOptions horizontalCentered="1" verticalCentered="1"/>
      <pageSetup scale="74" orientation="portrait" r:id="rId4"/>
      <headerFooter alignWithMargins="0"/>
    </customSheetView>
    <customSheetView guid="{044CF00C-469F-44B3-B2C4-9B4049CE70CB}" scale="75" colorId="22" showRuler="0">
      <selection activeCell="G27" sqref="G27"/>
      <pageMargins left="0.65" right="0.4" top="0.3" bottom="0.3" header="0.5" footer="0.5"/>
      <printOptions horizontalCentered="1" verticalCentered="1"/>
      <pageSetup scale="74" orientation="portrait" r:id="rId5"/>
      <headerFooter alignWithMargins="0"/>
    </customSheetView>
    <customSheetView guid="{4826FCC0-BDD6-4B2C-ACC6-ACE271DDF0E3}" scale="60" colorId="22" showPageBreaks="1" fitToPage="1" printArea="1" view="pageBreakPreview" showRuler="0">
      <selection activeCell="D28" sqref="D28"/>
      <pageMargins left="0.65" right="0.4" top="0.3" bottom="0.3" header="0.5" footer="0.5"/>
      <printOptions horizontalCentered="1" verticalCentered="1"/>
      <pageSetup scale="74" orientation="portrait" r:id="rId6"/>
      <headerFooter alignWithMargins="0"/>
    </customSheetView>
    <customSheetView guid="{EF376D10-23D6-4FE2-AB5B-4460D52CC93F}" scale="60" colorId="22" showPageBreaks="1" fitToPage="1" printArea="1" view="pageBreakPreview" showRuler="0">
      <selection activeCell="D28" sqref="D28"/>
      <pageMargins left="0.65" right="0.4" top="0.3" bottom="0.3" header="0.5" footer="0.5"/>
      <printOptions horizontalCentered="1" verticalCentered="1"/>
      <pageSetup scale="74" orientation="portrait" r:id="rId7"/>
      <headerFooter alignWithMargins="0"/>
    </customSheetView>
    <customSheetView guid="{1C046605-15CE-44F1-BFCD-2CA8588E7ACF}" scale="75" colorId="22" fitToPage="1" showRuler="0" topLeftCell="A8">
      <selection activeCell="D27" sqref="D27"/>
      <pageMargins left="0.65" right="0.4" top="0.3" bottom="0.3" header="0.5" footer="0.5"/>
      <printOptions horizontalCentered="1" verticalCentered="1"/>
      <pageSetup scale="74" orientation="portrait" r:id="rId8"/>
      <headerFooter alignWithMargins="0"/>
    </customSheetView>
    <customSheetView guid="{3911D713-188C-46A1-A299-F21DD3B7A146}" scale="75" colorId="22" fitToPage="1" showRuler="0" topLeftCell="A8">
      <selection activeCell="D27" sqref="D27"/>
      <pageMargins left="0.65" right="0.4" top="0.3" bottom="0.3" header="0.5" footer="0.5"/>
      <printOptions horizontalCentered="1" verticalCentered="1"/>
      <pageSetup scale="74" orientation="portrait" r:id="rId9"/>
      <headerFooter alignWithMargins="0"/>
    </customSheetView>
    <customSheetView guid="{78BB1E60-60BE-4F56-9763-075185EFEFAB}" scale="60" colorId="22" showPageBreaks="1" fitToPage="1" printArea="1" view="pageBreakPreview">
      <selection activeCell="D29" sqref="D29"/>
      <pageMargins left="0.65" right="0.4" top="0.3" bottom="0.3" header="0.5" footer="0.5"/>
      <printOptions horizontalCentered="1" verticalCentered="1"/>
      <pageSetup scale="74" orientation="portrait" r:id="rId10"/>
      <headerFooter alignWithMargins="0"/>
    </customSheetView>
    <customSheetView guid="{9C30803E-1E2D-4850-B0A5-591CA6F246A1}" scale="60" colorId="22" showPageBreaks="1" fitToPage="1" printArea="1" view="pageBreakPreview">
      <selection activeCell="D29" sqref="D29"/>
      <pageMargins left="0.65" right="0.4" top="0.3" bottom="0.3" header="0.5" footer="0.5"/>
      <printOptions horizontalCentered="1" verticalCentered="1"/>
      <pageSetup scale="74" orientation="portrait" r:id="rId11"/>
      <headerFooter alignWithMargins="0"/>
    </customSheetView>
    <customSheetView guid="{3B1006FF-A2CA-49E7-9B25-DAC8815279AF}" scale="60" colorId="22" showPageBreaks="1" fitToPage="1" printArea="1" view="pageBreakPreview">
      <selection activeCell="D29" sqref="D29"/>
      <pageMargins left="0.65" right="0.4" top="0.3" bottom="0.3" header="0.5" footer="0.5"/>
      <printOptions horizontalCentered="1" verticalCentered="1"/>
      <pageSetup scale="74" orientation="portrait" r:id="rId12"/>
      <headerFooter alignWithMargins="0"/>
    </customSheetView>
    <customSheetView guid="{FB1A60C8-E1F9-4DF0-8E0E-1C965F86027F}" scale="60" colorId="22" showPageBreaks="1" fitToPage="1" printArea="1" view="pageBreakPreview">
      <selection activeCell="D29" sqref="D29"/>
      <pageMargins left="0.65" right="0.4" top="0.3" bottom="0.3" header="0.5" footer="0.5"/>
      <printOptions horizontalCentered="1" verticalCentered="1"/>
      <pageSetup scale="74" orientation="portrait" r:id="rId13"/>
      <headerFooter alignWithMargins="0"/>
    </customSheetView>
    <customSheetView guid="{C5B6D812-CBE6-46AA-99F7-02494E9802B4}" scale="70" colorId="22" showPageBreaks="1" fitToPage="1" printArea="1" view="pageBreakPreview">
      <selection activeCell="C10" sqref="C10"/>
      <pageMargins left="0.65" right="0.4" top="0.3" bottom="0.3" header="0.5" footer="0.5"/>
      <printOptions horizontalCentered="1" verticalCentered="1"/>
      <pageSetup scale="74" orientation="portrait" r:id="rId14"/>
      <headerFooter alignWithMargins="0"/>
    </customSheetView>
  </customSheetViews>
  <phoneticPr fontId="0" type="noConversion"/>
  <printOptions horizontalCentered="1" verticalCentered="1"/>
  <pageMargins left="0.65" right="0.4" top="0.3" bottom="0.3" header="0.5" footer="0.5"/>
  <pageSetup scale="74" orientation="portrait" r:id="rId15"/>
  <headerFooter alignWithMargins="0"/>
  <customProperties>
    <customPr name="_pios_id" r:id="rId16"/>
  </customProperties>
</worksheet>
</file>

<file path=xl/worksheets/sheet57.xml><?xml version="1.0" encoding="utf-8"?>
<worksheet xmlns="http://schemas.openxmlformats.org/spreadsheetml/2006/main" xmlns:r="http://schemas.openxmlformats.org/officeDocument/2006/relationships">
  <sheetPr transitionEvaluation="1" codeName="Sheet56" enableFormatConditionsCalculation="0">
    <pageSetUpPr fitToPage="1"/>
  </sheetPr>
  <dimension ref="A1:F63"/>
  <sheetViews>
    <sheetView defaultGridColor="0" colorId="22" zoomScale="75" zoomScaleNormal="75" zoomScaleSheetLayoutView="70" workbookViewId="0"/>
  </sheetViews>
  <sheetFormatPr defaultColWidth="9.77734375" defaultRowHeight="15"/>
  <cols>
    <col min="1" max="1" width="4.77734375" customWidth="1"/>
    <col min="2" max="2" width="44.77734375" customWidth="1"/>
    <col min="3" max="3" width="21.77734375" customWidth="1"/>
    <col min="4" max="4" width="18.77734375" customWidth="1"/>
    <col min="5" max="5" width="21.77734375" customWidth="1"/>
  </cols>
  <sheetData>
    <row r="1" spans="1:5" ht="15.75" thickBot="1">
      <c r="A1" s="186" t="str">
        <f>'Data sheet'!$A$63</f>
        <v>Annual Report of New York American Water Company, Inc. (f/k/a Long Island Water Corp)                                    Year Ended  December 31, 2013</v>
      </c>
      <c r="B1" s="230"/>
      <c r="C1" s="230"/>
      <c r="D1" s="1635"/>
      <c r="E1" s="1635"/>
    </row>
    <row r="2" spans="1:5">
      <c r="A2" s="142"/>
      <c r="B2" s="143"/>
      <c r="C2" s="1119"/>
      <c r="D2" s="1257"/>
      <c r="E2" s="453"/>
    </row>
    <row r="3" spans="1:5" ht="15.75">
      <c r="A3" s="130" t="s">
        <v>76</v>
      </c>
      <c r="B3" s="94"/>
      <c r="C3" s="128"/>
      <c r="D3" s="128"/>
      <c r="E3" s="145"/>
    </row>
    <row r="4" spans="1:5">
      <c r="A4" s="108"/>
      <c r="B4" s="109"/>
      <c r="C4" s="109"/>
      <c r="D4" s="872"/>
      <c r="E4" s="112"/>
    </row>
    <row r="5" spans="1:5" ht="15.75">
      <c r="A5" s="130"/>
      <c r="B5" s="97"/>
      <c r="C5" s="128"/>
      <c r="D5" s="128"/>
      <c r="E5" s="145"/>
    </row>
    <row r="6" spans="1:5">
      <c r="A6" s="96" t="s">
        <v>77</v>
      </c>
      <c r="B6" s="97"/>
      <c r="C6" s="97" t="s">
        <v>1764</v>
      </c>
      <c r="D6" s="128"/>
      <c r="E6" s="145"/>
    </row>
    <row r="7" spans="1:5">
      <c r="A7" s="96" t="s">
        <v>2467</v>
      </c>
      <c r="B7" s="97"/>
      <c r="C7" s="97" t="s">
        <v>2403</v>
      </c>
      <c r="D7" s="97"/>
      <c r="E7" s="98"/>
    </row>
    <row r="8" spans="1:5">
      <c r="A8" s="96" t="s">
        <v>2404</v>
      </c>
      <c r="B8" s="97"/>
      <c r="C8" s="97" t="s">
        <v>3311</v>
      </c>
      <c r="D8" s="97"/>
      <c r="E8" s="98"/>
    </row>
    <row r="9" spans="1:5">
      <c r="A9" s="96" t="s">
        <v>2286</v>
      </c>
      <c r="B9" s="97"/>
      <c r="C9" s="97" t="s">
        <v>2287</v>
      </c>
      <c r="D9" s="97"/>
      <c r="E9" s="98"/>
    </row>
    <row r="10" spans="1:5">
      <c r="A10" s="96" t="s">
        <v>2288</v>
      </c>
      <c r="B10" s="97"/>
      <c r="C10" s="97"/>
      <c r="D10" s="97"/>
      <c r="E10" s="98"/>
    </row>
    <row r="11" spans="1:5">
      <c r="A11" s="96" t="s">
        <v>2289</v>
      </c>
      <c r="B11" s="97"/>
      <c r="C11" s="97" t="s">
        <v>2290</v>
      </c>
      <c r="D11" s="97"/>
      <c r="E11" s="98"/>
    </row>
    <row r="12" spans="1:5">
      <c r="A12" s="96" t="s">
        <v>2291</v>
      </c>
      <c r="B12" s="97"/>
      <c r="C12" s="97" t="s">
        <v>2292</v>
      </c>
      <c r="D12" s="97"/>
      <c r="E12" s="98"/>
    </row>
    <row r="13" spans="1:5">
      <c r="A13" s="96" t="s">
        <v>3301</v>
      </c>
      <c r="B13" s="97"/>
      <c r="C13" s="97" t="s">
        <v>3145</v>
      </c>
      <c r="D13" s="97"/>
      <c r="E13" s="98"/>
    </row>
    <row r="14" spans="1:5">
      <c r="A14" s="96" t="s">
        <v>3146</v>
      </c>
      <c r="B14" s="97"/>
      <c r="C14" s="97" t="s">
        <v>3147</v>
      </c>
      <c r="D14" s="97"/>
      <c r="E14" s="98"/>
    </row>
    <row r="15" spans="1:5">
      <c r="A15" s="96"/>
      <c r="B15" s="97"/>
      <c r="C15" s="97"/>
      <c r="D15" s="97"/>
      <c r="E15" s="98"/>
    </row>
    <row r="16" spans="1:5">
      <c r="A16" s="520" t="s">
        <v>1129</v>
      </c>
      <c r="B16" s="688" t="s">
        <v>429</v>
      </c>
      <c r="C16" s="688"/>
      <c r="D16" s="688"/>
      <c r="E16" s="633" t="s">
        <v>430</v>
      </c>
    </row>
    <row r="17" spans="1:6">
      <c r="A17" s="521" t="s">
        <v>3324</v>
      </c>
      <c r="B17" s="146" t="s">
        <v>4032</v>
      </c>
      <c r="C17" s="146"/>
      <c r="D17" s="146"/>
      <c r="E17" s="414" t="s">
        <v>4033</v>
      </c>
    </row>
    <row r="18" spans="1:6">
      <c r="A18" s="444">
        <v>1</v>
      </c>
      <c r="B18" s="1258" t="s">
        <v>3148</v>
      </c>
      <c r="C18" s="97"/>
      <c r="D18" s="97"/>
      <c r="E18" s="148"/>
    </row>
    <row r="19" spans="1:6" ht="15.75">
      <c r="A19" s="444">
        <v>2</v>
      </c>
      <c r="B19" s="97" t="s">
        <v>1219</v>
      </c>
      <c r="C19" s="97"/>
      <c r="D19" s="97"/>
      <c r="E19" s="1243">
        <v>0</v>
      </c>
      <c r="F19" s="261"/>
    </row>
    <row r="20" spans="1:6">
      <c r="A20" s="444">
        <v>3</v>
      </c>
      <c r="B20" s="97" t="s">
        <v>1235</v>
      </c>
      <c r="C20" s="97"/>
      <c r="D20" s="97"/>
      <c r="E20" s="1243">
        <v>0</v>
      </c>
    </row>
    <row r="21" spans="1:6">
      <c r="A21" s="444">
        <v>4</v>
      </c>
      <c r="B21" s="97"/>
      <c r="C21" s="97"/>
      <c r="D21" s="97"/>
      <c r="E21" s="479"/>
    </row>
    <row r="22" spans="1:6">
      <c r="A22" s="444">
        <v>5</v>
      </c>
      <c r="B22" s="97"/>
      <c r="C22" s="97"/>
      <c r="D22" s="97"/>
      <c r="E22" s="479"/>
    </row>
    <row r="23" spans="1:6">
      <c r="A23" s="444">
        <v>6</v>
      </c>
      <c r="B23" s="97"/>
      <c r="C23" s="97"/>
      <c r="D23" s="97"/>
      <c r="E23" s="479"/>
    </row>
    <row r="24" spans="1:6">
      <c r="A24" s="444">
        <v>7</v>
      </c>
      <c r="B24" s="97"/>
      <c r="C24" s="97"/>
      <c r="D24" s="97"/>
      <c r="E24" s="479"/>
    </row>
    <row r="25" spans="1:6">
      <c r="A25" s="444">
        <v>8</v>
      </c>
      <c r="B25" s="97"/>
      <c r="C25" s="97"/>
      <c r="D25" s="97"/>
      <c r="E25" s="479"/>
    </row>
    <row r="26" spans="1:6">
      <c r="A26" s="444">
        <v>9</v>
      </c>
      <c r="B26" s="97"/>
      <c r="C26" s="97"/>
      <c r="D26" s="97"/>
      <c r="E26" s="479"/>
    </row>
    <row r="27" spans="1:6">
      <c r="A27" s="444">
        <v>10</v>
      </c>
      <c r="B27" s="97"/>
      <c r="C27" s="97"/>
      <c r="D27" s="97"/>
      <c r="E27" s="479"/>
    </row>
    <row r="28" spans="1:6">
      <c r="A28" s="444">
        <v>11</v>
      </c>
      <c r="B28" s="97"/>
      <c r="C28" s="97"/>
      <c r="D28" s="97"/>
      <c r="E28" s="479"/>
    </row>
    <row r="29" spans="1:6">
      <c r="A29" s="444">
        <v>12</v>
      </c>
      <c r="B29" s="97"/>
      <c r="C29" s="97"/>
      <c r="D29" s="97"/>
      <c r="E29" s="479"/>
    </row>
    <row r="30" spans="1:6">
      <c r="A30" s="444">
        <v>13</v>
      </c>
      <c r="B30" s="97"/>
      <c r="C30" s="97"/>
      <c r="D30" s="97"/>
      <c r="E30" s="479"/>
    </row>
    <row r="31" spans="1:6">
      <c r="A31" s="444">
        <v>14</v>
      </c>
      <c r="B31" s="97"/>
      <c r="C31" s="97"/>
      <c r="D31" s="97"/>
      <c r="E31" s="479"/>
    </row>
    <row r="32" spans="1:6">
      <c r="A32" s="444">
        <v>15</v>
      </c>
      <c r="B32" s="97"/>
      <c r="C32" s="97"/>
      <c r="D32" s="97"/>
      <c r="E32" s="479"/>
    </row>
    <row r="33" spans="1:5">
      <c r="A33" s="444">
        <v>16</v>
      </c>
      <c r="B33" s="97"/>
      <c r="C33" s="97"/>
      <c r="D33" s="97"/>
      <c r="E33" s="479"/>
    </row>
    <row r="34" spans="1:5">
      <c r="A34" s="444">
        <v>17</v>
      </c>
      <c r="B34" s="97"/>
      <c r="C34" s="97"/>
      <c r="D34" s="97"/>
      <c r="E34" s="479"/>
    </row>
    <row r="35" spans="1:5">
      <c r="A35" s="444">
        <v>18</v>
      </c>
      <c r="B35" s="97"/>
      <c r="C35" s="97"/>
      <c r="D35" s="97"/>
      <c r="E35" s="479"/>
    </row>
    <row r="36" spans="1:5">
      <c r="A36" s="444">
        <v>19</v>
      </c>
      <c r="B36" s="97"/>
      <c r="C36" s="97"/>
      <c r="D36" s="97"/>
      <c r="E36" s="479"/>
    </row>
    <row r="37" spans="1:5">
      <c r="A37" s="444">
        <v>20</v>
      </c>
      <c r="B37" s="97"/>
      <c r="C37" s="97"/>
      <c r="D37" s="97"/>
      <c r="E37" s="479"/>
    </row>
    <row r="38" spans="1:5">
      <c r="A38" s="444">
        <v>21</v>
      </c>
      <c r="B38" s="97"/>
      <c r="C38" s="97"/>
      <c r="D38" s="97"/>
      <c r="E38" s="479"/>
    </row>
    <row r="39" spans="1:5">
      <c r="A39" s="444">
        <v>22</v>
      </c>
      <c r="B39" s="97"/>
      <c r="C39" s="97"/>
      <c r="D39" s="97"/>
      <c r="E39" s="479"/>
    </row>
    <row r="40" spans="1:5">
      <c r="A40" s="444">
        <v>23</v>
      </c>
      <c r="B40" s="97"/>
      <c r="C40" s="97"/>
      <c r="D40" s="97"/>
      <c r="E40" s="479"/>
    </row>
    <row r="41" spans="1:5" ht="15.75" thickBot="1">
      <c r="A41" s="444">
        <v>24</v>
      </c>
      <c r="B41" s="97"/>
      <c r="C41" s="105" t="s">
        <v>1135</v>
      </c>
      <c r="D41" s="97"/>
      <c r="E41" s="562">
        <f>+E19+E20</f>
        <v>0</v>
      </c>
    </row>
    <row r="42" spans="1:5" ht="15.75" thickTop="1">
      <c r="A42" s="444">
        <v>25</v>
      </c>
      <c r="B42" s="477"/>
      <c r="C42" s="97"/>
      <c r="D42" s="97"/>
      <c r="E42" s="148"/>
    </row>
    <row r="43" spans="1:5">
      <c r="A43" s="444">
        <v>26</v>
      </c>
      <c r="B43" s="477" t="s">
        <v>3149</v>
      </c>
      <c r="C43" s="97"/>
      <c r="D43" s="97"/>
      <c r="E43" s="478"/>
    </row>
    <row r="44" spans="1:5">
      <c r="A44" s="444">
        <v>27</v>
      </c>
      <c r="B44" s="97"/>
      <c r="C44" s="97"/>
      <c r="D44" s="97"/>
      <c r="E44" s="479"/>
    </row>
    <row r="45" spans="1:5">
      <c r="A45" s="444">
        <v>28</v>
      </c>
      <c r="B45" s="97"/>
      <c r="C45" s="97"/>
      <c r="D45" s="97"/>
      <c r="E45" s="479"/>
    </row>
    <row r="46" spans="1:5">
      <c r="A46" s="444">
        <v>29</v>
      </c>
      <c r="B46" s="97"/>
      <c r="C46" s="97"/>
      <c r="D46" s="97"/>
      <c r="E46" s="479"/>
    </row>
    <row r="47" spans="1:5">
      <c r="A47" s="444">
        <v>30</v>
      </c>
      <c r="B47" s="97"/>
      <c r="C47" s="97"/>
      <c r="D47" s="97"/>
      <c r="E47" s="479"/>
    </row>
    <row r="48" spans="1:5">
      <c r="A48" s="444">
        <v>31</v>
      </c>
      <c r="B48" s="97"/>
      <c r="C48" s="97"/>
      <c r="D48" s="97"/>
      <c r="E48" s="479"/>
    </row>
    <row r="49" spans="1:5">
      <c r="A49" s="444">
        <v>32</v>
      </c>
      <c r="B49" s="97"/>
      <c r="C49" s="97"/>
      <c r="D49" s="97"/>
      <c r="E49" s="479"/>
    </row>
    <row r="50" spans="1:5">
      <c r="A50" s="444">
        <v>33</v>
      </c>
      <c r="B50" s="97"/>
      <c r="C50" s="97"/>
      <c r="D50" s="97"/>
      <c r="E50" s="479"/>
    </row>
    <row r="51" spans="1:5">
      <c r="A51" s="444">
        <v>34</v>
      </c>
      <c r="B51" s="97"/>
      <c r="C51" s="97"/>
      <c r="D51" s="97"/>
      <c r="E51" s="479"/>
    </row>
    <row r="52" spans="1:5">
      <c r="A52" s="444">
        <v>35</v>
      </c>
      <c r="B52" s="97"/>
      <c r="C52" s="97"/>
      <c r="D52" s="97"/>
      <c r="E52" s="479"/>
    </row>
    <row r="53" spans="1:5">
      <c r="A53" s="444">
        <v>36</v>
      </c>
      <c r="B53" s="97"/>
      <c r="C53" s="97"/>
      <c r="D53" s="97"/>
      <c r="E53" s="479"/>
    </row>
    <row r="54" spans="1:5">
      <c r="A54" s="444">
        <v>37</v>
      </c>
      <c r="B54" s="97"/>
      <c r="C54" s="97"/>
      <c r="D54" s="97"/>
      <c r="E54" s="479"/>
    </row>
    <row r="55" spans="1:5">
      <c r="A55" s="444">
        <v>38</v>
      </c>
      <c r="B55" s="97"/>
      <c r="C55" s="97"/>
      <c r="D55" s="97"/>
      <c r="E55" s="479"/>
    </row>
    <row r="56" spans="1:5">
      <c r="A56" s="444">
        <v>39</v>
      </c>
      <c r="B56" s="97"/>
      <c r="C56" s="97"/>
      <c r="D56" s="97"/>
      <c r="E56" s="479"/>
    </row>
    <row r="57" spans="1:5">
      <c r="A57" s="444">
        <v>40</v>
      </c>
      <c r="B57" s="97"/>
      <c r="C57" s="97"/>
      <c r="D57" s="97"/>
      <c r="E57" s="479"/>
    </row>
    <row r="58" spans="1:5" ht="15.75" thickBot="1">
      <c r="A58" s="480">
        <v>41</v>
      </c>
      <c r="B58" s="124"/>
      <c r="C58" s="944" t="s">
        <v>1135</v>
      </c>
      <c r="D58" s="124"/>
      <c r="E58" s="439">
        <f>+E44-E45</f>
        <v>0</v>
      </c>
    </row>
    <row r="59" spans="1:5">
      <c r="A59" s="119" t="s">
        <v>4066</v>
      </c>
      <c r="B59" s="230"/>
      <c r="C59" s="230"/>
      <c r="D59" s="230"/>
      <c r="E59" s="230"/>
    </row>
    <row r="60" spans="1:5">
      <c r="A60" s="128" t="s">
        <v>3150</v>
      </c>
      <c r="B60" s="128"/>
      <c r="C60" s="128"/>
      <c r="D60" s="128"/>
      <c r="E60" s="128"/>
    </row>
    <row r="61" spans="1:5">
      <c r="A61" s="230"/>
      <c r="B61" s="230"/>
      <c r="C61" s="230"/>
      <c r="D61" s="230"/>
      <c r="E61" s="230"/>
    </row>
    <row r="62" spans="1:5">
      <c r="A62" s="230"/>
      <c r="B62" s="230"/>
      <c r="C62" s="230"/>
      <c r="D62" s="230"/>
      <c r="E62" s="230"/>
    </row>
    <row r="63" spans="1:5">
      <c r="A63" s="230"/>
      <c r="B63" s="230"/>
      <c r="C63" s="230"/>
      <c r="D63" s="230"/>
      <c r="E63" s="230"/>
    </row>
  </sheetData>
  <customSheetViews>
    <customSheetView guid="{1BA452AD-1A45-4D9C-9666-ADFFA6F2F567}" colorId="22" showPageBreaks="1" fitToPage="1" printArea="1" view="pageBreakPreview" topLeftCell="A10">
      <selection activeCell="I56" sqref="I56"/>
      <pageMargins left="0.75" right="0.4" top="0.3" bottom="0.3" header="0.5" footer="0.5"/>
      <printOptions horizontalCentered="1" verticalCentered="1"/>
      <pageSetup scale="70" orientation="portrait" r:id="rId1"/>
      <headerFooter alignWithMargins="0"/>
    </customSheetView>
    <customSheetView guid="{EEF7ABD6-0F96-4791-B749-C06F707E7673}" colorId="22" showPageBreaks="1" fitToPage="1" printArea="1" view="pageBreakPreview" showRuler="0">
      <selection activeCell="C26" sqref="C26"/>
      <pageMargins left="0.75" right="0.4" top="0.3" bottom="0.3" header="0.5" footer="0.5"/>
      <printOptions horizontalCentered="1" verticalCentered="1"/>
      <pageSetup scale="70" orientation="portrait" r:id="rId2"/>
      <headerFooter alignWithMargins="0"/>
    </customSheetView>
    <customSheetView guid="{A7D7DB3C-AFE6-468E-8C6B-9531F6711497}" scale="60" colorId="22" showPageBreaks="1" view="pageBreakPreview" showRuler="0" topLeftCell="A4">
      <selection activeCell="E19" sqref="E19"/>
      <pageMargins left="0.75" right="0.4" top="0.3" bottom="0.3" header="0.5" footer="0.5"/>
      <printOptions horizontalCentered="1" verticalCentered="1"/>
      <pageSetup scale="69" orientation="portrait" r:id="rId3"/>
      <headerFooter alignWithMargins="0"/>
    </customSheetView>
    <customSheetView guid="{4436FEB5-BFEC-4348-9286-CB706802873E}" scale="60" colorId="22" showPageBreaks="1" view="pageBreakPreview" showRuler="0" topLeftCell="A4">
      <selection activeCell="E19" sqref="E19"/>
      <pageMargins left="0.75" right="0.4" top="0.3" bottom="0.3" header="0.5" footer="0.5"/>
      <printOptions horizontalCentered="1" verticalCentered="1"/>
      <pageSetup scale="69" orientation="portrait" r:id="rId4"/>
      <headerFooter alignWithMargins="0"/>
    </customSheetView>
    <customSheetView guid="{044CF00C-469F-44B3-B2C4-9B4049CE70CB}" scale="75" colorId="22" showRuler="0" topLeftCell="A10">
      <selection activeCell="E21" sqref="E21"/>
      <pageMargins left="0.75" right="0.4" top="0.3" bottom="0.3" header="0.5" footer="0.5"/>
      <printOptions horizontalCentered="1" verticalCentered="1"/>
      <pageSetup scale="69" orientation="portrait" r:id="rId5"/>
      <headerFooter alignWithMargins="0"/>
    </customSheetView>
    <customSheetView guid="{4826FCC0-BDD6-4B2C-ACC6-ACE271DDF0E3}" colorId="22" showPageBreaks="1" fitToPage="1" printArea="1" view="pageBreakPreview" showRuler="0">
      <selection activeCell="C26" sqref="C26"/>
      <pageMargins left="0.75" right="0.4" top="0.3" bottom="0.3" header="0.5" footer="0.5"/>
      <printOptions horizontalCentered="1" verticalCentered="1"/>
      <pageSetup scale="70" orientation="portrait" r:id="rId6"/>
      <headerFooter alignWithMargins="0"/>
    </customSheetView>
    <customSheetView guid="{EF376D10-23D6-4FE2-AB5B-4460D52CC93F}" colorId="22" showPageBreaks="1" fitToPage="1" printArea="1" view="pageBreakPreview" showRuler="0">
      <selection activeCell="C26" sqref="C26"/>
      <pageMargins left="0.75" right="0.4" top="0.3" bottom="0.3" header="0.5" footer="0.5"/>
      <printOptions horizontalCentered="1" verticalCentered="1"/>
      <pageSetup scale="70" orientation="portrait" r:id="rId7"/>
      <headerFooter alignWithMargins="0"/>
    </customSheetView>
    <customSheetView guid="{1C046605-15CE-44F1-BFCD-2CA8588E7ACF}" colorId="22" showPageBreaks="1" fitToPage="1" printArea="1" view="pageBreakPreview" showRuler="0">
      <selection activeCell="C26" sqref="C26"/>
      <pageMargins left="0.75" right="0.4" top="0.3" bottom="0.3" header="0.5" footer="0.5"/>
      <printOptions horizontalCentered="1" verticalCentered="1"/>
      <pageSetup scale="70" orientation="portrait" r:id="rId8"/>
      <headerFooter alignWithMargins="0"/>
    </customSheetView>
    <customSheetView guid="{3911D713-188C-46A1-A299-F21DD3B7A146}" colorId="22" showPageBreaks="1" fitToPage="1" printArea="1" view="pageBreakPreview" showRuler="0">
      <selection activeCell="C26" sqref="C26"/>
      <pageMargins left="0.75" right="0.4" top="0.3" bottom="0.3" header="0.5" footer="0.5"/>
      <printOptions horizontalCentered="1" verticalCentered="1"/>
      <pageSetup scale="70" orientation="portrait" r:id="rId9"/>
      <headerFooter alignWithMargins="0"/>
    </customSheetView>
    <customSheetView guid="{78BB1E60-60BE-4F56-9763-075185EFEFAB}" colorId="22" showPageBreaks="1" fitToPage="1" printArea="1" view="pageBreakPreview">
      <selection activeCell="E21" sqref="E21"/>
      <pageMargins left="0.75" right="0.4" top="0.3" bottom="0.3" header="0.5" footer="0.5"/>
      <printOptions horizontalCentered="1" verticalCentered="1"/>
      <pageSetup scale="70" orientation="portrait" r:id="rId10"/>
      <headerFooter alignWithMargins="0"/>
    </customSheetView>
    <customSheetView guid="{9C30803E-1E2D-4850-B0A5-591CA6F246A1}" colorId="22" showPageBreaks="1" fitToPage="1" printArea="1" view="pageBreakPreview">
      <selection activeCell="E21" sqref="E21"/>
      <pageMargins left="0.75" right="0.4" top="0.3" bottom="0.3" header="0.5" footer="0.5"/>
      <printOptions horizontalCentered="1" verticalCentered="1"/>
      <pageSetup scale="70" orientation="portrait" r:id="rId11"/>
      <headerFooter alignWithMargins="0"/>
    </customSheetView>
    <customSheetView guid="{3B1006FF-A2CA-49E7-9B25-DAC8815279AF}" colorId="22" showPageBreaks="1" fitToPage="1" printArea="1" view="pageBreakPreview">
      <selection activeCell="E21" sqref="E21"/>
      <pageMargins left="0.75" right="0.4" top="0.3" bottom="0.3" header="0.5" footer="0.5"/>
      <printOptions horizontalCentered="1" verticalCentered="1"/>
      <pageSetup scale="70" orientation="portrait" r:id="rId12"/>
      <headerFooter alignWithMargins="0"/>
    </customSheetView>
    <customSheetView guid="{FB1A60C8-E1F9-4DF0-8E0E-1C965F86027F}" colorId="22" showPageBreaks="1" fitToPage="1" printArea="1" view="pageBreakPreview">
      <selection activeCell="E21" sqref="E21"/>
      <pageMargins left="0.75" right="0.4" top="0.3" bottom="0.3" header="0.5" footer="0.5"/>
      <printOptions horizontalCentered="1" verticalCentered="1"/>
      <pageSetup scale="70" orientation="portrait" r:id="rId13"/>
      <headerFooter alignWithMargins="0"/>
    </customSheetView>
    <customSheetView guid="{C5B6D812-CBE6-46AA-99F7-02494E9802B4}" scale="70" colorId="22" showPageBreaks="1" fitToPage="1" printArea="1" view="pageBreakPreview">
      <selection activeCell="C10" sqref="C10"/>
      <pageMargins left="0.75" right="0.4" top="0.3" bottom="0.3" header="0.5" footer="0.5"/>
      <printOptions horizontalCentered="1" verticalCentered="1"/>
      <pageSetup scale="70" orientation="portrait" r:id="rId14"/>
      <headerFooter alignWithMargins="0"/>
    </customSheetView>
  </customSheetViews>
  <phoneticPr fontId="0" type="noConversion"/>
  <printOptions horizontalCentered="1" verticalCentered="1"/>
  <pageMargins left="0.75" right="0.4" top="0.3" bottom="0.3" header="0.5" footer="0.5"/>
  <pageSetup scale="70" orientation="portrait" r:id="rId15"/>
  <headerFooter alignWithMargins="0"/>
  <customProperties>
    <customPr name="_pios_id" r:id="rId16"/>
  </customProperties>
</worksheet>
</file>

<file path=xl/worksheets/sheet58.xml><?xml version="1.0" encoding="utf-8"?>
<worksheet xmlns="http://schemas.openxmlformats.org/spreadsheetml/2006/main" xmlns:r="http://schemas.openxmlformats.org/officeDocument/2006/relationships">
  <sheetPr transitionEvaluation="1" codeName="Sheet57" enableFormatConditionsCalculation="0">
    <pageSetUpPr fitToPage="1"/>
  </sheetPr>
  <dimension ref="A1:F49"/>
  <sheetViews>
    <sheetView defaultGridColor="0" colorId="22" zoomScale="75" zoomScaleNormal="75" zoomScaleSheetLayoutView="70" workbookViewId="0"/>
  </sheetViews>
  <sheetFormatPr defaultColWidth="9.77734375" defaultRowHeight="15"/>
  <cols>
    <col min="1" max="1" width="4.77734375" customWidth="1"/>
    <col min="2" max="2" width="60.77734375" customWidth="1"/>
    <col min="3" max="6" width="14.77734375" customWidth="1"/>
  </cols>
  <sheetData>
    <row r="1" spans="1:6" ht="15.75" thickBot="1">
      <c r="A1" s="186" t="str">
        <f>'Data sheet'!$A$65</f>
        <v>Annual Report of New York American Water Company, Inc. (f/k/a Long Island Water Corp)                                    Year Ended  December 31, 2013</v>
      </c>
      <c r="C1" s="1633"/>
      <c r="D1" s="1633"/>
      <c r="E1" s="1633"/>
    </row>
    <row r="2" spans="1:6">
      <c r="A2" s="90"/>
      <c r="B2" s="91"/>
      <c r="C2" s="91"/>
      <c r="D2" s="91"/>
      <c r="E2" s="91"/>
      <c r="F2" s="92"/>
    </row>
    <row r="3" spans="1:6" ht="15.75">
      <c r="A3" s="1259" t="s">
        <v>3151</v>
      </c>
      <c r="B3" s="1260"/>
      <c r="C3" s="1260"/>
      <c r="D3" s="1260"/>
      <c r="E3" s="1260"/>
      <c r="F3" s="1261"/>
    </row>
    <row r="4" spans="1:6">
      <c r="A4" s="136"/>
      <c r="B4" s="293"/>
      <c r="C4" s="293"/>
      <c r="D4" s="293"/>
      <c r="E4" s="293"/>
      <c r="F4" s="294"/>
    </row>
    <row r="5" spans="1:6">
      <c r="A5" s="93"/>
      <c r="B5" s="11"/>
      <c r="C5" s="11"/>
      <c r="D5" s="11"/>
      <c r="E5" s="11"/>
      <c r="F5" s="338"/>
    </row>
    <row r="6" spans="1:6">
      <c r="A6" s="93"/>
      <c r="B6" s="11" t="s">
        <v>2669</v>
      </c>
      <c r="C6" s="11" t="s">
        <v>2643</v>
      </c>
      <c r="D6" s="11"/>
      <c r="E6" s="11"/>
      <c r="F6" s="338"/>
    </row>
    <row r="7" spans="1:6">
      <c r="A7" s="93"/>
      <c r="B7" s="11" t="s">
        <v>1949</v>
      </c>
      <c r="C7" s="11" t="s">
        <v>3327</v>
      </c>
      <c r="D7" s="11"/>
      <c r="E7" s="11"/>
      <c r="F7" s="338"/>
    </row>
    <row r="8" spans="1:6">
      <c r="A8" s="93"/>
      <c r="B8" s="11" t="s">
        <v>3328</v>
      </c>
      <c r="C8" s="11" t="s">
        <v>3329</v>
      </c>
      <c r="D8" s="11"/>
      <c r="E8" s="11"/>
      <c r="F8" s="338"/>
    </row>
    <row r="9" spans="1:6">
      <c r="A9" s="93"/>
      <c r="B9" s="11" t="s">
        <v>3330</v>
      </c>
      <c r="C9" s="11" t="s">
        <v>3331</v>
      </c>
      <c r="D9" s="11"/>
      <c r="E9" s="11"/>
      <c r="F9" s="338"/>
    </row>
    <row r="10" spans="1:6">
      <c r="A10" s="93"/>
      <c r="B10" s="11" t="s">
        <v>695</v>
      </c>
      <c r="C10" s="11" t="s">
        <v>696</v>
      </c>
      <c r="D10" s="11"/>
      <c r="E10" s="11"/>
      <c r="F10" s="338"/>
    </row>
    <row r="11" spans="1:6">
      <c r="A11" s="93"/>
      <c r="B11" s="11" t="s">
        <v>697</v>
      </c>
      <c r="C11" s="11" t="s">
        <v>698</v>
      </c>
      <c r="D11" s="11"/>
      <c r="E11" s="11"/>
      <c r="F11" s="338"/>
    </row>
    <row r="12" spans="1:6">
      <c r="A12" s="136"/>
      <c r="B12" s="293"/>
      <c r="C12" s="293" t="s">
        <v>699</v>
      </c>
      <c r="D12" s="293"/>
      <c r="E12" s="293"/>
      <c r="F12" s="294"/>
    </row>
    <row r="13" spans="1:6">
      <c r="A13" s="93"/>
      <c r="B13" s="1262"/>
      <c r="C13" s="771" t="s">
        <v>2513</v>
      </c>
      <c r="D13" s="769" t="s">
        <v>2514</v>
      </c>
      <c r="E13" s="11"/>
      <c r="F13" s="1263"/>
    </row>
    <row r="14" spans="1:6">
      <c r="A14" s="783" t="s">
        <v>2573</v>
      </c>
      <c r="B14" s="769" t="s">
        <v>2515</v>
      </c>
      <c r="C14" s="771" t="s">
        <v>2516</v>
      </c>
      <c r="D14" s="769" t="s">
        <v>2517</v>
      </c>
      <c r="E14" s="771" t="s">
        <v>2518</v>
      </c>
      <c r="F14" s="784" t="s">
        <v>2519</v>
      </c>
    </row>
    <row r="15" spans="1:6">
      <c r="A15" s="783" t="s">
        <v>3324</v>
      </c>
      <c r="B15" s="1262"/>
      <c r="C15" s="771" t="s">
        <v>2520</v>
      </c>
      <c r="D15" s="769" t="s">
        <v>2521</v>
      </c>
      <c r="E15" s="11"/>
      <c r="F15" s="1263"/>
    </row>
    <row r="16" spans="1:6">
      <c r="A16" s="136"/>
      <c r="B16" s="770" t="s">
        <v>4032</v>
      </c>
      <c r="C16" s="1264" t="s">
        <v>4033</v>
      </c>
      <c r="D16" s="770" t="s">
        <v>4034</v>
      </c>
      <c r="E16" s="1264" t="s">
        <v>4035</v>
      </c>
      <c r="F16" s="782" t="s">
        <v>2277</v>
      </c>
    </row>
    <row r="17" spans="1:6">
      <c r="A17" s="783">
        <v>1</v>
      </c>
      <c r="B17" s="1265" t="s">
        <v>2522</v>
      </c>
      <c r="C17" s="158"/>
      <c r="D17" s="1266"/>
      <c r="E17" s="1267"/>
      <c r="F17" s="1268"/>
    </row>
    <row r="18" spans="1:6">
      <c r="A18" s="783">
        <f t="shared" ref="A18:A31" si="0">A17+1</f>
        <v>2</v>
      </c>
      <c r="B18" s="1262" t="s">
        <v>177</v>
      </c>
      <c r="C18" s="149"/>
      <c r="D18" s="1262"/>
      <c r="E18" s="149"/>
      <c r="F18" s="1268"/>
    </row>
    <row r="19" spans="1:6">
      <c r="A19" s="783">
        <f t="shared" si="0"/>
        <v>3</v>
      </c>
      <c r="B19" s="1262"/>
      <c r="C19" s="158"/>
      <c r="D19" s="1262"/>
      <c r="E19" s="158"/>
      <c r="F19" s="1268"/>
    </row>
    <row r="20" spans="1:6">
      <c r="A20" s="783">
        <f t="shared" si="0"/>
        <v>4</v>
      </c>
      <c r="B20" s="1262"/>
      <c r="C20" s="158"/>
      <c r="D20" s="1262"/>
      <c r="E20" s="158"/>
      <c r="F20" s="1268"/>
    </row>
    <row r="21" spans="1:6">
      <c r="A21" s="783">
        <f t="shared" si="0"/>
        <v>5</v>
      </c>
      <c r="B21" s="1262"/>
      <c r="C21" s="158"/>
      <c r="D21" s="1262"/>
      <c r="E21" s="158"/>
      <c r="F21" s="1268"/>
    </row>
    <row r="22" spans="1:6">
      <c r="A22" s="783">
        <f t="shared" si="0"/>
        <v>6</v>
      </c>
      <c r="B22" s="1262"/>
      <c r="C22" s="158"/>
      <c r="D22" s="1262"/>
      <c r="E22" s="158"/>
      <c r="F22" s="1268"/>
    </row>
    <row r="23" spans="1:6">
      <c r="A23" s="783">
        <f t="shared" si="0"/>
        <v>7</v>
      </c>
      <c r="B23" s="1262"/>
      <c r="C23" s="158"/>
      <c r="D23" s="1262"/>
      <c r="E23" s="158"/>
      <c r="F23" s="1268"/>
    </row>
    <row r="24" spans="1:6">
      <c r="A24" s="783">
        <f t="shared" si="0"/>
        <v>8</v>
      </c>
      <c r="B24" s="1262"/>
      <c r="C24" s="158"/>
      <c r="D24" s="1262"/>
      <c r="E24" s="158"/>
      <c r="F24" s="1268"/>
    </row>
    <row r="25" spans="1:6">
      <c r="A25" s="783">
        <f t="shared" si="0"/>
        <v>9</v>
      </c>
      <c r="B25" s="1262"/>
      <c r="C25" s="158"/>
      <c r="D25" s="1262"/>
      <c r="E25" s="158"/>
      <c r="F25" s="1268"/>
    </row>
    <row r="26" spans="1:6">
      <c r="A26" s="783">
        <f t="shared" si="0"/>
        <v>10</v>
      </c>
      <c r="B26" s="1262"/>
      <c r="C26" s="158"/>
      <c r="D26" s="1262"/>
      <c r="E26" s="158"/>
      <c r="F26" s="1268"/>
    </row>
    <row r="27" spans="1:6">
      <c r="A27" s="783">
        <f t="shared" si="0"/>
        <v>11</v>
      </c>
      <c r="B27" s="1262"/>
      <c r="C27" s="158"/>
      <c r="D27" s="1262"/>
      <c r="E27" s="158"/>
      <c r="F27" s="1268"/>
    </row>
    <row r="28" spans="1:6">
      <c r="A28" s="783">
        <f t="shared" si="0"/>
        <v>12</v>
      </c>
      <c r="B28" s="1262"/>
      <c r="C28" s="158"/>
      <c r="D28" s="1262"/>
      <c r="E28" s="158"/>
      <c r="F28" s="1268"/>
    </row>
    <row r="29" spans="1:6">
      <c r="A29" s="783">
        <f t="shared" si="0"/>
        <v>13</v>
      </c>
      <c r="B29" s="1262"/>
      <c r="C29" s="158"/>
      <c r="D29" s="1262"/>
      <c r="E29" s="158"/>
      <c r="F29" s="1268"/>
    </row>
    <row r="30" spans="1:6">
      <c r="A30" s="783">
        <f t="shared" si="0"/>
        <v>14</v>
      </c>
      <c r="B30" s="1262"/>
      <c r="C30" s="158"/>
      <c r="D30" s="1262"/>
      <c r="E30" s="158"/>
      <c r="F30" s="1268"/>
    </row>
    <row r="31" spans="1:6">
      <c r="A31" s="783">
        <f t="shared" si="0"/>
        <v>15</v>
      </c>
      <c r="B31" s="769" t="s">
        <v>2523</v>
      </c>
      <c r="C31" s="149"/>
      <c r="D31" s="1266"/>
      <c r="E31" s="1269">
        <f>SUM(E18:E30)</f>
        <v>0</v>
      </c>
      <c r="F31" s="1268"/>
    </row>
    <row r="32" spans="1:6">
      <c r="A32" s="783"/>
      <c r="B32" s="1262"/>
      <c r="C32" s="158"/>
      <c r="D32" s="1266"/>
      <c r="E32" s="1267"/>
      <c r="F32" s="1268"/>
    </row>
    <row r="33" spans="1:6">
      <c r="A33" s="783">
        <v>16</v>
      </c>
      <c r="B33" s="1265" t="s">
        <v>4472</v>
      </c>
      <c r="C33" s="158"/>
      <c r="D33" s="1266"/>
      <c r="E33" s="1267"/>
      <c r="F33" s="1268"/>
    </row>
    <row r="34" spans="1:6">
      <c r="A34" s="783">
        <f t="shared" ref="A34:A46" si="1">A33+1</f>
        <v>17</v>
      </c>
      <c r="B34" s="1262" t="s">
        <v>177</v>
      </c>
      <c r="C34" s="158"/>
      <c r="D34" s="1262"/>
      <c r="E34" s="1267"/>
      <c r="F34" s="628"/>
    </row>
    <row r="35" spans="1:6">
      <c r="A35" s="783">
        <f t="shared" si="1"/>
        <v>18</v>
      </c>
      <c r="B35" s="1262"/>
      <c r="C35" s="158"/>
      <c r="D35" s="1262"/>
      <c r="E35" s="1267"/>
      <c r="F35" s="628"/>
    </row>
    <row r="36" spans="1:6">
      <c r="A36" s="783">
        <f t="shared" si="1"/>
        <v>19</v>
      </c>
      <c r="B36" s="1262"/>
      <c r="C36" s="158"/>
      <c r="D36" s="1262"/>
      <c r="E36" s="1267"/>
      <c r="F36" s="628"/>
    </row>
    <row r="37" spans="1:6">
      <c r="A37" s="783">
        <f t="shared" si="1"/>
        <v>20</v>
      </c>
      <c r="B37" s="1262"/>
      <c r="C37" s="158"/>
      <c r="D37" s="1262"/>
      <c r="E37" s="1267"/>
      <c r="F37" s="628"/>
    </row>
    <row r="38" spans="1:6">
      <c r="A38" s="783">
        <f t="shared" si="1"/>
        <v>21</v>
      </c>
      <c r="B38" s="1262"/>
      <c r="C38" s="158"/>
      <c r="D38" s="1262"/>
      <c r="E38" s="1267"/>
      <c r="F38" s="628"/>
    </row>
    <row r="39" spans="1:6">
      <c r="A39" s="783">
        <f t="shared" si="1"/>
        <v>22</v>
      </c>
      <c r="B39" s="1262"/>
      <c r="C39" s="158"/>
      <c r="D39" s="1262"/>
      <c r="E39" s="1267"/>
      <c r="F39" s="628"/>
    </row>
    <row r="40" spans="1:6">
      <c r="A40" s="783">
        <f t="shared" si="1"/>
        <v>23</v>
      </c>
      <c r="B40" s="1262"/>
      <c r="C40" s="158"/>
      <c r="D40" s="1262"/>
      <c r="E40" s="1267"/>
      <c r="F40" s="628"/>
    </row>
    <row r="41" spans="1:6">
      <c r="A41" s="783">
        <f t="shared" si="1"/>
        <v>24</v>
      </c>
      <c r="B41" s="1262"/>
      <c r="C41" s="158"/>
      <c r="D41" s="1262"/>
      <c r="E41" s="1267"/>
      <c r="F41" s="628"/>
    </row>
    <row r="42" spans="1:6">
      <c r="A42" s="783">
        <f t="shared" si="1"/>
        <v>25</v>
      </c>
      <c r="B42" s="1262"/>
      <c r="C42" s="158"/>
      <c r="D42" s="1262"/>
      <c r="E42" s="1267"/>
      <c r="F42" s="628"/>
    </row>
    <row r="43" spans="1:6">
      <c r="A43" s="783">
        <f t="shared" si="1"/>
        <v>26</v>
      </c>
      <c r="B43" s="1262"/>
      <c r="C43" s="158"/>
      <c r="D43" s="1262"/>
      <c r="E43" s="1267"/>
      <c r="F43" s="628"/>
    </row>
    <row r="44" spans="1:6">
      <c r="A44" s="783">
        <f t="shared" si="1"/>
        <v>27</v>
      </c>
      <c r="B44" s="1262"/>
      <c r="C44" s="158"/>
      <c r="D44" s="1262"/>
      <c r="E44" s="1267"/>
      <c r="F44" s="628"/>
    </row>
    <row r="45" spans="1:6">
      <c r="A45" s="783">
        <f t="shared" si="1"/>
        <v>28</v>
      </c>
      <c r="B45" s="1262"/>
      <c r="C45" s="158"/>
      <c r="D45" s="1262"/>
      <c r="E45" s="1267"/>
      <c r="F45" s="628"/>
    </row>
    <row r="46" spans="1:6">
      <c r="A46" s="783">
        <f t="shared" si="1"/>
        <v>29</v>
      </c>
      <c r="B46" s="1262"/>
      <c r="C46" s="158"/>
      <c r="D46" s="1262"/>
      <c r="E46" s="1267"/>
      <c r="F46" s="628"/>
    </row>
    <row r="47" spans="1:6" ht="15.75" thickBot="1">
      <c r="A47" s="1270">
        <v>30</v>
      </c>
      <c r="B47" s="1271" t="s">
        <v>4473</v>
      </c>
      <c r="C47" s="1272"/>
      <c r="D47" s="1273"/>
      <c r="E47" s="1274"/>
      <c r="F47" s="625">
        <f>SUM(F34:F46)</f>
        <v>0</v>
      </c>
    </row>
    <row r="48" spans="1:6">
      <c r="F48" t="s">
        <v>4066</v>
      </c>
    </row>
    <row r="49" spans="1:6">
      <c r="A49" s="131" t="s">
        <v>4474</v>
      </c>
      <c r="B49" s="131"/>
      <c r="C49" s="131"/>
      <c r="D49" s="131"/>
      <c r="E49" s="131"/>
      <c r="F49" s="131"/>
    </row>
  </sheetData>
  <customSheetViews>
    <customSheetView guid="{1BA452AD-1A45-4D9C-9666-ADFFA6F2F567}" scale="60" colorId="22" showPageBreaks="1" fitToPage="1" printArea="1" view="pageBreakPreview">
      <selection activeCell="I56" sqref="I56"/>
      <pageMargins left="0.4" right="0.4" top="0.8" bottom="0.3" header="0" footer="0"/>
      <printOptions horizontalCentered="1" verticalCentered="1"/>
      <pageSetup scale="73" orientation="landscape" r:id="rId1"/>
      <headerFooter alignWithMargins="0"/>
    </customSheetView>
    <customSheetView guid="{EEF7ABD6-0F96-4791-B749-C06F707E7673}" scale="60" colorId="22" showPageBreaks="1" fitToPage="1" printArea="1" view="pageBreakPreview" showRuler="0">
      <selection activeCell="C104" sqref="C104"/>
      <pageMargins left="0.4" right="0.4" top="0.8" bottom="0.3" header="0" footer="0"/>
      <printOptions horizontalCentered="1" verticalCentered="1"/>
      <pageSetup scale="73" orientation="landscape" r:id="rId2"/>
      <headerFooter alignWithMargins="0"/>
    </customSheetView>
    <customSheetView guid="{A7D7DB3C-AFE6-468E-8C6B-9531F6711497}" scale="60" colorId="22" showPageBreaks="1" fitToPage="1" view="pageBreakPreview" showRuler="0">
      <selection activeCell="H5" sqref="H5"/>
      <pageMargins left="0.4" right="0.4" top="0.8" bottom="0.3" header="0" footer="0"/>
      <printOptions horizontalCentered="1" verticalCentered="1"/>
      <pageSetup scale="73" orientation="landscape" r:id="rId3"/>
      <headerFooter alignWithMargins="0"/>
    </customSheetView>
    <customSheetView guid="{4436FEB5-BFEC-4348-9286-CB706802873E}" scale="60" colorId="22" showPageBreaks="1" fitToPage="1" view="pageBreakPreview" showRuler="0">
      <selection activeCell="H5" sqref="H5"/>
      <pageMargins left="0.4" right="0.4" top="0.8" bottom="0.3" header="0" footer="0"/>
      <printOptions horizontalCentered="1" verticalCentered="1"/>
      <pageSetup scale="73" orientation="landscape" r:id="rId4"/>
      <headerFooter alignWithMargins="0"/>
    </customSheetView>
    <customSheetView guid="{044CF00C-469F-44B3-B2C4-9B4049CE70CB}" scale="75" colorId="22" fitToPage="1" showRuler="0">
      <selection activeCell="A2" sqref="A2"/>
      <pageMargins left="0.4" right="0.4" top="0.8" bottom="0.3" header="0" footer="0"/>
      <printOptions horizontalCentered="1" verticalCentered="1"/>
      <pageSetup scale="73" orientation="landscape" r:id="rId5"/>
      <headerFooter alignWithMargins="0"/>
    </customSheetView>
    <customSheetView guid="{4826FCC0-BDD6-4B2C-ACC6-ACE271DDF0E3}" scale="60" colorId="22" showPageBreaks="1" fitToPage="1" printArea="1" view="pageBreakPreview" showRuler="0">
      <selection activeCell="C104" sqref="C104"/>
      <pageMargins left="0.4" right="0.4" top="0.8" bottom="0.3" header="0" footer="0"/>
      <printOptions horizontalCentered="1" verticalCentered="1"/>
      <pageSetup scale="73" orientation="landscape" r:id="rId6"/>
      <headerFooter alignWithMargins="0"/>
    </customSheetView>
    <customSheetView guid="{EF376D10-23D6-4FE2-AB5B-4460D52CC93F}" scale="60" colorId="22" showPageBreaks="1" fitToPage="1" printArea="1" view="pageBreakPreview" showRuler="0">
      <selection activeCell="C104" sqref="C104"/>
      <pageMargins left="0.4" right="0.4" top="0.8" bottom="0.3" header="0" footer="0"/>
      <printOptions horizontalCentered="1" verticalCentered="1"/>
      <pageSetup scale="73" orientation="landscape" r:id="rId7"/>
      <headerFooter alignWithMargins="0"/>
    </customSheetView>
    <customSheetView guid="{1C046605-15CE-44F1-BFCD-2CA8588E7ACF}" scale="60" colorId="22" showPageBreaks="1" fitToPage="1" printArea="1" view="pageBreakPreview" showRuler="0">
      <selection activeCell="C104" sqref="C104"/>
      <pageMargins left="0.4" right="0.4" top="0.8" bottom="0.3" header="0" footer="0"/>
      <printOptions horizontalCentered="1" verticalCentered="1"/>
      <pageSetup scale="73" orientation="landscape" r:id="rId8"/>
      <headerFooter alignWithMargins="0"/>
    </customSheetView>
    <customSheetView guid="{3911D713-188C-46A1-A299-F21DD3B7A146}" scale="60" colorId="22" showPageBreaks="1" fitToPage="1" printArea="1" view="pageBreakPreview" showRuler="0">
      <selection activeCell="C104" sqref="C104"/>
      <pageMargins left="0.4" right="0.4" top="0.8" bottom="0.3" header="0" footer="0"/>
      <printOptions horizontalCentered="1" verticalCentered="1"/>
      <pageSetup scale="73" orientation="landscape" r:id="rId9"/>
      <headerFooter alignWithMargins="0"/>
    </customSheetView>
    <customSheetView guid="{78BB1E60-60BE-4F56-9763-075185EFEFAB}" scale="60" colorId="22" showPageBreaks="1" fitToPage="1" printArea="1" view="pageBreakPreview">
      <selection activeCell="I56" sqref="I56"/>
      <pageMargins left="0.4" right="0.4" top="0.8" bottom="0.3" header="0" footer="0"/>
      <printOptions horizontalCentered="1" verticalCentered="1"/>
      <pageSetup scale="73" orientation="landscape" r:id="rId10"/>
      <headerFooter alignWithMargins="0"/>
    </customSheetView>
    <customSheetView guid="{9C30803E-1E2D-4850-B0A5-591CA6F246A1}" scale="60" colorId="22" showPageBreaks="1" fitToPage="1" printArea="1" view="pageBreakPreview">
      <selection activeCell="I56" sqref="I56"/>
      <pageMargins left="0.4" right="0.4" top="0.8" bottom="0.3" header="0" footer="0"/>
      <printOptions horizontalCentered="1" verticalCentered="1"/>
      <pageSetup scale="73" orientation="landscape" r:id="rId11"/>
      <headerFooter alignWithMargins="0"/>
    </customSheetView>
    <customSheetView guid="{3B1006FF-A2CA-49E7-9B25-DAC8815279AF}" scale="60" colorId="22" showPageBreaks="1" fitToPage="1" printArea="1" view="pageBreakPreview">
      <selection activeCell="I56" sqref="I56"/>
      <pageMargins left="0.4" right="0.4" top="0.8" bottom="0.3" header="0" footer="0"/>
      <printOptions horizontalCentered="1" verticalCentered="1"/>
      <pageSetup scale="73" orientation="landscape" r:id="rId12"/>
      <headerFooter alignWithMargins="0"/>
    </customSheetView>
    <customSheetView guid="{FB1A60C8-E1F9-4DF0-8E0E-1C965F86027F}" scale="60" colorId="22" showPageBreaks="1" fitToPage="1" printArea="1" view="pageBreakPreview">
      <selection activeCell="I56" sqref="I56"/>
      <pageMargins left="0.4" right="0.4" top="0.8" bottom="0.3" header="0" footer="0"/>
      <printOptions horizontalCentered="1" verticalCentered="1"/>
      <pageSetup scale="73" orientation="landscape" r:id="rId13"/>
      <headerFooter alignWithMargins="0"/>
    </customSheetView>
    <customSheetView guid="{C5B6D812-CBE6-46AA-99F7-02494E9802B4}" scale="70" colorId="22" showPageBreaks="1" fitToPage="1" printArea="1" view="pageBreakPreview" topLeftCell="A5">
      <selection activeCell="C10" sqref="C10"/>
      <pageMargins left="0.4" right="0.4" top="0.8" bottom="0.3" header="0" footer="0"/>
      <printOptions horizontalCentered="1" verticalCentered="1"/>
      <pageSetup scale="73" orientation="landscape" r:id="rId14"/>
      <headerFooter alignWithMargins="0"/>
    </customSheetView>
  </customSheetViews>
  <phoneticPr fontId="0" type="noConversion"/>
  <printOptions horizontalCentered="1" verticalCentered="1"/>
  <pageMargins left="0.4" right="0.4" top="0.8" bottom="0.3" header="0" footer="0"/>
  <pageSetup scale="73" orientation="landscape" r:id="rId15"/>
  <headerFooter alignWithMargins="0"/>
  <customProperties>
    <customPr name="_pios_id" r:id="rId16"/>
  </customProperties>
</worksheet>
</file>

<file path=xl/worksheets/sheet59.xml><?xml version="1.0" encoding="utf-8"?>
<worksheet xmlns="http://schemas.openxmlformats.org/spreadsheetml/2006/main" xmlns:r="http://schemas.openxmlformats.org/officeDocument/2006/relationships">
  <sheetPr transitionEvaluation="1" codeName="Sheet58" enableFormatConditionsCalculation="0"/>
  <dimension ref="A1:K186"/>
  <sheetViews>
    <sheetView defaultGridColor="0" colorId="22" zoomScale="75" zoomScaleNormal="75" zoomScaleSheetLayoutView="70" workbookViewId="0"/>
  </sheetViews>
  <sheetFormatPr defaultColWidth="9.77734375" defaultRowHeight="15"/>
  <cols>
    <col min="1" max="1" width="4.77734375" customWidth="1"/>
    <col min="2" max="2" width="46.6640625" customWidth="1"/>
    <col min="3" max="3" width="23.77734375" customWidth="1"/>
    <col min="4" max="4" width="14.77734375" customWidth="1"/>
    <col min="5" max="5" width="22.6640625" customWidth="1"/>
    <col min="8" max="8" width="11.33203125" bestFit="1" customWidth="1"/>
  </cols>
  <sheetData>
    <row r="1" spans="1:5" ht="15.75" thickBot="1">
      <c r="A1" s="186" t="str">
        <f>'Data sheet'!$A$63</f>
        <v>Annual Report of New York American Water Company, Inc. (f/k/a Long Island Water Corp)                                    Year Ended  December 31, 2013</v>
      </c>
      <c r="D1" s="1633"/>
      <c r="E1" s="1633"/>
    </row>
    <row r="2" spans="1:5">
      <c r="A2" s="90"/>
      <c r="B2" s="91"/>
      <c r="C2" s="1275"/>
      <c r="D2" s="1276"/>
      <c r="E2" s="485"/>
    </row>
    <row r="3" spans="1:5" ht="15.75">
      <c r="A3" s="130" t="s">
        <v>4475</v>
      </c>
      <c r="B3" s="94"/>
      <c r="C3" s="131"/>
      <c r="D3" s="131"/>
      <c r="E3" s="132"/>
    </row>
    <row r="4" spans="1:5">
      <c r="A4" s="136"/>
      <c r="B4" s="293"/>
      <c r="C4" s="293"/>
      <c r="D4" s="141"/>
      <c r="E4" s="294"/>
    </row>
    <row r="5" spans="1:5" ht="15.75">
      <c r="A5" s="130"/>
      <c r="B5" s="97"/>
      <c r="C5" s="131"/>
      <c r="D5" s="131"/>
      <c r="E5" s="132"/>
    </row>
    <row r="6" spans="1:5">
      <c r="A6" s="96" t="s">
        <v>77</v>
      </c>
      <c r="B6" s="97"/>
      <c r="C6" s="11" t="s">
        <v>1367</v>
      </c>
      <c r="D6" s="131"/>
      <c r="E6" s="132"/>
    </row>
    <row r="7" spans="1:5">
      <c r="A7" s="93" t="s">
        <v>1368</v>
      </c>
      <c r="B7" s="11"/>
      <c r="C7" s="11" t="s">
        <v>1369</v>
      </c>
      <c r="D7" s="11"/>
      <c r="E7" s="338"/>
    </row>
    <row r="8" spans="1:5">
      <c r="A8" s="93" t="s">
        <v>1475</v>
      </c>
      <c r="B8" s="11"/>
      <c r="C8" s="11" t="s">
        <v>1476</v>
      </c>
      <c r="D8" s="11"/>
      <c r="E8" s="338"/>
    </row>
    <row r="9" spans="1:5">
      <c r="A9" s="93" t="s">
        <v>14</v>
      </c>
      <c r="B9" s="11"/>
      <c r="C9" s="11" t="s">
        <v>15</v>
      </c>
      <c r="D9" s="11"/>
      <c r="E9" s="338"/>
    </row>
    <row r="10" spans="1:5">
      <c r="A10" s="93" t="s">
        <v>2288</v>
      </c>
      <c r="B10" s="11"/>
      <c r="C10" s="11" t="s">
        <v>1676</v>
      </c>
      <c r="D10" s="11"/>
      <c r="E10" s="338"/>
    </row>
    <row r="11" spans="1:5">
      <c r="A11" s="93" t="s">
        <v>2289</v>
      </c>
      <c r="B11" s="11"/>
      <c r="C11" s="11" t="s">
        <v>1677</v>
      </c>
      <c r="D11" s="11"/>
      <c r="E11" s="338"/>
    </row>
    <row r="12" spans="1:5">
      <c r="A12" s="93" t="s">
        <v>217</v>
      </c>
      <c r="B12" s="11"/>
      <c r="C12" s="11" t="s">
        <v>218</v>
      </c>
      <c r="D12" s="11"/>
      <c r="E12" s="338"/>
    </row>
    <row r="13" spans="1:5">
      <c r="A13" s="93" t="s">
        <v>219</v>
      </c>
      <c r="B13" s="11"/>
      <c r="C13" s="11" t="s">
        <v>438</v>
      </c>
      <c r="D13" s="11"/>
      <c r="E13" s="338"/>
    </row>
    <row r="14" spans="1:5">
      <c r="A14" s="93" t="s">
        <v>674</v>
      </c>
      <c r="B14" s="11"/>
      <c r="C14" s="11" t="s">
        <v>675</v>
      </c>
      <c r="D14" s="11"/>
      <c r="E14" s="338"/>
    </row>
    <row r="15" spans="1:5">
      <c r="A15" s="93" t="s">
        <v>676</v>
      </c>
      <c r="B15" s="11"/>
      <c r="C15" s="11" t="s">
        <v>677</v>
      </c>
      <c r="D15" s="11"/>
      <c r="E15" s="338"/>
    </row>
    <row r="16" spans="1:5">
      <c r="A16" s="93" t="s">
        <v>2548</v>
      </c>
      <c r="B16" s="11"/>
      <c r="C16" s="11" t="s">
        <v>2549</v>
      </c>
      <c r="D16" s="11"/>
      <c r="E16" s="338"/>
    </row>
    <row r="17" spans="1:5">
      <c r="A17" s="93" t="s">
        <v>3455</v>
      </c>
      <c r="B17" s="11"/>
      <c r="C17" s="11" t="s">
        <v>3456</v>
      </c>
      <c r="D17" s="11"/>
      <c r="E17" s="338"/>
    </row>
    <row r="18" spans="1:5">
      <c r="A18" s="93" t="s">
        <v>3457</v>
      </c>
      <c r="B18" s="11"/>
      <c r="C18" s="11" t="s">
        <v>3458</v>
      </c>
      <c r="D18" s="11"/>
      <c r="E18" s="338"/>
    </row>
    <row r="19" spans="1:5">
      <c r="A19" s="93" t="s">
        <v>80</v>
      </c>
      <c r="B19" s="11"/>
      <c r="C19" s="11" t="s">
        <v>2547</v>
      </c>
      <c r="D19" s="11"/>
      <c r="E19" s="338"/>
    </row>
    <row r="20" spans="1:5">
      <c r="A20" s="93" t="s">
        <v>3892</v>
      </c>
      <c r="B20" s="11"/>
      <c r="C20" s="11" t="s">
        <v>3349</v>
      </c>
      <c r="D20" s="11"/>
      <c r="E20" s="338"/>
    </row>
    <row r="21" spans="1:5">
      <c r="A21" s="93"/>
      <c r="B21" s="11"/>
      <c r="C21" s="11"/>
      <c r="D21" s="11"/>
      <c r="E21" s="338"/>
    </row>
    <row r="22" spans="1:5">
      <c r="A22" s="1277" t="s">
        <v>1129</v>
      </c>
      <c r="B22" s="375" t="s">
        <v>429</v>
      </c>
      <c r="C22" s="375"/>
      <c r="D22" s="375"/>
      <c r="E22" s="781" t="s">
        <v>430</v>
      </c>
    </row>
    <row r="23" spans="1:5">
      <c r="A23" s="612" t="s">
        <v>3324</v>
      </c>
      <c r="B23" s="134" t="s">
        <v>4032</v>
      </c>
      <c r="C23" s="134"/>
      <c r="D23" s="134"/>
      <c r="E23" s="782" t="s">
        <v>4033</v>
      </c>
    </row>
    <row r="24" spans="1:5">
      <c r="A24" s="518">
        <v>1</v>
      </c>
      <c r="B24" s="623" t="s">
        <v>3350</v>
      </c>
      <c r="C24" s="11"/>
      <c r="D24" s="11"/>
      <c r="E24" s="1263"/>
    </row>
    <row r="25" spans="1:5">
      <c r="A25" s="518">
        <v>2</v>
      </c>
      <c r="B25" s="11"/>
      <c r="C25" s="11"/>
      <c r="D25" s="11"/>
      <c r="E25" s="628">
        <v>0</v>
      </c>
    </row>
    <row r="26" spans="1:5">
      <c r="A26" s="518">
        <v>3</v>
      </c>
      <c r="B26" s="97" t="s">
        <v>3019</v>
      </c>
      <c r="C26" s="11"/>
      <c r="D26" s="11"/>
      <c r="E26" s="628"/>
    </row>
    <row r="27" spans="1:5">
      <c r="A27" s="518">
        <v>4</v>
      </c>
      <c r="B27" s="11"/>
      <c r="C27" s="11"/>
      <c r="D27" s="11"/>
      <c r="E27" s="628"/>
    </row>
    <row r="28" spans="1:5">
      <c r="A28" s="518">
        <v>5</v>
      </c>
      <c r="B28" s="11"/>
      <c r="C28" s="11"/>
      <c r="D28" s="11"/>
      <c r="E28" s="628"/>
    </row>
    <row r="29" spans="1:5">
      <c r="A29" s="518">
        <v>6</v>
      </c>
      <c r="B29" s="11"/>
      <c r="C29" s="11"/>
      <c r="D29" s="11"/>
      <c r="E29" s="628"/>
    </row>
    <row r="30" spans="1:5">
      <c r="A30" s="518">
        <v>7</v>
      </c>
      <c r="B30" s="11"/>
      <c r="C30" s="11"/>
      <c r="D30" s="11"/>
      <c r="E30" s="628"/>
    </row>
    <row r="31" spans="1:5">
      <c r="A31" s="518">
        <v>8</v>
      </c>
      <c r="B31" s="11"/>
      <c r="C31" s="11"/>
      <c r="D31" s="11"/>
      <c r="E31" s="628"/>
    </row>
    <row r="32" spans="1:5">
      <c r="A32" s="518">
        <v>9</v>
      </c>
      <c r="B32" s="11"/>
      <c r="C32" s="11"/>
      <c r="D32" s="11"/>
      <c r="E32" s="628"/>
    </row>
    <row r="33" spans="1:5" ht="15.75" thickBot="1">
      <c r="A33" s="518">
        <v>10</v>
      </c>
      <c r="B33" s="11"/>
      <c r="C33" s="771" t="s">
        <v>3817</v>
      </c>
      <c r="D33" s="11"/>
      <c r="E33" s="1278">
        <f>SUM(E25:E32)</f>
        <v>0</v>
      </c>
    </row>
    <row r="34" spans="1:5" ht="15.75" thickTop="1">
      <c r="A34" s="518">
        <v>11</v>
      </c>
      <c r="B34" s="623" t="s">
        <v>3818</v>
      </c>
      <c r="C34" s="11"/>
      <c r="D34" s="11"/>
      <c r="E34" s="1263"/>
    </row>
    <row r="35" spans="1:5">
      <c r="A35" s="518">
        <v>12</v>
      </c>
      <c r="B35" s="11"/>
      <c r="C35" s="11"/>
      <c r="D35" s="11"/>
      <c r="E35" s="1081">
        <v>1951</v>
      </c>
    </row>
    <row r="36" spans="1:5">
      <c r="A36" s="518">
        <v>13</v>
      </c>
      <c r="B36" s="97" t="s">
        <v>5177</v>
      </c>
      <c r="C36" s="11"/>
      <c r="D36" s="11"/>
      <c r="E36" s="1083"/>
    </row>
    <row r="37" spans="1:5">
      <c r="A37" s="518">
        <v>14</v>
      </c>
      <c r="B37" s="11"/>
      <c r="C37" s="1279"/>
      <c r="D37" s="11"/>
      <c r="E37" s="1083"/>
    </row>
    <row r="38" spans="1:5">
      <c r="A38" s="518">
        <v>15</v>
      </c>
      <c r="B38" s="11"/>
      <c r="C38" s="1279"/>
      <c r="D38" s="11"/>
      <c r="E38" s="1083"/>
    </row>
    <row r="39" spans="1:5">
      <c r="A39" s="518">
        <v>16</v>
      </c>
      <c r="B39" s="11"/>
      <c r="C39" s="1279"/>
      <c r="D39" s="11"/>
      <c r="E39" s="1083"/>
    </row>
    <row r="40" spans="1:5">
      <c r="A40" s="518">
        <v>17</v>
      </c>
      <c r="B40" s="11"/>
      <c r="C40" s="1279"/>
      <c r="D40" s="11"/>
      <c r="E40" s="1083"/>
    </row>
    <row r="41" spans="1:5">
      <c r="A41" s="518">
        <v>18</v>
      </c>
      <c r="B41" s="11"/>
      <c r="C41" s="11"/>
      <c r="D41" s="11"/>
      <c r="E41" s="1083"/>
    </row>
    <row r="42" spans="1:5">
      <c r="A42" s="518">
        <v>19</v>
      </c>
      <c r="B42" s="11"/>
      <c r="C42" s="11"/>
      <c r="D42" s="11"/>
      <c r="E42" s="1083"/>
    </row>
    <row r="43" spans="1:5">
      <c r="A43" s="518">
        <v>20</v>
      </c>
      <c r="B43" s="11"/>
      <c r="C43" s="11"/>
      <c r="D43" s="11"/>
      <c r="E43" s="1083"/>
    </row>
    <row r="44" spans="1:5">
      <c r="A44" s="518">
        <v>21</v>
      </c>
      <c r="B44" s="11"/>
      <c r="C44" s="11"/>
      <c r="D44" s="11"/>
      <c r="E44" s="1083"/>
    </row>
    <row r="45" spans="1:5">
      <c r="A45" s="518">
        <v>22</v>
      </c>
      <c r="B45" s="11"/>
      <c r="C45" s="11"/>
      <c r="D45" s="11"/>
      <c r="E45" s="1083"/>
    </row>
    <row r="46" spans="1:5">
      <c r="A46" s="518">
        <v>23</v>
      </c>
      <c r="B46" s="11"/>
      <c r="C46" s="11"/>
      <c r="D46" s="11"/>
      <c r="E46" s="628"/>
    </row>
    <row r="47" spans="1:5">
      <c r="A47" s="518">
        <v>24</v>
      </c>
      <c r="B47" s="11"/>
      <c r="C47" s="11"/>
      <c r="D47" s="11"/>
      <c r="E47" s="628"/>
    </row>
    <row r="48" spans="1:5">
      <c r="A48" s="518">
        <v>25</v>
      </c>
      <c r="B48" s="11"/>
      <c r="C48" s="11"/>
      <c r="D48" s="11"/>
      <c r="E48" s="628"/>
    </row>
    <row r="49" spans="1:5">
      <c r="A49" s="518">
        <v>26</v>
      </c>
      <c r="B49" s="11"/>
      <c r="C49" s="11"/>
      <c r="D49" s="11"/>
      <c r="E49" s="628"/>
    </row>
    <row r="50" spans="1:5">
      <c r="A50" s="518">
        <v>27</v>
      </c>
      <c r="B50" s="11"/>
      <c r="C50" s="11"/>
      <c r="D50" s="11"/>
      <c r="E50" s="628"/>
    </row>
    <row r="51" spans="1:5">
      <c r="A51" s="518">
        <v>28</v>
      </c>
      <c r="B51" s="11"/>
      <c r="C51" s="11"/>
      <c r="D51" s="11"/>
      <c r="E51" s="628"/>
    </row>
    <row r="52" spans="1:5">
      <c r="A52" s="518">
        <v>29</v>
      </c>
      <c r="B52" s="11"/>
      <c r="C52" s="11"/>
      <c r="D52" s="11"/>
      <c r="E52" s="628"/>
    </row>
    <row r="53" spans="1:5">
      <c r="A53" s="518">
        <v>30</v>
      </c>
      <c r="B53" s="11"/>
      <c r="C53" s="11"/>
      <c r="D53" s="11"/>
      <c r="E53" s="628"/>
    </row>
    <row r="54" spans="1:5">
      <c r="A54" s="518">
        <v>31</v>
      </c>
      <c r="B54" s="11"/>
      <c r="C54" s="11"/>
      <c r="D54" s="11"/>
      <c r="E54" s="628"/>
    </row>
    <row r="55" spans="1:5">
      <c r="A55" s="518">
        <v>32</v>
      </c>
      <c r="B55" s="11"/>
      <c r="C55" s="11"/>
      <c r="D55" s="11"/>
      <c r="E55" s="628"/>
    </row>
    <row r="56" spans="1:5">
      <c r="A56" s="518">
        <v>33</v>
      </c>
      <c r="B56" s="11"/>
      <c r="C56" s="11"/>
      <c r="D56" s="11"/>
      <c r="E56" s="628"/>
    </row>
    <row r="57" spans="1:5">
      <c r="A57" s="518">
        <v>34</v>
      </c>
      <c r="B57" s="11"/>
      <c r="C57" s="11"/>
      <c r="D57" s="11"/>
      <c r="E57" s="628"/>
    </row>
    <row r="58" spans="1:5">
      <c r="A58" s="518">
        <v>35</v>
      </c>
      <c r="B58" s="11"/>
      <c r="C58" s="11"/>
      <c r="D58" s="11"/>
      <c r="E58" s="628"/>
    </row>
    <row r="59" spans="1:5">
      <c r="A59" s="518">
        <v>36</v>
      </c>
      <c r="B59" s="11"/>
      <c r="C59" s="11"/>
      <c r="D59" s="11"/>
      <c r="E59" s="628"/>
    </row>
    <row r="60" spans="1:5">
      <c r="A60" s="518">
        <v>37</v>
      </c>
      <c r="B60" s="11"/>
      <c r="C60" s="11"/>
      <c r="D60" s="11"/>
      <c r="E60" s="628"/>
    </row>
    <row r="61" spans="1:5">
      <c r="A61" s="518">
        <v>38</v>
      </c>
      <c r="B61" s="11"/>
      <c r="C61" s="11"/>
      <c r="D61" s="11"/>
      <c r="E61" s="628"/>
    </row>
    <row r="62" spans="1:5">
      <c r="A62" s="518">
        <v>39</v>
      </c>
      <c r="B62" s="11"/>
      <c r="C62" s="11"/>
      <c r="D62" s="11"/>
      <c r="E62" s="628"/>
    </row>
    <row r="63" spans="1:5">
      <c r="A63" s="518">
        <v>40</v>
      </c>
      <c r="B63" s="11"/>
      <c r="C63" s="11"/>
      <c r="D63" s="11"/>
      <c r="E63" s="628"/>
    </row>
    <row r="64" spans="1:5" ht="15.75" thickBot="1">
      <c r="A64" s="1280">
        <v>41</v>
      </c>
      <c r="B64" s="138"/>
      <c r="C64" s="1281" t="s">
        <v>3819</v>
      </c>
      <c r="D64" s="138"/>
      <c r="E64" s="625">
        <f>SUM(E35:E63)</f>
        <v>1951</v>
      </c>
    </row>
    <row r="65" spans="1:5">
      <c r="A65" s="793" t="s">
        <v>4066</v>
      </c>
    </row>
    <row r="66" spans="1:5">
      <c r="A66" s="131" t="s">
        <v>3820</v>
      </c>
      <c r="B66" s="131"/>
      <c r="C66" s="131"/>
      <c r="D66" s="131"/>
      <c r="E66" s="131"/>
    </row>
    <row r="67" spans="1:5" ht="15.75" thickBot="1">
      <c r="A67" s="186" t="str">
        <f>'Data sheet'!$A$63</f>
        <v>Annual Report of New York American Water Company, Inc. (f/k/a Long Island Water Corp)                                    Year Ended  December 31, 2013</v>
      </c>
      <c r="B67" s="11"/>
      <c r="C67" s="11"/>
      <c r="D67" s="141"/>
    </row>
    <row r="68" spans="1:5">
      <c r="A68" s="90"/>
      <c r="B68" s="91"/>
      <c r="C68" s="91"/>
      <c r="D68" s="91"/>
      <c r="E68" s="92"/>
    </row>
    <row r="69" spans="1:5" ht="15.75">
      <c r="A69" s="130" t="s">
        <v>4475</v>
      </c>
      <c r="B69" s="94"/>
      <c r="C69" s="131"/>
      <c r="D69" s="131"/>
      <c r="E69" s="132"/>
    </row>
    <row r="70" spans="1:5">
      <c r="A70" s="93"/>
      <c r="B70" s="11"/>
      <c r="C70" s="11"/>
      <c r="D70" s="11"/>
      <c r="E70" s="338"/>
    </row>
    <row r="71" spans="1:5">
      <c r="A71" s="1277" t="s">
        <v>1129</v>
      </c>
      <c r="B71" s="375" t="s">
        <v>429</v>
      </c>
      <c r="C71" s="375"/>
      <c r="D71" s="375"/>
      <c r="E71" s="781" t="s">
        <v>430</v>
      </c>
    </row>
    <row r="72" spans="1:5">
      <c r="A72" s="612" t="s">
        <v>3324</v>
      </c>
      <c r="B72" s="134" t="s">
        <v>4032</v>
      </c>
      <c r="C72" s="134"/>
      <c r="D72" s="134"/>
      <c r="E72" s="782" t="s">
        <v>4033</v>
      </c>
    </row>
    <row r="73" spans="1:5">
      <c r="A73" s="518">
        <v>1</v>
      </c>
      <c r="B73" s="623" t="s">
        <v>3821</v>
      </c>
      <c r="C73" s="11"/>
      <c r="D73" s="11"/>
      <c r="E73" s="1263"/>
    </row>
    <row r="74" spans="1:5">
      <c r="A74" s="518">
        <v>2</v>
      </c>
      <c r="B74" s="11"/>
      <c r="C74" s="11"/>
      <c r="D74" s="11"/>
      <c r="E74" s="629"/>
    </row>
    <row r="75" spans="1:5">
      <c r="A75" s="518">
        <v>3</v>
      </c>
      <c r="B75" s="97" t="s">
        <v>3019</v>
      </c>
      <c r="C75" s="11"/>
      <c r="D75" s="11"/>
      <c r="E75" s="628"/>
    </row>
    <row r="76" spans="1:5">
      <c r="A76" s="518">
        <v>4</v>
      </c>
      <c r="B76" s="11"/>
      <c r="C76" s="11"/>
      <c r="D76" s="11"/>
      <c r="E76" s="628"/>
    </row>
    <row r="77" spans="1:5">
      <c r="A77" s="518">
        <v>5</v>
      </c>
      <c r="B77" s="11"/>
      <c r="C77" s="11"/>
      <c r="D77" s="11"/>
      <c r="E77" s="628"/>
    </row>
    <row r="78" spans="1:5">
      <c r="A78" s="518">
        <v>6</v>
      </c>
      <c r="B78" s="11"/>
      <c r="C78" s="11"/>
      <c r="D78" s="11"/>
      <c r="E78" s="628"/>
    </row>
    <row r="79" spans="1:5" ht="15.75" thickBot="1">
      <c r="A79" s="518">
        <v>7</v>
      </c>
      <c r="B79" s="11"/>
      <c r="C79" s="771" t="s">
        <v>3715</v>
      </c>
      <c r="D79" s="11"/>
      <c r="E79" s="1278">
        <f>SUM(E74:E78)</f>
        <v>0</v>
      </c>
    </row>
    <row r="80" spans="1:5" ht="15.75" thickTop="1">
      <c r="A80" s="518">
        <v>8</v>
      </c>
      <c r="B80" s="623" t="s">
        <v>3716</v>
      </c>
      <c r="C80" s="11"/>
      <c r="D80" s="11"/>
      <c r="E80" s="1263"/>
    </row>
    <row r="81" spans="1:5">
      <c r="A81" s="518">
        <v>9</v>
      </c>
      <c r="B81" s="11"/>
      <c r="C81" s="11"/>
      <c r="D81" s="11"/>
      <c r="E81" s="629"/>
    </row>
    <row r="82" spans="1:5">
      <c r="A82" s="518">
        <v>10</v>
      </c>
      <c r="B82" s="97" t="s">
        <v>3019</v>
      </c>
      <c r="C82" s="11"/>
      <c r="D82" s="11"/>
      <c r="E82" s="628"/>
    </row>
    <row r="83" spans="1:5">
      <c r="A83" s="518">
        <v>11</v>
      </c>
      <c r="B83" s="11"/>
      <c r="C83" s="11"/>
      <c r="D83" s="11"/>
      <c r="E83" s="628"/>
    </row>
    <row r="84" spans="1:5">
      <c r="A84" s="518">
        <v>12</v>
      </c>
      <c r="B84" s="11"/>
      <c r="C84" s="11"/>
      <c r="D84" s="11"/>
      <c r="E84" s="628"/>
    </row>
    <row r="85" spans="1:5">
      <c r="A85" s="518">
        <v>13</v>
      </c>
      <c r="B85" s="11"/>
      <c r="C85" s="11"/>
      <c r="D85" s="11"/>
      <c r="E85" s="628"/>
    </row>
    <row r="86" spans="1:5">
      <c r="A86" s="518">
        <v>14</v>
      </c>
      <c r="B86" s="11"/>
      <c r="C86" s="11"/>
      <c r="D86" s="11"/>
      <c r="E86" s="628"/>
    </row>
    <row r="87" spans="1:5" ht="15.75" thickBot="1">
      <c r="A87" s="518">
        <v>15</v>
      </c>
      <c r="B87" s="11"/>
      <c r="C87" s="771" t="s">
        <v>3717</v>
      </c>
      <c r="D87" s="11"/>
      <c r="E87" s="1278">
        <f>SUM(E81:E86)</f>
        <v>0</v>
      </c>
    </row>
    <row r="88" spans="1:5" ht="15.75" thickTop="1">
      <c r="A88" s="518">
        <v>16</v>
      </c>
      <c r="B88" s="623" t="s">
        <v>3718</v>
      </c>
      <c r="C88" s="11"/>
      <c r="D88" s="11"/>
      <c r="E88" s="1263"/>
    </row>
    <row r="89" spans="1:5">
      <c r="A89" s="518">
        <v>17</v>
      </c>
      <c r="B89" s="11"/>
      <c r="C89" s="11"/>
      <c r="D89" s="11"/>
      <c r="E89" s="629"/>
    </row>
    <row r="90" spans="1:5">
      <c r="A90" s="518">
        <v>18</v>
      </c>
      <c r="B90" s="97" t="s">
        <v>3019</v>
      </c>
      <c r="C90" s="11"/>
      <c r="D90" s="11"/>
      <c r="E90" s="628"/>
    </row>
    <row r="91" spans="1:5">
      <c r="A91" s="518">
        <v>19</v>
      </c>
      <c r="B91" s="11"/>
      <c r="C91" s="11"/>
      <c r="D91" s="11"/>
      <c r="E91" s="628"/>
    </row>
    <row r="92" spans="1:5">
      <c r="A92" s="518">
        <v>20</v>
      </c>
      <c r="B92" s="11"/>
      <c r="C92" s="11"/>
      <c r="D92" s="11"/>
      <c r="E92" s="628"/>
    </row>
    <row r="93" spans="1:5">
      <c r="A93" s="518">
        <v>21</v>
      </c>
      <c r="B93" s="11"/>
      <c r="C93" s="11"/>
      <c r="D93" s="11"/>
      <c r="E93" s="628"/>
    </row>
    <row r="94" spans="1:5">
      <c r="A94" s="518">
        <v>22</v>
      </c>
      <c r="B94" s="11"/>
      <c r="C94" s="11"/>
      <c r="D94" s="11"/>
      <c r="E94" s="628"/>
    </row>
    <row r="95" spans="1:5">
      <c r="A95" s="518">
        <v>23</v>
      </c>
      <c r="B95" s="11"/>
      <c r="C95" s="11"/>
      <c r="D95" s="11"/>
      <c r="E95" s="628"/>
    </row>
    <row r="96" spans="1:5">
      <c r="A96" s="518">
        <v>24</v>
      </c>
      <c r="B96" s="11"/>
      <c r="C96" s="11"/>
      <c r="D96" s="11"/>
      <c r="E96" s="628"/>
    </row>
    <row r="97" spans="1:5">
      <c r="A97" s="518">
        <v>25</v>
      </c>
      <c r="B97" s="11"/>
      <c r="C97" s="11"/>
      <c r="D97" s="11"/>
      <c r="E97" s="628"/>
    </row>
    <row r="98" spans="1:5">
      <c r="A98" s="518">
        <v>26</v>
      </c>
      <c r="B98" s="11"/>
      <c r="C98" s="11"/>
      <c r="D98" s="11"/>
      <c r="E98" s="628"/>
    </row>
    <row r="99" spans="1:5">
      <c r="A99" s="518">
        <v>27</v>
      </c>
      <c r="B99" s="11"/>
      <c r="C99" s="11"/>
      <c r="D99" s="11"/>
      <c r="E99" s="628"/>
    </row>
    <row r="100" spans="1:5">
      <c r="A100" s="518">
        <v>28</v>
      </c>
      <c r="B100" s="11"/>
      <c r="C100" s="11"/>
      <c r="D100" s="11"/>
      <c r="E100" s="628"/>
    </row>
    <row r="101" spans="1:5">
      <c r="A101" s="518">
        <v>29</v>
      </c>
      <c r="B101" s="11"/>
      <c r="C101" s="11"/>
      <c r="D101" s="11"/>
      <c r="E101" s="628"/>
    </row>
    <row r="102" spans="1:5">
      <c r="A102" s="518">
        <v>30</v>
      </c>
      <c r="B102" s="11"/>
      <c r="C102" s="11"/>
      <c r="D102" s="11"/>
      <c r="E102" s="628"/>
    </row>
    <row r="103" spans="1:5">
      <c r="A103" s="518">
        <v>31</v>
      </c>
      <c r="B103" s="11"/>
      <c r="C103" s="11"/>
      <c r="D103" s="11"/>
      <c r="E103" s="628"/>
    </row>
    <row r="104" spans="1:5">
      <c r="A104" s="518">
        <v>32</v>
      </c>
      <c r="B104" s="11"/>
      <c r="C104" s="11"/>
      <c r="D104" s="11"/>
      <c r="E104" s="628"/>
    </row>
    <row r="105" spans="1:5">
      <c r="A105" s="518">
        <v>33</v>
      </c>
      <c r="B105" s="11"/>
      <c r="C105" s="11"/>
      <c r="D105" s="11"/>
      <c r="E105" s="628"/>
    </row>
    <row r="106" spans="1:5">
      <c r="A106" s="518">
        <v>34</v>
      </c>
      <c r="B106" s="11"/>
      <c r="C106" s="11"/>
      <c r="D106" s="11"/>
      <c r="E106" s="628"/>
    </row>
    <row r="107" spans="1:5">
      <c r="A107" s="518">
        <v>35</v>
      </c>
      <c r="B107" s="11"/>
      <c r="C107" s="11"/>
      <c r="D107" s="11"/>
      <c r="E107" s="628"/>
    </row>
    <row r="108" spans="1:5">
      <c r="A108" s="518">
        <v>36</v>
      </c>
      <c r="B108" s="11"/>
      <c r="C108" s="11"/>
      <c r="D108" s="11"/>
      <c r="E108" s="628"/>
    </row>
    <row r="109" spans="1:5">
      <c r="A109" s="518">
        <v>37</v>
      </c>
      <c r="B109" s="11"/>
      <c r="C109" s="11"/>
      <c r="D109" s="11"/>
      <c r="E109" s="628"/>
    </row>
    <row r="110" spans="1:5">
      <c r="A110" s="518">
        <v>38</v>
      </c>
      <c r="B110" s="11"/>
      <c r="C110" s="11"/>
      <c r="D110" s="11"/>
      <c r="E110" s="628"/>
    </row>
    <row r="111" spans="1:5">
      <c r="A111" s="518">
        <v>39</v>
      </c>
      <c r="B111" s="11"/>
      <c r="C111" s="11"/>
      <c r="D111" s="11"/>
      <c r="E111" s="628"/>
    </row>
    <row r="112" spans="1:5">
      <c r="A112" s="518">
        <v>40</v>
      </c>
      <c r="B112" s="11"/>
      <c r="C112" s="11"/>
      <c r="D112" s="11"/>
      <c r="E112" s="628"/>
    </row>
    <row r="113" spans="1:5">
      <c r="A113" s="518">
        <v>41</v>
      </c>
      <c r="B113" s="11"/>
      <c r="C113" s="11"/>
      <c r="D113" s="11"/>
      <c r="E113" s="628"/>
    </row>
    <row r="114" spans="1:5">
      <c r="A114" s="518">
        <v>42</v>
      </c>
      <c r="B114" s="11"/>
      <c r="C114" s="11"/>
      <c r="D114" s="11"/>
      <c r="E114" s="628"/>
    </row>
    <row r="115" spans="1:5">
      <c r="A115" s="518">
        <v>43</v>
      </c>
      <c r="B115" s="11"/>
      <c r="C115" s="11"/>
      <c r="D115" s="11"/>
      <c r="E115" s="628"/>
    </row>
    <row r="116" spans="1:5">
      <c r="A116" s="518">
        <v>44</v>
      </c>
      <c r="B116" s="11"/>
      <c r="C116" s="11"/>
      <c r="D116" s="11"/>
      <c r="E116" s="628"/>
    </row>
    <row r="117" spans="1:5">
      <c r="A117" s="518">
        <v>45</v>
      </c>
      <c r="B117" s="11"/>
      <c r="C117" s="11"/>
      <c r="D117" s="11"/>
      <c r="E117" s="628"/>
    </row>
    <row r="118" spans="1:5">
      <c r="A118" s="518">
        <v>46</v>
      </c>
      <c r="B118" s="11"/>
      <c r="C118" s="11"/>
      <c r="D118" s="11"/>
      <c r="E118" s="628"/>
    </row>
    <row r="119" spans="1:5">
      <c r="A119" s="518">
        <v>47</v>
      </c>
      <c r="B119" s="11"/>
      <c r="C119" s="11"/>
      <c r="D119" s="11"/>
      <c r="E119" s="628"/>
    </row>
    <row r="120" spans="1:5">
      <c r="A120" s="518">
        <v>48</v>
      </c>
      <c r="B120" s="11"/>
      <c r="C120" s="11"/>
      <c r="D120" s="11"/>
      <c r="E120" s="628"/>
    </row>
    <row r="121" spans="1:5">
      <c r="A121" s="518">
        <v>49</v>
      </c>
      <c r="B121" s="11"/>
      <c r="C121" s="11"/>
      <c r="D121" s="11"/>
      <c r="E121" s="628"/>
    </row>
    <row r="122" spans="1:5">
      <c r="A122" s="518">
        <v>50</v>
      </c>
      <c r="B122" s="11"/>
      <c r="C122" s="11"/>
      <c r="D122" s="11"/>
      <c r="E122" s="628"/>
    </row>
    <row r="123" spans="1:5">
      <c r="A123" s="518">
        <v>51</v>
      </c>
      <c r="B123" s="11"/>
      <c r="C123" s="11"/>
      <c r="D123" s="11"/>
      <c r="E123" s="628"/>
    </row>
    <row r="124" spans="1:5" ht="45.75" thickBot="1">
      <c r="A124" s="1280">
        <v>52</v>
      </c>
      <c r="B124" s="138"/>
      <c r="C124" s="1282" t="s">
        <v>2670</v>
      </c>
      <c r="D124" s="138"/>
      <c r="E124" s="625">
        <f>SUM(E89:E123)</f>
        <v>0</v>
      </c>
    </row>
    <row r="125" spans="1:5">
      <c r="E125" t="s">
        <v>4066</v>
      </c>
    </row>
    <row r="126" spans="1:5">
      <c r="A126" s="131" t="s">
        <v>2671</v>
      </c>
      <c r="B126" s="131"/>
      <c r="C126" s="131"/>
      <c r="D126" s="131"/>
      <c r="E126" s="131"/>
    </row>
    <row r="127" spans="1:5" ht="15.75" thickBot="1">
      <c r="A127" s="186" t="str">
        <f>'Data sheet'!$A$63</f>
        <v>Annual Report of New York American Water Company, Inc. (f/k/a Long Island Water Corp)                                    Year Ended  December 31, 2013</v>
      </c>
      <c r="B127" s="131"/>
      <c r="C127" s="131"/>
      <c r="D127" s="141"/>
    </row>
    <row r="128" spans="1:5">
      <c r="A128" s="90"/>
      <c r="B128" s="91"/>
      <c r="C128" s="91"/>
      <c r="D128" s="91"/>
      <c r="E128" s="92"/>
    </row>
    <row r="129" spans="1:5" ht="15.75">
      <c r="A129" s="130" t="s">
        <v>4475</v>
      </c>
      <c r="B129" s="94"/>
      <c r="C129" s="131"/>
      <c r="D129" s="131"/>
      <c r="E129" s="132"/>
    </row>
    <row r="130" spans="1:5">
      <c r="A130" s="93"/>
      <c r="B130" s="11"/>
      <c r="C130" s="11"/>
      <c r="D130" s="11"/>
      <c r="E130" s="338"/>
    </row>
    <row r="131" spans="1:5">
      <c r="A131" s="1277" t="s">
        <v>1129</v>
      </c>
      <c r="B131" s="375" t="s">
        <v>429</v>
      </c>
      <c r="C131" s="375"/>
      <c r="D131" s="375"/>
      <c r="E131" s="781" t="s">
        <v>430</v>
      </c>
    </row>
    <row r="132" spans="1:5">
      <c r="A132" s="612" t="s">
        <v>3324</v>
      </c>
      <c r="B132" s="134" t="s">
        <v>4032</v>
      </c>
      <c r="C132" s="134"/>
      <c r="D132" s="134"/>
      <c r="E132" s="782" t="s">
        <v>4033</v>
      </c>
    </row>
    <row r="133" spans="1:5">
      <c r="A133" s="518">
        <v>1</v>
      </c>
      <c r="B133" s="623" t="s">
        <v>2672</v>
      </c>
      <c r="C133" s="11"/>
      <c r="D133" s="11"/>
      <c r="E133" s="1263"/>
    </row>
    <row r="134" spans="1:5">
      <c r="A134" s="518">
        <v>2</v>
      </c>
      <c r="B134" s="11"/>
      <c r="C134" s="11"/>
      <c r="D134" s="11"/>
      <c r="E134" s="629"/>
    </row>
    <row r="135" spans="1:5">
      <c r="A135" s="518">
        <v>3</v>
      </c>
      <c r="B135" s="97" t="s">
        <v>3019</v>
      </c>
      <c r="C135" s="11"/>
      <c r="D135" s="11"/>
      <c r="E135" s="628"/>
    </row>
    <row r="136" spans="1:5">
      <c r="A136" s="518">
        <v>4</v>
      </c>
      <c r="B136" s="11"/>
      <c r="C136" s="11"/>
      <c r="D136" s="11"/>
      <c r="E136" s="628"/>
    </row>
    <row r="137" spans="1:5">
      <c r="A137" s="518">
        <v>5</v>
      </c>
      <c r="B137" s="11"/>
      <c r="C137" s="11"/>
      <c r="D137" s="11"/>
      <c r="E137" s="628"/>
    </row>
    <row r="138" spans="1:5">
      <c r="A138" s="518">
        <v>6</v>
      </c>
      <c r="B138" s="11"/>
      <c r="C138" s="11"/>
      <c r="D138" s="11"/>
      <c r="E138" s="628"/>
    </row>
    <row r="139" spans="1:5">
      <c r="A139" s="518">
        <v>7</v>
      </c>
      <c r="B139" s="11"/>
      <c r="C139" s="11"/>
      <c r="D139" s="11"/>
      <c r="E139" s="628"/>
    </row>
    <row r="140" spans="1:5">
      <c r="A140" s="518">
        <v>8</v>
      </c>
      <c r="B140" s="623"/>
      <c r="C140" s="11"/>
      <c r="D140" s="11"/>
      <c r="E140" s="628"/>
    </row>
    <row r="141" spans="1:5">
      <c r="A141" s="518">
        <v>9</v>
      </c>
      <c r="B141" s="11"/>
      <c r="C141" s="11"/>
      <c r="D141" s="11"/>
      <c r="E141" s="628"/>
    </row>
    <row r="142" spans="1:5">
      <c r="A142" s="518">
        <v>10</v>
      </c>
      <c r="B142" s="11"/>
      <c r="C142" s="11"/>
      <c r="D142" s="11"/>
      <c r="E142" s="628"/>
    </row>
    <row r="143" spans="1:5">
      <c r="A143" s="518">
        <v>11</v>
      </c>
      <c r="B143" s="11"/>
      <c r="C143" s="11"/>
      <c r="D143" s="11"/>
      <c r="E143" s="628"/>
    </row>
    <row r="144" spans="1:5">
      <c r="A144" s="518">
        <v>12</v>
      </c>
      <c r="B144" s="11"/>
      <c r="C144" s="11"/>
      <c r="D144" s="11"/>
      <c r="E144" s="628"/>
    </row>
    <row r="145" spans="1:10">
      <c r="A145" s="518">
        <v>13</v>
      </c>
      <c r="B145" s="11"/>
      <c r="C145" s="11"/>
      <c r="D145" s="11"/>
      <c r="E145" s="628"/>
    </row>
    <row r="146" spans="1:10">
      <c r="A146" s="518">
        <v>14</v>
      </c>
      <c r="B146" s="11"/>
      <c r="C146" s="11"/>
      <c r="D146" s="11"/>
      <c r="E146" s="628"/>
    </row>
    <row r="147" spans="1:10" ht="15.75" thickBot="1">
      <c r="A147" s="518">
        <v>15</v>
      </c>
      <c r="B147" s="11"/>
      <c r="C147" s="771" t="s">
        <v>4564</v>
      </c>
      <c r="D147" s="11"/>
      <c r="E147" s="1278">
        <f>SUM(E134:E146)</f>
        <v>0</v>
      </c>
    </row>
    <row r="148" spans="1:10" ht="15.75" thickTop="1">
      <c r="A148" s="518">
        <v>16</v>
      </c>
      <c r="B148" s="623" t="s">
        <v>1229</v>
      </c>
      <c r="C148" s="11"/>
      <c r="D148" s="11"/>
      <c r="E148" s="1263"/>
    </row>
    <row r="149" spans="1:10">
      <c r="A149" s="518">
        <v>17</v>
      </c>
      <c r="B149" s="11"/>
      <c r="C149" s="11"/>
      <c r="D149" s="11"/>
      <c r="E149" s="629"/>
    </row>
    <row r="150" spans="1:10">
      <c r="A150" s="518">
        <v>18</v>
      </c>
      <c r="B150" s="97" t="s">
        <v>3019</v>
      </c>
      <c r="C150" s="11"/>
      <c r="D150" s="11"/>
      <c r="E150" s="628"/>
    </row>
    <row r="151" spans="1:10">
      <c r="A151" s="518">
        <v>19</v>
      </c>
      <c r="B151" s="11"/>
      <c r="C151" s="11"/>
      <c r="D151" s="11"/>
      <c r="E151" s="628"/>
    </row>
    <row r="152" spans="1:10">
      <c r="A152" s="518">
        <v>20</v>
      </c>
      <c r="B152" s="11"/>
      <c r="C152" s="11"/>
      <c r="D152" s="11"/>
      <c r="E152" s="628"/>
    </row>
    <row r="153" spans="1:10">
      <c r="A153" s="518">
        <v>21</v>
      </c>
      <c r="B153" s="11"/>
      <c r="C153" s="11"/>
      <c r="D153" s="11"/>
      <c r="E153" s="628"/>
    </row>
    <row r="154" spans="1:10">
      <c r="A154" s="518">
        <v>22</v>
      </c>
      <c r="B154" s="11"/>
      <c r="C154" s="11"/>
      <c r="D154" s="11"/>
      <c r="E154" s="628"/>
    </row>
    <row r="155" spans="1:10">
      <c r="A155" s="518">
        <v>23</v>
      </c>
      <c r="B155" s="11"/>
      <c r="C155" s="11"/>
      <c r="D155" s="11"/>
      <c r="E155" s="628"/>
    </row>
    <row r="156" spans="1:10">
      <c r="A156" s="518">
        <v>24</v>
      </c>
      <c r="B156" s="11"/>
      <c r="C156" s="11"/>
      <c r="D156" s="11"/>
      <c r="E156" s="628"/>
    </row>
    <row r="157" spans="1:10">
      <c r="A157" s="518">
        <v>25</v>
      </c>
      <c r="B157" s="11"/>
      <c r="C157" s="11"/>
      <c r="D157" s="11"/>
      <c r="E157" s="628"/>
    </row>
    <row r="158" spans="1:10" ht="30.75" thickBot="1">
      <c r="A158" s="518">
        <v>26</v>
      </c>
      <c r="B158" s="11"/>
      <c r="C158" s="1124" t="s">
        <v>2215</v>
      </c>
      <c r="D158" s="11"/>
      <c r="E158" s="1278">
        <f>SUM(E149:E157)</f>
        <v>0</v>
      </c>
      <c r="J158" s="230"/>
    </row>
    <row r="159" spans="1:10" ht="15.75" thickTop="1">
      <c r="A159" s="518">
        <v>27</v>
      </c>
      <c r="B159" s="1665" t="s">
        <v>2216</v>
      </c>
      <c r="C159" s="1666"/>
      <c r="D159" s="1666"/>
      <c r="E159" s="1667"/>
    </row>
    <row r="160" spans="1:10" ht="15.75">
      <c r="A160" s="518">
        <v>28</v>
      </c>
      <c r="B160" s="1653" t="s">
        <v>5209</v>
      </c>
      <c r="C160" s="1666"/>
      <c r="D160" s="1666"/>
      <c r="E160" s="1083">
        <v>21861</v>
      </c>
      <c r="G160" s="1675"/>
      <c r="H160" s="1633"/>
      <c r="I160" s="1633"/>
      <c r="J160" s="1633"/>
    </row>
    <row r="161" spans="1:11" ht="15.75">
      <c r="A161" s="518">
        <v>29</v>
      </c>
      <c r="B161" s="1666" t="s">
        <v>2217</v>
      </c>
      <c r="C161" s="1666"/>
      <c r="D161" s="1666"/>
      <c r="E161" s="1083">
        <v>40069</v>
      </c>
      <c r="G161" s="1675"/>
      <c r="H161" s="1633"/>
      <c r="I161" s="1633"/>
      <c r="J161" s="1633"/>
    </row>
    <row r="162" spans="1:11" ht="15.75">
      <c r="A162" s="518">
        <v>30</v>
      </c>
      <c r="B162" s="1653" t="s">
        <v>5207</v>
      </c>
      <c r="C162" s="1666"/>
      <c r="D162" s="1666"/>
      <c r="E162" s="1083">
        <v>187378</v>
      </c>
      <c r="G162" s="1675"/>
      <c r="H162" s="1633"/>
      <c r="I162" s="1633"/>
      <c r="J162" s="1633"/>
    </row>
    <row r="163" spans="1:11" ht="15.75">
      <c r="A163" s="518">
        <v>31</v>
      </c>
      <c r="B163" s="1653" t="s">
        <v>5208</v>
      </c>
      <c r="C163" s="11"/>
      <c r="D163" s="1666"/>
      <c r="E163" s="1083">
        <v>-37620</v>
      </c>
      <c r="G163" s="1675"/>
      <c r="H163" s="2091"/>
      <c r="I163" s="1633"/>
      <c r="J163" s="1633"/>
    </row>
    <row r="164" spans="1:11" ht="15.75">
      <c r="A164" s="518">
        <v>32</v>
      </c>
      <c r="B164" s="1666"/>
      <c r="C164" s="11"/>
      <c r="D164" s="11"/>
      <c r="E164" s="1083"/>
      <c r="G164" s="1675"/>
      <c r="H164" s="1633"/>
      <c r="I164" s="1633"/>
      <c r="J164" s="1633"/>
      <c r="K164" s="1621"/>
    </row>
    <row r="165" spans="1:11" ht="15.75">
      <c r="A165" s="518">
        <v>33</v>
      </c>
      <c r="B165" s="1666"/>
      <c r="C165" s="11"/>
      <c r="D165" s="11"/>
      <c r="E165" s="628"/>
      <c r="G165" s="1675"/>
      <c r="H165" s="1675"/>
      <c r="I165" s="1675"/>
      <c r="J165" s="1633"/>
    </row>
    <row r="166" spans="1:11">
      <c r="A166" s="518">
        <v>34</v>
      </c>
      <c r="B166" s="11"/>
      <c r="C166" s="11"/>
      <c r="D166" s="11"/>
      <c r="E166" s="628"/>
      <c r="G166" s="1633"/>
      <c r="H166" s="1633"/>
      <c r="I166" s="1633"/>
      <c r="J166" s="1633"/>
    </row>
    <row r="167" spans="1:11" ht="15.75" thickBot="1">
      <c r="A167" s="518">
        <v>35</v>
      </c>
      <c r="B167" s="11"/>
      <c r="C167" s="771" t="s">
        <v>2218</v>
      </c>
      <c r="D167" s="11"/>
      <c r="E167" s="1278">
        <f>SUM(E160:E166)</f>
        <v>211688</v>
      </c>
      <c r="G167" s="1633"/>
      <c r="H167" s="1633"/>
      <c r="I167" s="1633"/>
      <c r="J167" s="1633"/>
    </row>
    <row r="168" spans="1:11" ht="15.75" thickTop="1">
      <c r="A168" s="518">
        <v>36</v>
      </c>
      <c r="B168" s="11"/>
      <c r="C168" s="11"/>
      <c r="D168" s="11"/>
      <c r="E168" s="628"/>
    </row>
    <row r="169" spans="1:11">
      <c r="A169" s="518">
        <v>37</v>
      </c>
      <c r="B169" s="11"/>
      <c r="C169" s="11"/>
      <c r="D169" s="11"/>
      <c r="E169" s="628"/>
    </row>
    <row r="170" spans="1:11">
      <c r="A170" s="518">
        <v>38</v>
      </c>
      <c r="B170" s="11"/>
      <c r="C170" s="11"/>
      <c r="D170" s="11"/>
      <c r="E170" s="628"/>
    </row>
    <row r="171" spans="1:11">
      <c r="A171" s="518">
        <v>39</v>
      </c>
      <c r="B171" s="11"/>
      <c r="C171" s="11"/>
      <c r="D171" s="11"/>
      <c r="E171" s="628"/>
    </row>
    <row r="172" spans="1:11">
      <c r="A172" s="518">
        <v>40</v>
      </c>
      <c r="B172" s="11"/>
      <c r="C172" s="11"/>
      <c r="D172" s="11"/>
      <c r="E172" s="628"/>
    </row>
    <row r="173" spans="1:11">
      <c r="A173" s="518">
        <v>41</v>
      </c>
      <c r="B173" s="11"/>
      <c r="C173" s="11"/>
      <c r="D173" s="11"/>
      <c r="E173" s="628"/>
    </row>
    <row r="174" spans="1:11">
      <c r="A174" s="518">
        <v>42</v>
      </c>
      <c r="B174" s="11"/>
      <c r="C174" s="11"/>
      <c r="D174" s="11"/>
      <c r="E174" s="628"/>
    </row>
    <row r="175" spans="1:11">
      <c r="A175" s="518">
        <v>43</v>
      </c>
      <c r="B175" s="11"/>
      <c r="C175" s="11"/>
      <c r="D175" s="11"/>
      <c r="E175" s="628"/>
    </row>
    <row r="176" spans="1:11">
      <c r="A176" s="518">
        <v>44</v>
      </c>
      <c r="B176" s="11"/>
      <c r="C176" s="11"/>
      <c r="D176" s="11"/>
      <c r="E176" s="628"/>
    </row>
    <row r="177" spans="1:5">
      <c r="A177" s="518">
        <v>45</v>
      </c>
      <c r="B177" s="11"/>
      <c r="C177" s="11"/>
      <c r="D177" s="11"/>
      <c r="E177" s="628"/>
    </row>
    <row r="178" spans="1:5">
      <c r="A178" s="518">
        <v>46</v>
      </c>
      <c r="B178" s="11"/>
      <c r="C178" s="11"/>
      <c r="D178" s="11"/>
      <c r="E178" s="628"/>
    </row>
    <row r="179" spans="1:5">
      <c r="A179" s="518">
        <v>47</v>
      </c>
      <c r="B179" s="11"/>
      <c r="C179" s="11"/>
      <c r="D179" s="11"/>
      <c r="E179" s="628"/>
    </row>
    <row r="180" spans="1:5">
      <c r="A180" s="518">
        <v>48</v>
      </c>
      <c r="B180" s="11"/>
      <c r="C180" s="11"/>
      <c r="D180" s="11"/>
      <c r="E180" s="628"/>
    </row>
    <row r="181" spans="1:5">
      <c r="A181" s="518">
        <v>49</v>
      </c>
      <c r="B181" s="11"/>
      <c r="C181" s="11"/>
      <c r="D181" s="11"/>
      <c r="E181" s="628"/>
    </row>
    <row r="182" spans="1:5">
      <c r="A182" s="518">
        <v>50</v>
      </c>
      <c r="B182" s="11"/>
      <c r="C182" s="11"/>
      <c r="D182" s="11"/>
      <c r="E182" s="628"/>
    </row>
    <row r="183" spans="1:5">
      <c r="A183" s="518">
        <v>51</v>
      </c>
      <c r="B183" s="11"/>
      <c r="C183" s="11"/>
      <c r="D183" s="11"/>
      <c r="E183" s="628"/>
    </row>
    <row r="184" spans="1:5" ht="15.75" thickBot="1">
      <c r="A184" s="1280">
        <v>52</v>
      </c>
      <c r="B184" s="138"/>
      <c r="C184" s="138"/>
      <c r="D184" s="138"/>
      <c r="E184" s="1283"/>
    </row>
    <row r="185" spans="1:5">
      <c r="A185" t="s">
        <v>4066</v>
      </c>
    </row>
    <row r="186" spans="1:5">
      <c r="A186" s="131" t="s">
        <v>2219</v>
      </c>
      <c r="B186" s="131"/>
      <c r="C186" s="131"/>
      <c r="D186" s="131"/>
      <c r="E186" s="131"/>
    </row>
  </sheetData>
  <customSheetViews>
    <customSheetView guid="{1BA452AD-1A45-4D9C-9666-ADFFA6F2F567}" scale="60" colorId="22" showPageBreaks="1" printArea="1" view="pageBreakPreview" topLeftCell="A125">
      <selection activeCell="D179" sqref="D179"/>
      <rowBreaks count="2" manualBreakCount="2">
        <brk id="66" max="4" man="1"/>
        <brk id="126" max="4" man="1"/>
      </rowBreaks>
      <pageMargins left="0.75" right="0.4" top="0.3" bottom="0.3" header="0.5" footer="0.5"/>
      <printOptions horizontalCentered="1" verticalCentered="1"/>
      <pageSetup scale="69" fitToWidth="3" fitToHeight="3" orientation="portrait" r:id="rId1"/>
      <headerFooter alignWithMargins="0"/>
    </customSheetView>
    <customSheetView guid="{EEF7ABD6-0F96-4791-B749-C06F707E7673}" scale="60" colorId="22" showPageBreaks="1" printArea="1" view="pageBreakPreview" showRuler="0" topLeftCell="A124">
      <selection activeCell="C104" sqref="C104"/>
      <rowBreaks count="2" manualBreakCount="2">
        <brk id="66" max="4" man="1"/>
        <brk id="126" max="4" man="1"/>
      </rowBreaks>
      <pageMargins left="0.75" right="0.4" top="0.3" bottom="0.3" header="0.5" footer="0.5"/>
      <printOptions horizontalCentered="1" verticalCentered="1"/>
      <pageSetup scale="69" fitToWidth="3" fitToHeight="3" orientation="portrait" r:id="rId2"/>
      <headerFooter alignWithMargins="0"/>
    </customSheetView>
    <customSheetView guid="{A7D7DB3C-AFE6-468E-8C6B-9531F6711497}" scale="60" colorId="22" showPageBreaks="1" printArea="1" view="pageBreakPreview" showRuler="0" topLeftCell="A16">
      <selection activeCell="E35" sqref="E35"/>
      <rowBreaks count="2" manualBreakCount="2">
        <brk id="66" max="16383" man="1"/>
        <brk id="126" max="16383" man="1"/>
      </rowBreaks>
      <pageMargins left="0.75" right="0.4" top="0.3" bottom="0.3" header="0.5" footer="0.5"/>
      <printOptions horizontalCentered="1" verticalCentered="1"/>
      <pageSetup scale="69" fitToWidth="3" orientation="portrait" r:id="rId3"/>
      <headerFooter alignWithMargins="0"/>
    </customSheetView>
    <customSheetView guid="{4436FEB5-BFEC-4348-9286-CB706802873E}" scale="60" colorId="22" showPageBreaks="1" printArea="1" view="pageBreakPreview" showRuler="0" topLeftCell="A16">
      <selection activeCell="E35" sqref="E35"/>
      <rowBreaks count="2" manualBreakCount="2">
        <brk id="66" max="16383" man="1"/>
        <brk id="126" max="16383" man="1"/>
      </rowBreaks>
      <pageMargins left="0.75" right="0.4" top="0.3" bottom="0.3" header="0.5" footer="0.5"/>
      <printOptions horizontalCentered="1" verticalCentered="1"/>
      <pageSetup scale="69" fitToWidth="3" orientation="portrait" r:id="rId4"/>
      <headerFooter alignWithMargins="0"/>
    </customSheetView>
    <customSheetView guid="{044CF00C-469F-44B3-B2C4-9B4049CE70CB}" scale="75" colorId="22" showRuler="0" topLeftCell="A151">
      <selection activeCell="E162" sqref="E162"/>
      <rowBreaks count="2" manualBreakCount="2">
        <brk id="66" max="16383" man="1"/>
        <brk id="126" max="16383" man="1"/>
      </rowBreaks>
      <pageMargins left="0.75" right="0.4" top="0.3" bottom="0.3" header="0.5" footer="0.5"/>
      <printOptions horizontalCentered="1" verticalCentered="1"/>
      <pageSetup scale="69" fitToWidth="3" orientation="portrait" r:id="rId5"/>
      <headerFooter alignWithMargins="0"/>
    </customSheetView>
    <customSheetView guid="{4826FCC0-BDD6-4B2C-ACC6-ACE271DDF0E3}" scale="60" colorId="22" showPageBreaks="1" printArea="1" view="pageBreakPreview" showRuler="0" topLeftCell="A124">
      <selection activeCell="C104" sqref="C104"/>
      <rowBreaks count="2" manualBreakCount="2">
        <brk id="66" max="4" man="1"/>
        <brk id="126" max="4" man="1"/>
      </rowBreaks>
      <pageMargins left="0.75" right="0.4" top="0.3" bottom="0.3" header="0.5" footer="0.5"/>
      <printOptions horizontalCentered="1" verticalCentered="1"/>
      <pageSetup scale="69" fitToWidth="3" fitToHeight="3" orientation="portrait" r:id="rId6"/>
      <headerFooter alignWithMargins="0"/>
    </customSheetView>
    <customSheetView guid="{EF376D10-23D6-4FE2-AB5B-4460D52CC93F}" scale="60" colorId="22" showPageBreaks="1" printArea="1" view="pageBreakPreview" showRuler="0" topLeftCell="A124">
      <selection activeCell="C104" sqref="C104"/>
      <rowBreaks count="2" manualBreakCount="2">
        <brk id="66" max="4" man="1"/>
        <brk id="126" max="4" man="1"/>
      </rowBreaks>
      <pageMargins left="0.75" right="0.4" top="0.3" bottom="0.3" header="0.5" footer="0.5"/>
      <printOptions horizontalCentered="1" verticalCentered="1"/>
      <pageSetup scale="69" fitToWidth="3" fitToHeight="3" orientation="portrait" r:id="rId7"/>
      <headerFooter alignWithMargins="0"/>
    </customSheetView>
    <customSheetView guid="{1C046605-15CE-44F1-BFCD-2CA8588E7ACF}" scale="75" colorId="22" showRuler="0" topLeftCell="A133">
      <selection activeCell="G168" sqref="G168"/>
      <rowBreaks count="2" manualBreakCount="2">
        <brk id="66" max="4" man="1"/>
        <brk id="126" max="4" man="1"/>
      </rowBreaks>
      <pageMargins left="0.75" right="0.4" top="0.3" bottom="0.3" header="0.5" footer="0.5"/>
      <printOptions horizontalCentered="1" verticalCentered="1"/>
      <pageSetup scale="69" fitToWidth="3" fitToHeight="3" orientation="portrait" r:id="rId8"/>
      <headerFooter alignWithMargins="0"/>
    </customSheetView>
    <customSheetView guid="{3911D713-188C-46A1-A299-F21DD3B7A146}" scale="75" colorId="22" showRuler="0" topLeftCell="A133">
      <selection activeCell="G168" sqref="G168"/>
      <rowBreaks count="2" manualBreakCount="2">
        <brk id="66" max="4" man="1"/>
        <brk id="126" max="4" man="1"/>
      </rowBreaks>
      <pageMargins left="0.75" right="0.4" top="0.3" bottom="0.3" header="0.5" footer="0.5"/>
      <printOptions horizontalCentered="1" verticalCentered="1"/>
      <pageSetup scale="69" fitToWidth="3" fitToHeight="3" orientation="portrait" r:id="rId9"/>
      <headerFooter alignWithMargins="0"/>
    </customSheetView>
    <customSheetView guid="{78BB1E60-60BE-4F56-9763-075185EFEFAB}" scale="60" colorId="22" showPageBreaks="1" printArea="1" view="pageBreakPreview" topLeftCell="A126">
      <selection activeCell="K143" sqref="K143"/>
      <rowBreaks count="2" manualBreakCount="2">
        <brk id="66" max="4" man="1"/>
        <brk id="126" max="4" man="1"/>
      </rowBreaks>
      <pageMargins left="0.33" right="0.4" top="0.3" bottom="0.3" header="0.5" footer="0.5"/>
      <printOptions horizontalCentered="1" verticalCentered="1"/>
      <pageSetup scale="69" fitToWidth="3" fitToHeight="3" orientation="portrait" r:id="rId10"/>
      <headerFooter alignWithMargins="0"/>
    </customSheetView>
    <customSheetView guid="{9C30803E-1E2D-4850-B0A5-591CA6F246A1}" scale="60" colorId="22" showPageBreaks="1" printArea="1" view="pageBreakPreview" topLeftCell="A126">
      <selection activeCell="K143" sqref="K143"/>
      <rowBreaks count="2" manualBreakCount="2">
        <brk id="66" max="4" man="1"/>
        <brk id="126" max="4" man="1"/>
      </rowBreaks>
      <pageMargins left="0.33" right="0.4" top="0.3" bottom="0.3" header="0.5" footer="0.5"/>
      <printOptions horizontalCentered="1" verticalCentered="1"/>
      <pageSetup scale="69" fitToWidth="3" fitToHeight="3" orientation="portrait" r:id="rId11"/>
      <headerFooter alignWithMargins="0"/>
    </customSheetView>
    <customSheetView guid="{3B1006FF-A2CA-49E7-9B25-DAC8815279AF}" scale="60" colorId="22" showPageBreaks="1" printArea="1" view="pageBreakPreview" topLeftCell="A126">
      <selection activeCell="K143" sqref="K143"/>
      <rowBreaks count="2" manualBreakCount="2">
        <brk id="66" max="4" man="1"/>
        <brk id="126" max="4" man="1"/>
      </rowBreaks>
      <pageMargins left="0.33" right="0.4" top="0.3" bottom="0.3" header="0.5" footer="0.5"/>
      <printOptions horizontalCentered="1" verticalCentered="1"/>
      <pageSetup scale="69" fitToWidth="3" fitToHeight="3" orientation="portrait" r:id="rId12"/>
      <headerFooter alignWithMargins="0"/>
    </customSheetView>
    <customSheetView guid="{FB1A60C8-E1F9-4DF0-8E0E-1C965F86027F}" scale="60" colorId="22" showPageBreaks="1" printArea="1" view="pageBreakPreview" topLeftCell="A126">
      <selection activeCell="K143" sqref="K143"/>
      <rowBreaks count="2" manualBreakCount="2">
        <brk id="66" max="4" man="1"/>
        <brk id="126" max="4" man="1"/>
      </rowBreaks>
      <pageMargins left="0.33" right="0.4" top="0.3" bottom="0.3" header="0.5" footer="0.5"/>
      <printOptions horizontalCentered="1" verticalCentered="1"/>
      <pageSetup scale="69" fitToWidth="3" fitToHeight="3" orientation="portrait" r:id="rId13"/>
      <headerFooter alignWithMargins="0"/>
    </customSheetView>
    <customSheetView guid="{C5B6D812-CBE6-46AA-99F7-02494E9802B4}" scale="70" colorId="22" showPageBreaks="1" printArea="1" view="pageBreakPreview" topLeftCell="A5">
      <selection activeCell="C10" sqref="C10"/>
      <rowBreaks count="2" manualBreakCount="2">
        <brk id="66" max="4" man="1"/>
        <brk id="126" max="4" man="1"/>
      </rowBreaks>
      <pageMargins left="0.33" right="0.4" top="0.3" bottom="0.3" header="0.5" footer="0.5"/>
      <printOptions horizontalCentered="1" verticalCentered="1"/>
      <pageSetup scale="69" fitToWidth="3" fitToHeight="3" orientation="portrait" r:id="rId14"/>
      <headerFooter alignWithMargins="0"/>
    </customSheetView>
  </customSheetViews>
  <phoneticPr fontId="0" type="noConversion"/>
  <printOptions horizontalCentered="1" verticalCentered="1"/>
  <pageMargins left="0.33" right="0.4" top="0.3" bottom="0.3" header="0.5" footer="0.5"/>
  <pageSetup scale="69" fitToWidth="3" fitToHeight="3" orientation="portrait" r:id="rId15"/>
  <headerFooter alignWithMargins="0"/>
  <rowBreaks count="2" manualBreakCount="2">
    <brk id="66" max="4" man="1"/>
    <brk id="126" max="4" man="1"/>
  </rowBreaks>
  <customProperties>
    <customPr name="_pios_id" r:id="rId16"/>
  </customProperties>
</worksheet>
</file>

<file path=xl/worksheets/sheet6.xml><?xml version="1.0" encoding="utf-8"?>
<worksheet xmlns="http://schemas.openxmlformats.org/spreadsheetml/2006/main" xmlns:r="http://schemas.openxmlformats.org/officeDocument/2006/relationships">
  <sheetPr transitionEvaluation="1" codeName="Sheet6" enableFormatConditionsCalculation="0"/>
  <dimension ref="A1:I168"/>
  <sheetViews>
    <sheetView defaultGridColor="0" colorId="22" zoomScale="70" zoomScaleNormal="70" workbookViewId="0"/>
  </sheetViews>
  <sheetFormatPr defaultColWidth="9.77734375" defaultRowHeight="15"/>
  <cols>
    <col min="1" max="1" width="2.77734375" customWidth="1"/>
    <col min="2" max="2" width="38.77734375" customWidth="1"/>
    <col min="3" max="3" width="7.77734375" customWidth="1"/>
    <col min="4" max="4" width="5.88671875" customWidth="1"/>
    <col min="5" max="6" width="0" hidden="1" customWidth="1"/>
    <col min="7" max="7" width="12.77734375" customWidth="1"/>
    <col min="8" max="8" width="12.21875" customWidth="1"/>
    <col min="9" max="9" width="33.44140625" customWidth="1"/>
  </cols>
  <sheetData>
    <row r="1" spans="1:9" ht="15.75" thickBot="1">
      <c r="A1" s="1745" t="str">
        <f>+'Data sheet'!$A$53</f>
        <v>Annual Report of New York American Water Company, Inc. (f/k/a Long Island Water Corp)                                   Year Ended  December 31, 2013</v>
      </c>
    </row>
    <row r="2" spans="1:9">
      <c r="A2" s="90"/>
      <c r="B2" s="91"/>
      <c r="C2" s="91"/>
      <c r="D2" s="91"/>
      <c r="E2" s="91"/>
      <c r="F2" s="91"/>
      <c r="G2" s="91"/>
      <c r="H2" s="91"/>
      <c r="I2" s="92"/>
    </row>
    <row r="3" spans="1:9" ht="15.75">
      <c r="A3" s="93"/>
      <c r="B3" s="94" t="s">
        <v>3174</v>
      </c>
      <c r="C3" s="94"/>
      <c r="D3" s="94"/>
      <c r="E3" s="94"/>
      <c r="F3" s="94"/>
      <c r="G3" s="94"/>
      <c r="H3" s="94"/>
      <c r="I3" s="95"/>
    </row>
    <row r="4" spans="1:9">
      <c r="A4" s="96"/>
      <c r="B4" s="97"/>
      <c r="C4" s="97"/>
      <c r="D4" s="97"/>
      <c r="E4" s="97"/>
      <c r="F4" s="97"/>
      <c r="G4" s="97"/>
      <c r="H4" s="97"/>
      <c r="I4" s="98"/>
    </row>
    <row r="5" spans="1:9">
      <c r="A5" s="99"/>
      <c r="B5" s="100"/>
      <c r="C5" s="101"/>
      <c r="D5" s="102"/>
      <c r="E5" s="797" t="s">
        <v>3175</v>
      </c>
      <c r="F5" s="798" t="s">
        <v>4027</v>
      </c>
      <c r="G5" s="797" t="s">
        <v>3175</v>
      </c>
      <c r="H5" s="798" t="s">
        <v>4027</v>
      </c>
      <c r="I5" s="104"/>
    </row>
    <row r="6" spans="1:9">
      <c r="A6" s="96"/>
      <c r="B6" s="105" t="s">
        <v>4028</v>
      </c>
      <c r="C6" s="97"/>
      <c r="D6" s="106"/>
      <c r="E6" s="105" t="s">
        <v>4029</v>
      </c>
      <c r="F6" s="120" t="s">
        <v>4030</v>
      </c>
      <c r="G6" s="105" t="s">
        <v>4029</v>
      </c>
      <c r="H6" s="120" t="s">
        <v>4030</v>
      </c>
      <c r="I6" s="462" t="s">
        <v>4031</v>
      </c>
    </row>
    <row r="7" spans="1:9">
      <c r="A7" s="108"/>
      <c r="B7" s="799" t="s">
        <v>4032</v>
      </c>
      <c r="C7" s="109"/>
      <c r="D7" s="110"/>
      <c r="E7" s="799" t="s">
        <v>4033</v>
      </c>
      <c r="F7" s="800" t="s">
        <v>4034</v>
      </c>
      <c r="G7" s="799" t="s">
        <v>4033</v>
      </c>
      <c r="H7" s="800" t="s">
        <v>4034</v>
      </c>
      <c r="I7" s="458" t="s">
        <v>4035</v>
      </c>
    </row>
    <row r="8" spans="1:9" ht="15.75">
      <c r="A8" s="96"/>
      <c r="B8" s="94" t="s">
        <v>569</v>
      </c>
      <c r="C8" s="94"/>
      <c r="D8" s="113"/>
      <c r="E8" s="97"/>
      <c r="F8" s="114"/>
      <c r="G8" s="114"/>
      <c r="H8" s="114"/>
      <c r="I8" s="98"/>
    </row>
    <row r="9" spans="1:9" ht="15.75">
      <c r="A9" s="115"/>
      <c r="B9" s="94" t="s">
        <v>570</v>
      </c>
      <c r="C9" s="94"/>
      <c r="D9" s="113"/>
      <c r="E9" s="116"/>
      <c r="F9" s="114"/>
      <c r="G9" s="114"/>
      <c r="H9" s="114"/>
      <c r="I9" s="98"/>
    </row>
    <row r="10" spans="1:9" ht="15.75">
      <c r="A10" s="115"/>
      <c r="B10" s="97" t="s">
        <v>3574</v>
      </c>
      <c r="C10" s="117"/>
      <c r="D10" s="118"/>
      <c r="E10" s="116"/>
      <c r="F10" s="114"/>
      <c r="G10" s="114" t="s">
        <v>571</v>
      </c>
      <c r="H10" s="114" t="s">
        <v>572</v>
      </c>
      <c r="I10" s="1028"/>
    </row>
    <row r="11" spans="1:9" ht="15.75">
      <c r="A11" s="115"/>
      <c r="B11" s="97" t="s">
        <v>573</v>
      </c>
      <c r="C11" s="117"/>
      <c r="D11" s="118"/>
      <c r="E11" s="116"/>
      <c r="F11" s="114"/>
      <c r="G11" s="114" t="s">
        <v>574</v>
      </c>
      <c r="H11" s="114" t="s">
        <v>575</v>
      </c>
      <c r="I11" s="1028"/>
    </row>
    <row r="12" spans="1:9" ht="15.75">
      <c r="A12" s="115"/>
      <c r="B12" s="97" t="s">
        <v>1490</v>
      </c>
      <c r="C12" s="117"/>
      <c r="D12" s="118"/>
      <c r="E12" s="116"/>
      <c r="F12" s="114"/>
      <c r="G12" s="114" t="s">
        <v>4412</v>
      </c>
      <c r="H12" s="114" t="s">
        <v>4413</v>
      </c>
      <c r="I12" s="1028"/>
    </row>
    <row r="13" spans="1:9" ht="15.75">
      <c r="A13" s="115"/>
      <c r="B13" s="97" t="s">
        <v>4414</v>
      </c>
      <c r="C13" s="117"/>
      <c r="D13" s="118"/>
      <c r="E13" s="116"/>
      <c r="F13" s="114"/>
      <c r="G13" s="114" t="s">
        <v>4415</v>
      </c>
      <c r="H13" s="114" t="s">
        <v>575</v>
      </c>
      <c r="I13" s="1028"/>
    </row>
    <row r="14" spans="1:9" ht="15.75">
      <c r="A14" s="115"/>
      <c r="B14" s="97" t="s">
        <v>4416</v>
      </c>
      <c r="C14" s="117"/>
      <c r="D14" s="118"/>
      <c r="E14" s="116"/>
      <c r="F14" s="114"/>
      <c r="G14" s="114" t="s">
        <v>4417</v>
      </c>
      <c r="H14" s="114" t="s">
        <v>575</v>
      </c>
      <c r="I14" s="1028"/>
    </row>
    <row r="15" spans="1:9" ht="15.75">
      <c r="A15" s="115"/>
      <c r="B15" s="97" t="s">
        <v>3166</v>
      </c>
      <c r="C15" s="117"/>
      <c r="D15" s="118"/>
      <c r="E15" s="116"/>
      <c r="F15" s="114"/>
      <c r="G15" s="114" t="s">
        <v>3167</v>
      </c>
      <c r="H15" s="114" t="s">
        <v>575</v>
      </c>
      <c r="I15" s="1028"/>
    </row>
    <row r="16" spans="1:9" ht="15.75">
      <c r="A16" s="115"/>
      <c r="B16" s="97" t="s">
        <v>3635</v>
      </c>
      <c r="C16" s="97"/>
      <c r="D16" s="106"/>
      <c r="E16" s="801" t="s">
        <v>4417</v>
      </c>
      <c r="F16" s="114" t="s">
        <v>3636</v>
      </c>
      <c r="G16" s="114" t="s">
        <v>3637</v>
      </c>
      <c r="H16" s="114" t="s">
        <v>575</v>
      </c>
      <c r="I16" s="1028"/>
    </row>
    <row r="17" spans="1:9" ht="15.75">
      <c r="A17" s="115"/>
      <c r="B17" s="97" t="s">
        <v>267</v>
      </c>
      <c r="C17" s="97"/>
      <c r="D17" s="106"/>
      <c r="E17" s="801" t="s">
        <v>3167</v>
      </c>
      <c r="F17" s="114" t="s">
        <v>1881</v>
      </c>
      <c r="G17" s="114" t="s">
        <v>1882</v>
      </c>
      <c r="H17" s="114" t="s">
        <v>575</v>
      </c>
      <c r="I17" s="1028"/>
    </row>
    <row r="18" spans="1:9" ht="15.75">
      <c r="A18" s="115"/>
      <c r="B18" s="119" t="s">
        <v>1883</v>
      </c>
      <c r="C18" s="97"/>
      <c r="D18" s="106"/>
      <c r="E18" s="801" t="s">
        <v>1884</v>
      </c>
      <c r="F18" s="114" t="s">
        <v>1881</v>
      </c>
      <c r="G18" s="114" t="s">
        <v>1885</v>
      </c>
      <c r="H18" s="114" t="s">
        <v>575</v>
      </c>
      <c r="I18" s="1028"/>
    </row>
    <row r="19" spans="1:9" ht="15.75">
      <c r="A19" s="115"/>
      <c r="B19" s="119" t="s">
        <v>1886</v>
      </c>
      <c r="C19" s="97"/>
      <c r="D19" s="106"/>
      <c r="E19" s="116"/>
      <c r="F19" s="114"/>
      <c r="G19" s="114" t="s">
        <v>1887</v>
      </c>
      <c r="H19" s="114" t="s">
        <v>575</v>
      </c>
      <c r="I19" s="1028"/>
    </row>
    <row r="20" spans="1:9" ht="15.75">
      <c r="A20" s="115"/>
      <c r="B20" s="97" t="s">
        <v>3368</v>
      </c>
      <c r="C20" s="97"/>
      <c r="D20" s="106"/>
      <c r="E20" s="801" t="s">
        <v>1885</v>
      </c>
      <c r="F20" s="114" t="s">
        <v>1881</v>
      </c>
      <c r="G20" s="114" t="s">
        <v>3369</v>
      </c>
      <c r="H20" s="114" t="s">
        <v>575</v>
      </c>
      <c r="I20" s="1028"/>
    </row>
    <row r="21" spans="1:9" ht="15.75">
      <c r="A21" s="115"/>
      <c r="B21" s="97" t="s">
        <v>3370</v>
      </c>
      <c r="C21" s="97"/>
      <c r="D21" s="106"/>
      <c r="E21" s="116"/>
      <c r="F21" s="114"/>
      <c r="G21" s="114" t="s">
        <v>3371</v>
      </c>
      <c r="H21" s="114" t="s">
        <v>575</v>
      </c>
      <c r="I21" s="1028"/>
    </row>
    <row r="22" spans="1:9" ht="15.75">
      <c r="A22" s="115"/>
      <c r="B22" s="97"/>
      <c r="C22" s="117"/>
      <c r="D22" s="118"/>
      <c r="E22" s="97" t="s">
        <v>4375</v>
      </c>
      <c r="F22" s="114"/>
      <c r="G22" s="114"/>
      <c r="H22" s="114"/>
      <c r="I22" s="462"/>
    </row>
    <row r="23" spans="1:9" ht="15.75">
      <c r="A23" s="115"/>
      <c r="B23" s="94" t="s">
        <v>3372</v>
      </c>
      <c r="C23" s="94"/>
      <c r="D23" s="113"/>
      <c r="E23" s="97"/>
      <c r="F23" s="114"/>
      <c r="G23" s="114"/>
      <c r="H23" s="114"/>
      <c r="I23" s="462"/>
    </row>
    <row r="24" spans="1:9" ht="15.75">
      <c r="A24" s="115"/>
      <c r="B24" s="94" t="s">
        <v>3373</v>
      </c>
      <c r="C24" s="94"/>
      <c r="D24" s="113"/>
      <c r="E24" s="97"/>
      <c r="F24" s="114"/>
      <c r="G24" s="114"/>
      <c r="H24" s="114"/>
      <c r="I24" s="462"/>
    </row>
    <row r="25" spans="1:9">
      <c r="A25" s="115"/>
      <c r="B25" s="97" t="s">
        <v>3374</v>
      </c>
      <c r="C25" s="97"/>
      <c r="D25" s="106"/>
      <c r="E25" s="97"/>
      <c r="F25" s="114"/>
      <c r="G25" s="114"/>
      <c r="H25" s="114"/>
      <c r="I25" s="462"/>
    </row>
    <row r="26" spans="1:9" ht="15.75">
      <c r="A26" s="115"/>
      <c r="B26" s="97" t="s">
        <v>3375</v>
      </c>
      <c r="C26" s="97"/>
      <c r="D26" s="106"/>
      <c r="E26" s="105" t="s">
        <v>3376</v>
      </c>
      <c r="F26" s="114" t="s">
        <v>3377</v>
      </c>
      <c r="G26" s="114" t="s">
        <v>3376</v>
      </c>
      <c r="H26" s="114" t="s">
        <v>575</v>
      </c>
      <c r="I26" s="1028"/>
    </row>
    <row r="27" spans="1:9" ht="15.75">
      <c r="A27" s="115"/>
      <c r="B27" s="97" t="s">
        <v>3378</v>
      </c>
      <c r="C27" s="97"/>
      <c r="D27" s="106"/>
      <c r="E27" s="105" t="s">
        <v>1470</v>
      </c>
      <c r="F27" s="114" t="s">
        <v>3377</v>
      </c>
      <c r="G27" s="114" t="s">
        <v>1471</v>
      </c>
      <c r="H27" s="114" t="s">
        <v>575</v>
      </c>
      <c r="I27" s="1028"/>
    </row>
    <row r="28" spans="1:9" ht="15.75">
      <c r="A28" s="115"/>
      <c r="B28" s="97" t="s">
        <v>2891</v>
      </c>
      <c r="C28" s="97"/>
      <c r="D28" s="106"/>
      <c r="E28" s="105" t="s">
        <v>2892</v>
      </c>
      <c r="F28" s="120" t="s">
        <v>4413</v>
      </c>
      <c r="G28" s="120" t="s">
        <v>2893</v>
      </c>
      <c r="H28" s="114" t="s">
        <v>575</v>
      </c>
      <c r="I28" s="1028"/>
    </row>
    <row r="29" spans="1:9" ht="15.75">
      <c r="A29" s="115"/>
      <c r="B29" s="97" t="s">
        <v>2894</v>
      </c>
      <c r="C29" s="97"/>
      <c r="D29" s="106"/>
      <c r="E29" s="105" t="s">
        <v>2895</v>
      </c>
      <c r="F29" s="120" t="s">
        <v>4413</v>
      </c>
      <c r="G29" s="120" t="s">
        <v>2896</v>
      </c>
      <c r="H29" s="114" t="s">
        <v>575</v>
      </c>
      <c r="I29" s="1028"/>
    </row>
    <row r="30" spans="1:9" ht="15.75">
      <c r="A30" s="115"/>
      <c r="B30" s="97" t="s">
        <v>2897</v>
      </c>
      <c r="C30" s="97"/>
      <c r="D30" s="106"/>
      <c r="E30" s="105" t="s">
        <v>2898</v>
      </c>
      <c r="F30" s="114" t="s">
        <v>3377</v>
      </c>
      <c r="G30" s="114" t="s">
        <v>2899</v>
      </c>
      <c r="H30" s="114" t="s">
        <v>575</v>
      </c>
      <c r="I30" s="1028"/>
    </row>
    <row r="31" spans="1:9" ht="15.75">
      <c r="A31" s="115"/>
      <c r="B31" s="97" t="s">
        <v>3645</v>
      </c>
      <c r="C31" s="97"/>
      <c r="D31" s="106"/>
      <c r="E31" s="105" t="s">
        <v>3646</v>
      </c>
      <c r="F31" s="114" t="s">
        <v>3647</v>
      </c>
      <c r="G31" s="114" t="s">
        <v>3648</v>
      </c>
      <c r="H31" s="114" t="s">
        <v>575</v>
      </c>
      <c r="I31" s="1028"/>
    </row>
    <row r="32" spans="1:9">
      <c r="A32" s="115"/>
      <c r="B32" s="97" t="s">
        <v>2459</v>
      </c>
      <c r="C32" s="97"/>
      <c r="D32" s="106"/>
      <c r="E32" s="105" t="s">
        <v>2460</v>
      </c>
      <c r="F32" s="114" t="s">
        <v>3377</v>
      </c>
      <c r="G32" s="114"/>
      <c r="H32" s="114"/>
      <c r="I32" s="462"/>
    </row>
    <row r="33" spans="1:9" ht="15.75">
      <c r="A33" s="115"/>
      <c r="B33" s="97" t="s">
        <v>1936</v>
      </c>
      <c r="C33" s="97"/>
      <c r="D33" s="106"/>
      <c r="E33" s="97"/>
      <c r="F33" s="114"/>
      <c r="G33" s="114" t="s">
        <v>2323</v>
      </c>
      <c r="H33" s="114" t="s">
        <v>575</v>
      </c>
      <c r="I33" s="1028"/>
    </row>
    <row r="34" spans="1:9" ht="15.75">
      <c r="A34" s="115"/>
      <c r="B34" s="97" t="s">
        <v>2324</v>
      </c>
      <c r="C34" s="97"/>
      <c r="D34" s="106"/>
      <c r="E34" s="105" t="s">
        <v>4036</v>
      </c>
      <c r="F34" s="114" t="s">
        <v>3377</v>
      </c>
      <c r="G34" s="114" t="s">
        <v>4037</v>
      </c>
      <c r="H34" s="114" t="s">
        <v>575</v>
      </c>
      <c r="I34" s="1028"/>
    </row>
    <row r="35" spans="1:9" ht="15.75">
      <c r="A35" s="115"/>
      <c r="B35" s="97" t="s">
        <v>854</v>
      </c>
      <c r="C35" s="97"/>
      <c r="D35" s="106"/>
      <c r="E35" s="105" t="s">
        <v>855</v>
      </c>
      <c r="F35" s="120" t="s">
        <v>4413</v>
      </c>
      <c r="G35" s="120" t="s">
        <v>856</v>
      </c>
      <c r="H35" s="114" t="s">
        <v>575</v>
      </c>
      <c r="I35" s="1028"/>
    </row>
    <row r="36" spans="1:9" ht="15.75">
      <c r="A36" s="115"/>
      <c r="B36" s="97" t="s">
        <v>857</v>
      </c>
      <c r="C36" s="97"/>
      <c r="D36" s="106"/>
      <c r="E36" s="105" t="s">
        <v>87</v>
      </c>
      <c r="F36" s="114" t="s">
        <v>3377</v>
      </c>
      <c r="G36" s="114" t="s">
        <v>88</v>
      </c>
      <c r="H36" s="114" t="s">
        <v>575</v>
      </c>
      <c r="I36" s="1028"/>
    </row>
    <row r="37" spans="1:9" ht="15.75">
      <c r="A37" s="115"/>
      <c r="B37" s="97" t="s">
        <v>89</v>
      </c>
      <c r="C37" s="97"/>
      <c r="D37" s="106"/>
      <c r="E37" s="105" t="s">
        <v>90</v>
      </c>
      <c r="F37" s="120" t="s">
        <v>4413</v>
      </c>
      <c r="G37" s="120" t="s">
        <v>2895</v>
      </c>
      <c r="H37" s="114" t="s">
        <v>575</v>
      </c>
      <c r="I37" s="1028"/>
    </row>
    <row r="38" spans="1:9" ht="15.75">
      <c r="A38" s="121"/>
      <c r="B38" s="97" t="s">
        <v>2073</v>
      </c>
      <c r="C38" s="97"/>
      <c r="D38" s="106"/>
      <c r="E38" s="105" t="s">
        <v>2074</v>
      </c>
      <c r="F38" s="114" t="s">
        <v>2075</v>
      </c>
      <c r="G38" s="114" t="s">
        <v>2898</v>
      </c>
      <c r="H38" s="114" t="s">
        <v>575</v>
      </c>
      <c r="I38" s="1028"/>
    </row>
    <row r="39" spans="1:9" ht="15.75">
      <c r="A39" s="121"/>
      <c r="B39" s="97" t="s">
        <v>2076</v>
      </c>
      <c r="C39" s="97"/>
      <c r="D39" s="106"/>
      <c r="E39" s="105" t="s">
        <v>2074</v>
      </c>
      <c r="F39" s="114" t="s">
        <v>2075</v>
      </c>
      <c r="G39" s="114" t="s">
        <v>2077</v>
      </c>
      <c r="H39" s="114" t="s">
        <v>575</v>
      </c>
      <c r="I39" s="1028"/>
    </row>
    <row r="40" spans="1:9" ht="15.75">
      <c r="A40" s="115"/>
      <c r="B40" s="97" t="s">
        <v>2078</v>
      </c>
      <c r="C40" s="97"/>
      <c r="D40" s="106"/>
      <c r="E40" s="105" t="s">
        <v>2079</v>
      </c>
      <c r="F40" s="120" t="s">
        <v>4413</v>
      </c>
      <c r="G40" s="120" t="s">
        <v>2077</v>
      </c>
      <c r="H40" s="114" t="s">
        <v>575</v>
      </c>
      <c r="I40" s="1028"/>
    </row>
    <row r="41" spans="1:9" ht="15.75">
      <c r="A41" s="115"/>
      <c r="B41" s="97" t="s">
        <v>2080</v>
      </c>
      <c r="C41" s="97"/>
      <c r="D41" s="106"/>
      <c r="E41" s="97"/>
      <c r="F41" s="120"/>
      <c r="G41" s="120" t="s">
        <v>3646</v>
      </c>
      <c r="H41" s="114" t="s">
        <v>575</v>
      </c>
      <c r="I41" s="1028"/>
    </row>
    <row r="42" spans="1:9" ht="15.75">
      <c r="A42" s="115"/>
      <c r="B42" s="97" t="s">
        <v>2081</v>
      </c>
      <c r="C42" s="97"/>
      <c r="D42" s="106"/>
      <c r="E42" s="105" t="s">
        <v>2082</v>
      </c>
      <c r="F42" s="114" t="s">
        <v>1881</v>
      </c>
      <c r="G42" s="114" t="s">
        <v>3646</v>
      </c>
      <c r="H42" s="114" t="s">
        <v>575</v>
      </c>
      <c r="I42" s="1028"/>
    </row>
    <row r="43" spans="1:9" ht="15.75">
      <c r="A43" s="115"/>
      <c r="B43" s="119" t="s">
        <v>877</v>
      </c>
      <c r="C43" s="119"/>
      <c r="D43" s="122"/>
      <c r="E43" s="105" t="s">
        <v>878</v>
      </c>
      <c r="F43" s="114" t="s">
        <v>3326</v>
      </c>
      <c r="G43" s="114" t="s">
        <v>2460</v>
      </c>
      <c r="H43" s="114" t="s">
        <v>575</v>
      </c>
      <c r="I43" s="1028"/>
    </row>
    <row r="44" spans="1:9">
      <c r="A44" s="115"/>
      <c r="B44" s="97"/>
      <c r="C44" s="97"/>
      <c r="D44" s="106"/>
      <c r="E44" s="97" t="s">
        <v>4375</v>
      </c>
      <c r="F44" s="114"/>
      <c r="G44" s="114"/>
      <c r="H44" s="114"/>
      <c r="I44" s="462"/>
    </row>
    <row r="45" spans="1:9" ht="15.75">
      <c r="A45" s="115"/>
      <c r="B45" s="94" t="s">
        <v>2900</v>
      </c>
      <c r="C45" s="94"/>
      <c r="D45" s="113"/>
      <c r="E45" s="97" t="s">
        <v>4375</v>
      </c>
      <c r="F45" s="114"/>
      <c r="G45" s="114"/>
      <c r="H45" s="114"/>
      <c r="I45" s="462"/>
    </row>
    <row r="46" spans="1:9" ht="15.75">
      <c r="A46" s="115"/>
      <c r="B46" s="94" t="s">
        <v>1648</v>
      </c>
      <c r="C46" s="94"/>
      <c r="D46" s="113"/>
      <c r="E46" s="97" t="s">
        <v>4375</v>
      </c>
      <c r="F46" s="114"/>
      <c r="G46" s="114"/>
      <c r="H46" s="114"/>
      <c r="I46" s="462"/>
    </row>
    <row r="47" spans="1:9" ht="15.75">
      <c r="A47" s="115"/>
      <c r="B47" s="97" t="s">
        <v>1649</v>
      </c>
      <c r="C47" s="97"/>
      <c r="D47" s="106"/>
      <c r="E47" s="105" t="s">
        <v>1650</v>
      </c>
      <c r="F47" s="114" t="s">
        <v>1651</v>
      </c>
      <c r="G47" s="114" t="s">
        <v>1650</v>
      </c>
      <c r="H47" s="114" t="s">
        <v>575</v>
      </c>
      <c r="I47" s="1028"/>
    </row>
    <row r="48" spans="1:9">
      <c r="A48" s="115"/>
      <c r="B48" s="97" t="s">
        <v>1652</v>
      </c>
      <c r="C48" s="97"/>
      <c r="D48" s="106"/>
      <c r="E48" s="97"/>
      <c r="F48" s="107"/>
      <c r="G48" s="107"/>
      <c r="H48" s="107"/>
      <c r="I48" s="462"/>
    </row>
    <row r="49" spans="1:9">
      <c r="A49" s="115"/>
      <c r="B49" s="97" t="s">
        <v>4093</v>
      </c>
      <c r="C49" s="97"/>
      <c r="D49" s="106"/>
      <c r="E49" s="97"/>
      <c r="F49" s="107"/>
      <c r="G49" s="107"/>
      <c r="H49" s="107"/>
      <c r="I49" s="462"/>
    </row>
    <row r="50" spans="1:9" ht="15.75">
      <c r="A50" s="115"/>
      <c r="B50" s="97" t="s">
        <v>4094</v>
      </c>
      <c r="C50" s="97"/>
      <c r="D50" s="106"/>
      <c r="E50" s="105" t="s">
        <v>4095</v>
      </c>
      <c r="F50" s="114" t="s">
        <v>4413</v>
      </c>
      <c r="G50" s="114" t="s">
        <v>4095</v>
      </c>
      <c r="H50" s="114" t="s">
        <v>575</v>
      </c>
      <c r="I50" s="1028"/>
    </row>
    <row r="51" spans="1:9" ht="15.75">
      <c r="A51" s="115"/>
      <c r="B51" s="97" t="s">
        <v>1511</v>
      </c>
      <c r="C51" s="97"/>
      <c r="D51" s="106"/>
      <c r="E51" s="105" t="s">
        <v>1512</v>
      </c>
      <c r="F51" s="114" t="s">
        <v>3647</v>
      </c>
      <c r="G51" s="114" t="s">
        <v>1512</v>
      </c>
      <c r="H51" s="114" t="s">
        <v>575</v>
      </c>
      <c r="I51" s="1028"/>
    </row>
    <row r="52" spans="1:9" ht="15.75">
      <c r="A52" s="115"/>
      <c r="B52" s="97" t="s">
        <v>459</v>
      </c>
      <c r="C52" s="97"/>
      <c r="D52" s="106"/>
      <c r="E52" s="105" t="s">
        <v>460</v>
      </c>
      <c r="F52" s="114" t="s">
        <v>3647</v>
      </c>
      <c r="G52" s="114" t="s">
        <v>460</v>
      </c>
      <c r="H52" s="114" t="s">
        <v>575</v>
      </c>
      <c r="I52" s="1028"/>
    </row>
    <row r="53" spans="1:9" ht="15.75">
      <c r="A53" s="115"/>
      <c r="B53" s="119" t="s">
        <v>461</v>
      </c>
      <c r="C53" s="11"/>
      <c r="D53" s="106"/>
      <c r="E53" s="105" t="s">
        <v>460</v>
      </c>
      <c r="F53" s="114" t="s">
        <v>1040</v>
      </c>
      <c r="G53" s="114" t="s">
        <v>1041</v>
      </c>
      <c r="H53" s="114" t="s">
        <v>575</v>
      </c>
      <c r="I53" s="1028"/>
    </row>
    <row r="54" spans="1:9" ht="15.75">
      <c r="A54" s="115"/>
      <c r="B54" s="97" t="s">
        <v>1042</v>
      </c>
      <c r="C54" s="97"/>
      <c r="D54" s="106"/>
      <c r="E54" s="105" t="s">
        <v>1043</v>
      </c>
      <c r="F54" s="114" t="s">
        <v>1651</v>
      </c>
      <c r="G54" s="114" t="s">
        <v>1043</v>
      </c>
      <c r="H54" s="114" t="s">
        <v>575</v>
      </c>
      <c r="I54" s="1028"/>
    </row>
    <row r="55" spans="1:9" ht="15.75">
      <c r="A55" s="115"/>
      <c r="B55" s="119" t="s">
        <v>1044</v>
      </c>
      <c r="C55" s="117"/>
      <c r="D55" s="118"/>
      <c r="E55" s="116"/>
      <c r="F55" s="114"/>
      <c r="G55" s="114" t="s">
        <v>1045</v>
      </c>
      <c r="H55" s="114" t="s">
        <v>575</v>
      </c>
      <c r="I55" s="1028"/>
    </row>
    <row r="56" spans="1:9" ht="15.75">
      <c r="A56" s="115"/>
      <c r="B56" s="97" t="s">
        <v>3287</v>
      </c>
      <c r="C56" s="117"/>
      <c r="D56" s="118"/>
      <c r="E56" s="116"/>
      <c r="F56" s="114"/>
      <c r="G56" s="114" t="s">
        <v>2507</v>
      </c>
      <c r="H56" s="114" t="s">
        <v>575</v>
      </c>
      <c r="I56" s="1028"/>
    </row>
    <row r="57" spans="1:9" ht="15.75">
      <c r="A57" s="115"/>
      <c r="B57" s="97" t="s">
        <v>3603</v>
      </c>
      <c r="C57" s="117"/>
      <c r="D57" s="118"/>
      <c r="E57" s="116"/>
      <c r="F57" s="114"/>
      <c r="G57" s="114" t="s">
        <v>1878</v>
      </c>
      <c r="H57" s="114" t="s">
        <v>575</v>
      </c>
      <c r="I57" s="1028"/>
    </row>
    <row r="58" spans="1:9" ht="15.75">
      <c r="A58" s="115"/>
      <c r="B58" s="97" t="s">
        <v>877</v>
      </c>
      <c r="C58" s="117"/>
      <c r="D58" s="118"/>
      <c r="E58" s="116"/>
      <c r="F58" s="114"/>
      <c r="G58" s="114" t="s">
        <v>1879</v>
      </c>
      <c r="H58" s="114" t="s">
        <v>575</v>
      </c>
      <c r="I58" s="1028"/>
    </row>
    <row r="59" spans="1:9" ht="15.75" thickBot="1">
      <c r="A59" s="123"/>
      <c r="B59" s="124"/>
      <c r="C59" s="124"/>
      <c r="D59" s="125"/>
      <c r="E59" s="124"/>
      <c r="F59" s="126"/>
      <c r="G59" s="126"/>
      <c r="H59" s="126"/>
      <c r="I59" s="127"/>
    </row>
    <row r="60" spans="1:9" ht="15.75" thickBot="1">
      <c r="A60" s="1745" t="str">
        <f>+'Data sheet'!$A$53</f>
        <v>Annual Report of New York American Water Company, Inc. (f/k/a Long Island Water Corp)                                   Year Ended  December 31, 2013</v>
      </c>
      <c r="B60" s="97"/>
      <c r="C60" s="97"/>
      <c r="D60" s="97"/>
      <c r="E60" s="97"/>
      <c r="F60" s="97"/>
      <c r="G60" s="97"/>
      <c r="H60" s="97"/>
      <c r="I60" s="97"/>
    </row>
    <row r="61" spans="1:9">
      <c r="A61" s="90"/>
      <c r="B61" s="91"/>
      <c r="C61" s="91"/>
      <c r="D61" s="91"/>
      <c r="E61" s="91"/>
      <c r="F61" s="91"/>
      <c r="G61" s="91"/>
      <c r="H61" s="91"/>
      <c r="I61" s="92"/>
    </row>
    <row r="62" spans="1:9" ht="15.75">
      <c r="A62" s="93"/>
      <c r="B62" s="94" t="s">
        <v>3174</v>
      </c>
      <c r="C62" s="94"/>
      <c r="D62" s="94"/>
      <c r="E62" s="94"/>
      <c r="F62" s="94"/>
      <c r="G62" s="94"/>
      <c r="H62" s="94"/>
      <c r="I62" s="95"/>
    </row>
    <row r="63" spans="1:9">
      <c r="A63" s="96"/>
      <c r="B63" s="97"/>
      <c r="C63" s="97"/>
      <c r="D63" s="97"/>
      <c r="E63" s="97"/>
      <c r="F63" s="97"/>
      <c r="G63" s="97"/>
      <c r="H63" s="97"/>
      <c r="I63" s="98"/>
    </row>
    <row r="64" spans="1:9">
      <c r="A64" s="99"/>
      <c r="B64" s="101"/>
      <c r="C64" s="101"/>
      <c r="D64" s="102"/>
      <c r="E64" s="797" t="s">
        <v>3175</v>
      </c>
      <c r="F64" s="798" t="s">
        <v>4027</v>
      </c>
      <c r="G64" s="797" t="s">
        <v>3175</v>
      </c>
      <c r="H64" s="798" t="s">
        <v>4027</v>
      </c>
      <c r="I64" s="104"/>
    </row>
    <row r="65" spans="1:9">
      <c r="A65" s="96"/>
      <c r="B65" s="105" t="s">
        <v>4028</v>
      </c>
      <c r="C65" s="97"/>
      <c r="D65" s="106"/>
      <c r="E65" s="105" t="s">
        <v>4029</v>
      </c>
      <c r="F65" s="120" t="s">
        <v>4030</v>
      </c>
      <c r="G65" s="105" t="s">
        <v>4029</v>
      </c>
      <c r="H65" s="120" t="s">
        <v>4030</v>
      </c>
      <c r="I65" s="462" t="s">
        <v>4031</v>
      </c>
    </row>
    <row r="66" spans="1:9">
      <c r="A66" s="108"/>
      <c r="B66" s="799" t="s">
        <v>4032</v>
      </c>
      <c r="C66" s="109"/>
      <c r="D66" s="110"/>
      <c r="E66" s="799" t="s">
        <v>4033</v>
      </c>
      <c r="F66" s="800" t="s">
        <v>4034</v>
      </c>
      <c r="G66" s="799" t="s">
        <v>4033</v>
      </c>
      <c r="H66" s="800" t="s">
        <v>4034</v>
      </c>
      <c r="I66" s="458" t="s">
        <v>4035</v>
      </c>
    </row>
    <row r="67" spans="1:9" ht="15.75">
      <c r="A67" s="96"/>
      <c r="B67" s="94" t="s">
        <v>2900</v>
      </c>
      <c r="C67" s="94"/>
      <c r="D67" s="113"/>
      <c r="E67" s="97"/>
      <c r="F67" s="114"/>
      <c r="G67" s="114"/>
      <c r="H67" s="114"/>
      <c r="I67" s="98"/>
    </row>
    <row r="68" spans="1:9" ht="15.75">
      <c r="A68" s="115"/>
      <c r="B68" s="94" t="s">
        <v>1880</v>
      </c>
      <c r="C68" s="94"/>
      <c r="D68" s="113"/>
      <c r="E68" s="116"/>
      <c r="F68" s="114"/>
      <c r="G68" s="114"/>
      <c r="H68" s="114"/>
      <c r="I68" s="462"/>
    </row>
    <row r="69" spans="1:9" ht="15.75">
      <c r="A69" s="115"/>
      <c r="B69" s="97" t="s">
        <v>1156</v>
      </c>
      <c r="C69" s="117"/>
      <c r="D69" s="118"/>
      <c r="E69" s="116"/>
      <c r="F69" s="114"/>
      <c r="G69" s="114" t="s">
        <v>1157</v>
      </c>
      <c r="H69" s="114" t="s">
        <v>575</v>
      </c>
      <c r="I69" s="1028"/>
    </row>
    <row r="70" spans="1:9" ht="15.75">
      <c r="A70" s="115"/>
      <c r="B70" s="97" t="s">
        <v>1158</v>
      </c>
      <c r="C70" s="117"/>
      <c r="D70" s="118"/>
      <c r="E70" s="116"/>
      <c r="F70" s="114"/>
      <c r="G70" s="114" t="s">
        <v>1159</v>
      </c>
      <c r="H70" s="114" t="s">
        <v>575</v>
      </c>
      <c r="I70" s="1028"/>
    </row>
    <row r="71" spans="1:9">
      <c r="A71" s="115"/>
      <c r="B71" s="97"/>
      <c r="C71" s="97"/>
      <c r="D71" s="106"/>
      <c r="E71" s="116"/>
      <c r="F71" s="114"/>
      <c r="G71" s="114"/>
      <c r="H71" s="114"/>
      <c r="I71" s="462"/>
    </row>
    <row r="72" spans="1:9" ht="15.75">
      <c r="A72" s="115"/>
      <c r="B72" s="94" t="s">
        <v>1160</v>
      </c>
      <c r="C72" s="94"/>
      <c r="D72" s="113"/>
      <c r="E72" s="97" t="s">
        <v>4375</v>
      </c>
      <c r="F72" s="114"/>
      <c r="G72" s="114"/>
      <c r="H72" s="114"/>
      <c r="I72" s="462"/>
    </row>
    <row r="73" spans="1:9" ht="15.75">
      <c r="A73" s="115"/>
      <c r="B73" s="97" t="s">
        <v>1161</v>
      </c>
      <c r="C73" s="97"/>
      <c r="D73" s="106"/>
      <c r="E73" s="105" t="s">
        <v>1162</v>
      </c>
      <c r="F73" s="114" t="s">
        <v>3636</v>
      </c>
      <c r="G73" s="114" t="s">
        <v>1163</v>
      </c>
      <c r="H73" s="114" t="s">
        <v>575</v>
      </c>
      <c r="I73" s="1028"/>
    </row>
    <row r="74" spans="1:9" ht="15.75">
      <c r="A74" s="115"/>
      <c r="B74" s="97" t="s">
        <v>975</v>
      </c>
      <c r="C74" s="97"/>
      <c r="D74" s="106"/>
      <c r="E74" s="97"/>
      <c r="F74" s="114"/>
      <c r="G74" s="114" t="s">
        <v>976</v>
      </c>
      <c r="H74" s="114" t="s">
        <v>575</v>
      </c>
      <c r="I74" s="1028"/>
    </row>
    <row r="75" spans="1:9" ht="15.75">
      <c r="A75" s="115"/>
      <c r="B75" s="97" t="s">
        <v>977</v>
      </c>
      <c r="C75" s="97"/>
      <c r="D75" s="106"/>
      <c r="E75" s="105" t="s">
        <v>978</v>
      </c>
      <c r="F75" s="114" t="s">
        <v>4413</v>
      </c>
      <c r="G75" s="114" t="s">
        <v>979</v>
      </c>
      <c r="H75" s="114" t="s">
        <v>575</v>
      </c>
      <c r="I75" s="1028"/>
    </row>
    <row r="76" spans="1:9" ht="15.75">
      <c r="A76" s="115"/>
      <c r="B76" s="97" t="s">
        <v>980</v>
      </c>
      <c r="C76" s="97"/>
      <c r="D76" s="106"/>
      <c r="E76" s="105" t="s">
        <v>981</v>
      </c>
      <c r="F76" s="114" t="s">
        <v>3326</v>
      </c>
      <c r="G76" s="114" t="s">
        <v>982</v>
      </c>
      <c r="H76" s="114" t="s">
        <v>575</v>
      </c>
      <c r="I76" s="1028"/>
    </row>
    <row r="77" spans="1:9" ht="15.75">
      <c r="A77" s="115"/>
      <c r="B77" s="97" t="s">
        <v>993</v>
      </c>
      <c r="C77" s="97"/>
      <c r="D77" s="106"/>
      <c r="E77" s="97"/>
      <c r="F77" s="114"/>
      <c r="G77" s="114" t="s">
        <v>994</v>
      </c>
      <c r="H77" s="114" t="s">
        <v>575</v>
      </c>
      <c r="I77" s="1028"/>
    </row>
    <row r="78" spans="1:9" ht="15.75">
      <c r="A78" s="115"/>
      <c r="B78" s="97" t="s">
        <v>650</v>
      </c>
      <c r="C78" s="97"/>
      <c r="D78" s="106"/>
      <c r="E78" s="105" t="s">
        <v>651</v>
      </c>
      <c r="F78" s="120" t="s">
        <v>4413</v>
      </c>
      <c r="G78" s="120" t="s">
        <v>652</v>
      </c>
      <c r="H78" s="114" t="s">
        <v>575</v>
      </c>
      <c r="I78" s="1028"/>
    </row>
    <row r="79" spans="1:9" ht="15.75">
      <c r="A79" s="115"/>
      <c r="B79" s="97" t="s">
        <v>653</v>
      </c>
      <c r="C79" s="97"/>
      <c r="D79" s="106"/>
      <c r="E79" s="105" t="s">
        <v>654</v>
      </c>
      <c r="F79" s="120" t="s">
        <v>2075</v>
      </c>
      <c r="G79" s="120" t="s">
        <v>655</v>
      </c>
      <c r="H79" s="114" t="s">
        <v>575</v>
      </c>
      <c r="I79" s="1028"/>
    </row>
    <row r="80" spans="1:9" ht="15.75">
      <c r="A80" s="115"/>
      <c r="B80" s="97" t="s">
        <v>656</v>
      </c>
      <c r="C80" s="97"/>
      <c r="D80" s="106"/>
      <c r="E80" s="105" t="s">
        <v>2977</v>
      </c>
      <c r="F80" s="120" t="s">
        <v>4413</v>
      </c>
      <c r="G80" s="120" t="s">
        <v>3082</v>
      </c>
      <c r="H80" s="114" t="s">
        <v>575</v>
      </c>
      <c r="I80" s="1028"/>
    </row>
    <row r="81" spans="1:9" ht="15.75">
      <c r="A81" s="115"/>
      <c r="B81" s="97" t="s">
        <v>3083</v>
      </c>
      <c r="C81" s="97"/>
      <c r="D81" s="106"/>
      <c r="E81" s="97"/>
      <c r="F81" s="120"/>
      <c r="G81" s="120" t="s">
        <v>4480</v>
      </c>
      <c r="H81" s="114" t="s">
        <v>575</v>
      </c>
      <c r="I81" s="1028"/>
    </row>
    <row r="82" spans="1:9" ht="15.75">
      <c r="A82" s="115"/>
      <c r="B82" s="97" t="s">
        <v>4481</v>
      </c>
      <c r="C82" s="97"/>
      <c r="D82" s="106"/>
      <c r="E82" s="105" t="s">
        <v>4482</v>
      </c>
      <c r="F82" s="114" t="s">
        <v>3636</v>
      </c>
      <c r="G82" s="114" t="s">
        <v>4483</v>
      </c>
      <c r="H82" s="114" t="s">
        <v>575</v>
      </c>
      <c r="I82" s="1028"/>
    </row>
    <row r="83" spans="1:9">
      <c r="A83" s="115"/>
      <c r="B83" s="97" t="s">
        <v>4000</v>
      </c>
      <c r="C83" s="97"/>
      <c r="D83" s="106"/>
      <c r="E83" s="97"/>
      <c r="F83" s="114"/>
      <c r="G83" s="114"/>
      <c r="H83" s="114"/>
      <c r="I83" s="462"/>
    </row>
    <row r="84" spans="1:9" ht="15.75">
      <c r="A84" s="115"/>
      <c r="B84" s="97" t="s">
        <v>4001</v>
      </c>
      <c r="C84" s="97"/>
      <c r="D84" s="106"/>
      <c r="E84" s="97"/>
      <c r="F84" s="114"/>
      <c r="G84" s="114" t="s">
        <v>4002</v>
      </c>
      <c r="H84" s="114" t="s">
        <v>575</v>
      </c>
      <c r="I84" s="1028"/>
    </row>
    <row r="85" spans="1:9" ht="15.75">
      <c r="A85" s="115"/>
      <c r="B85" s="97" t="s">
        <v>3065</v>
      </c>
      <c r="C85" s="97"/>
      <c r="D85" s="106"/>
      <c r="E85" s="97"/>
      <c r="F85" s="114"/>
      <c r="G85" s="114" t="s">
        <v>3066</v>
      </c>
      <c r="H85" s="114" t="s">
        <v>575</v>
      </c>
      <c r="I85" s="1028"/>
    </row>
    <row r="86" spans="1:9" ht="15.75">
      <c r="A86" s="115"/>
      <c r="B86" s="97" t="s">
        <v>3067</v>
      </c>
      <c r="C86" s="97"/>
      <c r="D86" s="106"/>
      <c r="E86" s="105" t="s">
        <v>3068</v>
      </c>
      <c r="F86" s="114" t="s">
        <v>3636</v>
      </c>
      <c r="G86" s="114" t="s">
        <v>3069</v>
      </c>
      <c r="H86" s="114" t="s">
        <v>575</v>
      </c>
      <c r="I86" s="1028"/>
    </row>
    <row r="87" spans="1:9" ht="15.75">
      <c r="A87" s="115"/>
      <c r="B87" s="97" t="s">
        <v>2859</v>
      </c>
      <c r="C87" s="97"/>
      <c r="D87" s="106"/>
      <c r="E87" s="97"/>
      <c r="F87" s="114"/>
      <c r="G87" s="114" t="s">
        <v>2860</v>
      </c>
      <c r="H87" s="114" t="s">
        <v>575</v>
      </c>
      <c r="I87" s="1028"/>
    </row>
    <row r="88" spans="1:9">
      <c r="A88" s="115"/>
      <c r="B88" s="97" t="s">
        <v>2861</v>
      </c>
      <c r="C88" s="97"/>
      <c r="D88" s="106"/>
      <c r="E88" s="97"/>
      <c r="F88" s="120"/>
      <c r="G88" s="120"/>
      <c r="H88" s="120"/>
      <c r="I88" s="462"/>
    </row>
    <row r="89" spans="1:9" ht="15.75">
      <c r="A89" s="115"/>
      <c r="B89" s="97" t="s">
        <v>2862</v>
      </c>
      <c r="C89" s="97"/>
      <c r="D89" s="106"/>
      <c r="E89" s="105" t="s">
        <v>2863</v>
      </c>
      <c r="F89" s="114" t="s">
        <v>3647</v>
      </c>
      <c r="G89" s="114" t="s">
        <v>2864</v>
      </c>
      <c r="H89" s="114" t="s">
        <v>575</v>
      </c>
      <c r="I89" s="1028"/>
    </row>
    <row r="90" spans="1:9" ht="15.75">
      <c r="A90" s="115"/>
      <c r="B90" s="97" t="s">
        <v>3070</v>
      </c>
      <c r="C90" s="97"/>
      <c r="D90" s="106"/>
      <c r="E90" s="97"/>
      <c r="F90" s="114"/>
      <c r="G90" s="114" t="s">
        <v>3071</v>
      </c>
      <c r="H90" s="114" t="s">
        <v>575</v>
      </c>
      <c r="I90" s="1028"/>
    </row>
    <row r="91" spans="1:9">
      <c r="A91" s="115"/>
      <c r="B91" s="97"/>
      <c r="C91" s="97"/>
      <c r="D91" s="106"/>
      <c r="E91" s="97"/>
      <c r="F91" s="114"/>
      <c r="G91" s="114"/>
      <c r="H91" s="114"/>
      <c r="I91" s="462"/>
    </row>
    <row r="92" spans="1:9" ht="15.75">
      <c r="A92" s="115"/>
      <c r="B92" s="94" t="s">
        <v>37</v>
      </c>
      <c r="C92" s="94"/>
      <c r="D92" s="113"/>
      <c r="E92" s="97"/>
      <c r="F92" s="120"/>
      <c r="G92" s="120"/>
      <c r="H92" s="120"/>
      <c r="I92" s="462"/>
    </row>
    <row r="93" spans="1:9" ht="15.75">
      <c r="A93" s="121"/>
      <c r="B93" s="97" t="s">
        <v>38</v>
      </c>
      <c r="C93" s="97"/>
      <c r="D93" s="106"/>
      <c r="E93" s="97"/>
      <c r="F93" s="114"/>
      <c r="G93" s="114" t="s">
        <v>39</v>
      </c>
      <c r="H93" s="114" t="s">
        <v>575</v>
      </c>
      <c r="I93" s="1028"/>
    </row>
    <row r="94" spans="1:9" ht="15.75">
      <c r="A94" s="121"/>
      <c r="B94" s="97" t="s">
        <v>2356</v>
      </c>
      <c r="C94" s="97"/>
      <c r="D94" s="106"/>
      <c r="E94" s="97"/>
      <c r="F94" s="114"/>
      <c r="G94" s="114" t="s">
        <v>2357</v>
      </c>
      <c r="H94" s="114" t="s">
        <v>575</v>
      </c>
      <c r="I94" s="1028"/>
    </row>
    <row r="95" spans="1:9" ht="15.75">
      <c r="A95" s="121"/>
      <c r="B95" s="97" t="s">
        <v>2358</v>
      </c>
      <c r="C95" s="97"/>
      <c r="D95" s="106"/>
      <c r="E95" s="97"/>
      <c r="F95" s="114"/>
      <c r="G95" s="114" t="s">
        <v>2359</v>
      </c>
      <c r="H95" s="114" t="s">
        <v>575</v>
      </c>
      <c r="I95" s="1028"/>
    </row>
    <row r="96" spans="1:9" ht="15.75">
      <c r="A96" s="121"/>
      <c r="B96" s="97" t="s">
        <v>2360</v>
      </c>
      <c r="C96" s="97"/>
      <c r="D96" s="106"/>
      <c r="E96" s="97"/>
      <c r="F96" s="114"/>
      <c r="G96" s="114"/>
      <c r="H96" s="114"/>
      <c r="I96" s="1028"/>
    </row>
    <row r="97" spans="1:9" ht="15.75">
      <c r="A97" s="121"/>
      <c r="B97" s="97" t="s">
        <v>2361</v>
      </c>
      <c r="C97" s="97"/>
      <c r="D97" s="106"/>
      <c r="E97" s="97"/>
      <c r="F97" s="114"/>
      <c r="G97" s="114" t="s">
        <v>2362</v>
      </c>
      <c r="H97" s="114" t="s">
        <v>575</v>
      </c>
      <c r="I97" s="1028"/>
    </row>
    <row r="98" spans="1:9" ht="15.75">
      <c r="A98" s="121"/>
      <c r="B98" s="97" t="s">
        <v>2363</v>
      </c>
      <c r="C98" s="97"/>
      <c r="D98" s="106"/>
      <c r="E98" s="97"/>
      <c r="F98" s="114"/>
      <c r="G98" s="114" t="s">
        <v>2364</v>
      </c>
      <c r="H98" s="114" t="s">
        <v>575</v>
      </c>
      <c r="I98" s="1028"/>
    </row>
    <row r="99" spans="1:9" ht="15.75">
      <c r="A99" s="121"/>
      <c r="B99" s="97" t="s">
        <v>2365</v>
      </c>
      <c r="C99" s="97"/>
      <c r="D99" s="106"/>
      <c r="E99" s="97"/>
      <c r="F99" s="114"/>
      <c r="G99" s="114" t="s">
        <v>2366</v>
      </c>
      <c r="H99" s="114" t="s">
        <v>575</v>
      </c>
      <c r="I99" s="1028"/>
    </row>
    <row r="100" spans="1:9">
      <c r="A100" s="121"/>
      <c r="B100" s="97" t="s">
        <v>2367</v>
      </c>
      <c r="C100" s="97"/>
      <c r="D100" s="106"/>
      <c r="E100" s="97"/>
      <c r="F100" s="114"/>
      <c r="G100" s="114"/>
      <c r="H100" s="114"/>
      <c r="I100" s="462"/>
    </row>
    <row r="101" spans="1:9" ht="15.75">
      <c r="A101" s="121"/>
      <c r="B101" s="97" t="s">
        <v>2368</v>
      </c>
      <c r="C101" s="97"/>
      <c r="D101" s="106"/>
      <c r="E101" s="97"/>
      <c r="F101" s="114"/>
      <c r="G101" s="114" t="s">
        <v>2369</v>
      </c>
      <c r="H101" s="114" t="s">
        <v>575</v>
      </c>
      <c r="I101" s="1028"/>
    </row>
    <row r="102" spans="1:9" ht="15.75">
      <c r="A102" s="121"/>
      <c r="B102" s="97" t="s">
        <v>2370</v>
      </c>
      <c r="C102" s="97"/>
      <c r="D102" s="106"/>
      <c r="E102" s="97"/>
      <c r="F102" s="114"/>
      <c r="G102" s="114" t="s">
        <v>2371</v>
      </c>
      <c r="H102" s="114" t="s">
        <v>575</v>
      </c>
      <c r="I102" s="1028"/>
    </row>
    <row r="103" spans="1:9" ht="15.75">
      <c r="A103" s="115"/>
      <c r="B103" s="97" t="s">
        <v>2372</v>
      </c>
      <c r="C103" s="97"/>
      <c r="D103" s="106"/>
      <c r="E103" s="105" t="s">
        <v>2373</v>
      </c>
      <c r="F103" s="114" t="s">
        <v>3326</v>
      </c>
      <c r="G103" s="114" t="s">
        <v>2374</v>
      </c>
      <c r="H103" s="114" t="s">
        <v>575</v>
      </c>
      <c r="I103" s="1028"/>
    </row>
    <row r="104" spans="1:9">
      <c r="A104" s="115"/>
      <c r="B104" s="97"/>
      <c r="C104" s="97"/>
      <c r="D104" s="106"/>
      <c r="E104" s="97"/>
      <c r="F104" s="114"/>
      <c r="G104" s="114"/>
      <c r="H104" s="114"/>
      <c r="I104" s="462"/>
    </row>
    <row r="105" spans="1:9" ht="15.75">
      <c r="A105" s="115"/>
      <c r="B105" s="94" t="s">
        <v>2375</v>
      </c>
      <c r="C105" s="128"/>
      <c r="D105" s="129"/>
      <c r="E105" s="97"/>
      <c r="F105" s="114"/>
      <c r="G105" s="114"/>
      <c r="H105" s="114"/>
      <c r="I105" s="462"/>
    </row>
    <row r="106" spans="1:9" ht="15.75">
      <c r="A106" s="115"/>
      <c r="B106" s="97" t="s">
        <v>2376</v>
      </c>
      <c r="C106" s="97"/>
      <c r="D106" s="106"/>
      <c r="E106" s="97"/>
      <c r="F106" s="114"/>
      <c r="G106" s="114" t="s">
        <v>2303</v>
      </c>
      <c r="H106" s="114" t="s">
        <v>575</v>
      </c>
      <c r="I106" s="1028"/>
    </row>
    <row r="107" spans="1:9" ht="15.75">
      <c r="A107" s="115"/>
      <c r="B107" s="97" t="s">
        <v>2304</v>
      </c>
      <c r="C107" s="97"/>
      <c r="D107" s="106"/>
      <c r="E107" s="97"/>
      <c r="F107" s="114"/>
      <c r="G107" s="114" t="s">
        <v>2305</v>
      </c>
      <c r="H107" s="114" t="s">
        <v>575</v>
      </c>
      <c r="I107" s="1028"/>
    </row>
    <row r="108" spans="1:9" ht="15.75">
      <c r="A108" s="115"/>
      <c r="B108" s="97" t="s">
        <v>3996</v>
      </c>
      <c r="C108" s="97"/>
      <c r="D108" s="106"/>
      <c r="E108" s="97"/>
      <c r="F108" s="114"/>
      <c r="G108" s="114" t="s">
        <v>3997</v>
      </c>
      <c r="H108" s="114" t="s">
        <v>575</v>
      </c>
      <c r="I108" s="1028"/>
    </row>
    <row r="109" spans="1:9" ht="15.75">
      <c r="A109" s="115"/>
      <c r="B109" s="97" t="s">
        <v>1289</v>
      </c>
      <c r="C109" s="97"/>
      <c r="D109" s="106"/>
      <c r="E109" s="97"/>
      <c r="F109" s="114"/>
      <c r="G109" s="114" t="s">
        <v>1290</v>
      </c>
      <c r="H109" s="114" t="s">
        <v>575</v>
      </c>
      <c r="I109" s="1028"/>
    </row>
    <row r="110" spans="1:9" ht="15.75">
      <c r="A110" s="115"/>
      <c r="B110" s="97" t="s">
        <v>1291</v>
      </c>
      <c r="C110" s="97"/>
      <c r="D110" s="106"/>
      <c r="E110" s="97"/>
      <c r="F110" s="114"/>
      <c r="G110" s="114" t="s">
        <v>1292</v>
      </c>
      <c r="H110" s="114" t="s">
        <v>575</v>
      </c>
      <c r="I110" s="1028"/>
    </row>
    <row r="111" spans="1:9" ht="15.75">
      <c r="A111" s="115"/>
      <c r="B111" s="97" t="s">
        <v>1293</v>
      </c>
      <c r="C111" s="97"/>
      <c r="D111" s="106"/>
      <c r="E111" s="97"/>
      <c r="F111" s="114"/>
      <c r="G111" s="114" t="s">
        <v>1294</v>
      </c>
      <c r="H111" s="114" t="s">
        <v>575</v>
      </c>
      <c r="I111" s="1028"/>
    </row>
    <row r="112" spans="1:9" ht="15.75">
      <c r="A112" s="115"/>
      <c r="B112" s="97" t="s">
        <v>1295</v>
      </c>
      <c r="C112" s="97"/>
      <c r="D112" s="106"/>
      <c r="E112" s="97"/>
      <c r="F112" s="114"/>
      <c r="G112" s="114" t="s">
        <v>1573</v>
      </c>
      <c r="H112" s="114" t="s">
        <v>575</v>
      </c>
      <c r="I112" s="1028"/>
    </row>
    <row r="113" spans="1:9" ht="15.75">
      <c r="A113" s="115"/>
      <c r="B113" s="97" t="s">
        <v>1574</v>
      </c>
      <c r="C113" s="97"/>
      <c r="D113" s="97"/>
      <c r="E113" s="97"/>
      <c r="F113" s="97"/>
      <c r="G113" s="120" t="s">
        <v>1575</v>
      </c>
      <c r="H113" s="114" t="s">
        <v>575</v>
      </c>
      <c r="I113" s="1028"/>
    </row>
    <row r="114" spans="1:9" ht="15.75">
      <c r="A114" s="115"/>
      <c r="B114" s="97" t="s">
        <v>1576</v>
      </c>
      <c r="C114" s="97"/>
      <c r="D114" s="97"/>
      <c r="E114" s="97"/>
      <c r="F114" s="97"/>
      <c r="G114" s="120" t="s">
        <v>1208</v>
      </c>
      <c r="H114" s="114" t="s">
        <v>575</v>
      </c>
      <c r="I114" s="1028"/>
    </row>
    <row r="115" spans="1:9">
      <c r="A115" s="115"/>
      <c r="B115" s="97"/>
      <c r="C115" s="97"/>
      <c r="D115" s="106"/>
      <c r="E115" s="105" t="s">
        <v>981</v>
      </c>
      <c r="F115" s="114" t="s">
        <v>3326</v>
      </c>
      <c r="G115" s="114"/>
      <c r="H115" s="114"/>
      <c r="I115" s="98"/>
    </row>
    <row r="116" spans="1:9" ht="15.75">
      <c r="A116" s="115"/>
      <c r="B116" s="94" t="s">
        <v>3443</v>
      </c>
      <c r="C116" s="128"/>
      <c r="D116" s="129"/>
      <c r="E116" s="97"/>
      <c r="F116" s="114"/>
      <c r="G116" s="114"/>
      <c r="H116" s="114"/>
      <c r="I116" s="98"/>
    </row>
    <row r="117" spans="1:9" ht="15.75">
      <c r="A117" s="115"/>
      <c r="B117" s="117"/>
      <c r="C117" s="97"/>
      <c r="D117" s="106"/>
      <c r="E117" s="97"/>
      <c r="F117" s="114"/>
      <c r="G117" s="114"/>
      <c r="H117" s="114"/>
      <c r="I117" s="98"/>
    </row>
    <row r="118" spans="1:9" ht="15.75">
      <c r="A118" s="115"/>
      <c r="B118" s="94" t="s">
        <v>3444</v>
      </c>
      <c r="C118" s="128"/>
      <c r="D118" s="129"/>
      <c r="E118" s="97"/>
      <c r="F118" s="114"/>
      <c r="G118" s="114"/>
      <c r="H118" s="114"/>
      <c r="I118" s="98"/>
    </row>
    <row r="119" spans="1:9" ht="15.75" thickBot="1">
      <c r="A119" s="123"/>
      <c r="B119" s="124"/>
      <c r="C119" s="124"/>
      <c r="D119" s="125"/>
      <c r="E119" s="124"/>
      <c r="F119" s="126"/>
      <c r="G119" s="126"/>
      <c r="H119" s="126"/>
      <c r="I119" s="127"/>
    </row>
    <row r="120" spans="1:9">
      <c r="A120" s="97"/>
      <c r="B120" s="97"/>
      <c r="C120" s="97"/>
      <c r="D120" s="97"/>
      <c r="E120" s="97"/>
      <c r="F120" s="97"/>
      <c r="G120" s="97"/>
      <c r="H120" s="97"/>
      <c r="I120" s="97"/>
    </row>
    <row r="121" spans="1:9">
      <c r="A121" s="97"/>
      <c r="B121" s="97"/>
      <c r="C121" s="97"/>
      <c r="D121" s="97"/>
      <c r="E121" s="97"/>
      <c r="F121" s="97"/>
      <c r="G121" s="97"/>
      <c r="H121" s="97"/>
      <c r="I121" s="97"/>
    </row>
    <row r="122" spans="1:9">
      <c r="A122" s="97"/>
      <c r="B122" s="97"/>
      <c r="C122" s="97"/>
      <c r="D122" s="97"/>
      <c r="E122" s="97"/>
      <c r="F122" s="97"/>
      <c r="G122" s="97"/>
      <c r="H122" s="97"/>
      <c r="I122" s="97"/>
    </row>
    <row r="123" spans="1:9">
      <c r="A123" s="97"/>
      <c r="B123" s="97"/>
      <c r="C123" s="97"/>
      <c r="D123" s="97"/>
      <c r="E123" s="97"/>
      <c r="F123" s="97"/>
      <c r="G123" s="97"/>
      <c r="H123" s="97"/>
      <c r="I123" s="97"/>
    </row>
    <row r="124" spans="1:9">
      <c r="A124" s="97"/>
      <c r="B124" s="97"/>
      <c r="C124" s="97"/>
      <c r="D124" s="97"/>
      <c r="E124" s="97"/>
      <c r="F124" s="97"/>
      <c r="G124" s="97"/>
      <c r="H124" s="97"/>
      <c r="I124" s="97"/>
    </row>
    <row r="125" spans="1:9">
      <c r="A125" s="97"/>
      <c r="B125" s="97"/>
      <c r="C125" s="97"/>
      <c r="D125" s="97"/>
      <c r="E125" s="97"/>
      <c r="F125" s="97"/>
      <c r="G125" s="97"/>
      <c r="H125" s="97"/>
      <c r="I125" s="97"/>
    </row>
    <row r="126" spans="1:9">
      <c r="A126" s="97"/>
      <c r="B126" s="97"/>
      <c r="C126" s="97"/>
      <c r="D126" s="97"/>
      <c r="E126" s="128"/>
      <c r="F126" s="128"/>
      <c r="G126" s="128"/>
      <c r="H126" s="128"/>
      <c r="I126" s="128"/>
    </row>
    <row r="127" spans="1:9">
      <c r="A127" s="97"/>
      <c r="B127" s="97"/>
      <c r="C127" s="97"/>
      <c r="D127" s="97"/>
      <c r="E127" s="97"/>
      <c r="F127" s="97"/>
      <c r="G127" s="97"/>
      <c r="H127" s="97"/>
      <c r="I127" s="97"/>
    </row>
    <row r="128" spans="1:9">
      <c r="A128" s="97"/>
      <c r="B128" s="97"/>
      <c r="C128" s="97"/>
      <c r="D128" s="97"/>
      <c r="E128" s="97"/>
      <c r="F128" s="97"/>
      <c r="G128" s="97"/>
      <c r="H128" s="97"/>
      <c r="I128" s="97"/>
    </row>
    <row r="129" spans="1:9">
      <c r="A129" s="97"/>
      <c r="B129" s="97"/>
      <c r="C129" s="97"/>
      <c r="D129" s="97"/>
      <c r="E129" s="97" t="s">
        <v>3168</v>
      </c>
      <c r="F129" s="97"/>
      <c r="G129" s="97"/>
      <c r="H129" s="97"/>
      <c r="I129" s="97"/>
    </row>
    <row r="130" spans="1:9">
      <c r="A130" s="97"/>
      <c r="B130" s="97"/>
      <c r="C130" s="97"/>
      <c r="D130" s="97"/>
      <c r="E130" s="97" t="s">
        <v>3169</v>
      </c>
      <c r="F130" s="97"/>
      <c r="G130" s="97"/>
      <c r="H130" s="97"/>
      <c r="I130" s="97"/>
    </row>
    <row r="131" spans="1:9">
      <c r="A131" s="97"/>
      <c r="B131" s="97"/>
      <c r="C131" s="97"/>
      <c r="D131" s="97"/>
      <c r="E131" s="97" t="s">
        <v>3170</v>
      </c>
      <c r="F131" s="97"/>
      <c r="G131" s="97"/>
      <c r="H131" s="97"/>
      <c r="I131" s="97"/>
    </row>
    <row r="132" spans="1:9">
      <c r="A132" s="97"/>
      <c r="B132" s="97"/>
      <c r="C132" s="97"/>
      <c r="D132" s="97"/>
      <c r="E132" s="97" t="s">
        <v>3171</v>
      </c>
      <c r="F132" s="97"/>
      <c r="G132" s="97"/>
      <c r="H132" s="97"/>
      <c r="I132" s="97"/>
    </row>
    <row r="133" spans="1:9">
      <c r="A133" s="97"/>
      <c r="B133" s="97"/>
      <c r="C133" s="97"/>
      <c r="D133" s="97"/>
      <c r="E133" s="97" t="s">
        <v>3172</v>
      </c>
      <c r="F133" s="97"/>
      <c r="G133" s="97"/>
      <c r="H133" s="97"/>
      <c r="I133" s="97"/>
    </row>
    <row r="134" spans="1:9">
      <c r="A134" s="97"/>
      <c r="B134" s="97"/>
      <c r="C134" s="97"/>
      <c r="D134" s="97"/>
      <c r="E134" s="97" t="s">
        <v>3445</v>
      </c>
      <c r="F134" s="97"/>
      <c r="G134" s="97"/>
      <c r="H134" s="97"/>
      <c r="I134" s="97"/>
    </row>
    <row r="135" spans="1:9">
      <c r="A135" s="97"/>
      <c r="B135" s="97"/>
      <c r="C135" s="97"/>
      <c r="D135" s="97"/>
      <c r="E135" s="97" t="s">
        <v>3173</v>
      </c>
      <c r="F135" s="97"/>
      <c r="G135" s="97"/>
      <c r="H135" s="97"/>
      <c r="I135" s="97"/>
    </row>
    <row r="136" spans="1:9">
      <c r="A136" s="97"/>
      <c r="B136" s="97"/>
      <c r="C136" s="97"/>
      <c r="D136" s="97"/>
      <c r="E136" s="97" t="s">
        <v>3751</v>
      </c>
      <c r="F136" s="97"/>
      <c r="G136" s="97"/>
      <c r="H136" s="97"/>
      <c r="I136" s="97"/>
    </row>
    <row r="137" spans="1:9">
      <c r="A137" s="97"/>
      <c r="B137" s="97"/>
      <c r="C137" s="97"/>
      <c r="D137" s="97"/>
      <c r="E137" s="97" t="s">
        <v>3752</v>
      </c>
      <c r="F137" s="97"/>
      <c r="G137" s="97"/>
      <c r="H137" s="97"/>
      <c r="I137" s="97"/>
    </row>
    <row r="138" spans="1:9">
      <c r="A138" s="97"/>
      <c r="B138" s="97"/>
      <c r="C138" s="97"/>
      <c r="D138" s="97"/>
      <c r="E138" s="97"/>
      <c r="F138" s="97"/>
      <c r="G138" s="97"/>
      <c r="H138" s="97"/>
      <c r="I138" s="97"/>
    </row>
    <row r="139" spans="1:9">
      <c r="A139" s="97"/>
      <c r="B139" s="97"/>
      <c r="C139" s="97"/>
      <c r="D139" s="97"/>
      <c r="E139" s="97"/>
      <c r="F139" s="97"/>
      <c r="G139" s="97"/>
      <c r="H139" s="97"/>
      <c r="I139" s="97"/>
    </row>
    <row r="140" spans="1:9">
      <c r="A140" s="97"/>
      <c r="B140" s="97"/>
      <c r="C140" s="97"/>
      <c r="D140" s="97"/>
      <c r="E140" s="97"/>
      <c r="F140" s="97"/>
      <c r="G140" s="97"/>
      <c r="H140" s="97"/>
      <c r="I140" s="97"/>
    </row>
    <row r="141" spans="1:9">
      <c r="A141" s="97"/>
      <c r="B141" s="97"/>
      <c r="C141" s="97"/>
      <c r="D141" s="97"/>
      <c r="E141" s="97"/>
      <c r="F141" s="97"/>
      <c r="G141" s="97"/>
      <c r="H141" s="97"/>
      <c r="I141" s="97"/>
    </row>
    <row r="142" spans="1:9">
      <c r="A142" s="97"/>
      <c r="B142" s="97"/>
      <c r="C142" s="97"/>
      <c r="D142" s="97"/>
      <c r="E142" s="97"/>
      <c r="F142" s="97"/>
      <c r="G142" s="97"/>
      <c r="H142" s="97"/>
      <c r="I142" s="97"/>
    </row>
    <row r="143" spans="1:9">
      <c r="A143" s="97"/>
      <c r="B143" s="97"/>
      <c r="C143" s="97"/>
      <c r="D143" s="97"/>
      <c r="E143" s="97"/>
      <c r="F143" s="97"/>
      <c r="G143" s="97"/>
      <c r="H143" s="97"/>
      <c r="I143" s="97"/>
    </row>
    <row r="144" spans="1:9">
      <c r="A144" s="97"/>
      <c r="B144" s="97"/>
      <c r="C144" s="97"/>
      <c r="D144" s="97"/>
      <c r="E144" s="97"/>
      <c r="F144" s="97"/>
      <c r="G144" s="97"/>
      <c r="H144" s="97"/>
      <c r="I144" s="97"/>
    </row>
    <row r="145" spans="1:9">
      <c r="A145" s="97"/>
      <c r="B145" s="97"/>
      <c r="C145" s="97"/>
      <c r="D145" s="97"/>
      <c r="E145" s="97"/>
      <c r="F145" s="97"/>
      <c r="G145" s="97"/>
      <c r="H145" s="97"/>
      <c r="I145" s="97"/>
    </row>
    <row r="146" spans="1:9">
      <c r="A146" s="97"/>
      <c r="B146" s="97"/>
      <c r="C146" s="97"/>
      <c r="D146" s="97"/>
      <c r="E146" s="97"/>
      <c r="F146" s="97"/>
      <c r="G146" s="97"/>
      <c r="H146" s="97"/>
      <c r="I146" s="97"/>
    </row>
    <row r="147" spans="1:9">
      <c r="A147" s="97"/>
      <c r="B147" s="97"/>
      <c r="C147" s="97"/>
      <c r="D147" s="97"/>
      <c r="E147" s="97"/>
      <c r="F147" s="97"/>
      <c r="G147" s="97"/>
      <c r="H147" s="97"/>
      <c r="I147" s="97"/>
    </row>
    <row r="148" spans="1:9">
      <c r="A148" s="97"/>
      <c r="B148" s="97"/>
      <c r="C148" s="97"/>
      <c r="D148" s="97"/>
      <c r="E148" s="97"/>
      <c r="F148" s="97"/>
      <c r="G148" s="97"/>
      <c r="H148" s="97"/>
      <c r="I148" s="97"/>
    </row>
    <row r="149" spans="1:9">
      <c r="A149" s="97"/>
      <c r="B149" s="97"/>
      <c r="C149" s="97"/>
      <c r="D149" s="97"/>
      <c r="E149" s="97"/>
      <c r="F149" s="97"/>
      <c r="G149" s="97"/>
      <c r="H149" s="97"/>
      <c r="I149" s="97"/>
    </row>
    <row r="150" spans="1:9">
      <c r="A150" s="97"/>
      <c r="B150" s="97"/>
      <c r="C150" s="97"/>
      <c r="D150" s="97"/>
      <c r="E150" s="97"/>
      <c r="F150" s="97"/>
      <c r="G150" s="97"/>
      <c r="H150" s="97"/>
      <c r="I150" s="97"/>
    </row>
    <row r="151" spans="1:9">
      <c r="A151" s="97"/>
      <c r="B151" s="97"/>
      <c r="C151" s="97"/>
      <c r="D151" s="97"/>
      <c r="E151" s="97"/>
      <c r="F151" s="97"/>
      <c r="G151" s="97"/>
      <c r="H151" s="97"/>
      <c r="I151" s="97"/>
    </row>
    <row r="152" spans="1:9">
      <c r="A152" s="97"/>
      <c r="B152" s="97"/>
      <c r="C152" s="97"/>
      <c r="D152" s="97"/>
      <c r="E152" s="97"/>
      <c r="F152" s="97"/>
      <c r="G152" s="97"/>
      <c r="H152" s="97"/>
      <c r="I152" s="97"/>
    </row>
    <row r="153" spans="1:9">
      <c r="A153" s="97"/>
      <c r="B153" s="97"/>
      <c r="C153" s="97"/>
      <c r="D153" s="97"/>
      <c r="E153" s="97"/>
      <c r="F153" s="97"/>
      <c r="G153" s="97"/>
      <c r="H153" s="97"/>
      <c r="I153" s="97"/>
    </row>
    <row r="154" spans="1:9">
      <c r="A154" s="97"/>
      <c r="B154" s="97"/>
      <c r="C154" s="97"/>
      <c r="D154" s="97"/>
      <c r="E154" s="97"/>
      <c r="F154" s="97"/>
      <c r="G154" s="97"/>
      <c r="H154" s="97"/>
      <c r="I154" s="97"/>
    </row>
    <row r="155" spans="1:9">
      <c r="A155" s="97"/>
      <c r="B155" s="97"/>
      <c r="C155" s="97"/>
      <c r="D155" s="97"/>
      <c r="E155" s="97"/>
      <c r="F155" s="97"/>
      <c r="G155" s="97"/>
      <c r="H155" s="97"/>
      <c r="I155" s="97"/>
    </row>
    <row r="156" spans="1:9">
      <c r="A156" s="97"/>
      <c r="B156" s="97"/>
      <c r="C156" s="97"/>
      <c r="D156" s="97"/>
      <c r="E156" s="97"/>
      <c r="F156" s="97"/>
      <c r="G156" s="97"/>
      <c r="H156" s="97"/>
      <c r="I156" s="97"/>
    </row>
    <row r="157" spans="1:9">
      <c r="A157" s="97"/>
      <c r="B157" s="97"/>
      <c r="C157" s="97"/>
      <c r="D157" s="97"/>
      <c r="E157" s="97"/>
      <c r="F157" s="97"/>
      <c r="G157" s="97"/>
      <c r="H157" s="97"/>
      <c r="I157" s="97"/>
    </row>
    <row r="158" spans="1:9">
      <c r="A158" s="97"/>
      <c r="B158" s="97"/>
      <c r="C158" s="97"/>
      <c r="D158" s="97"/>
      <c r="E158" s="97"/>
      <c r="F158" s="97"/>
      <c r="G158" s="97"/>
      <c r="H158" s="97"/>
      <c r="I158" s="97"/>
    </row>
    <row r="159" spans="1:9">
      <c r="A159" s="97"/>
      <c r="B159" s="97"/>
      <c r="C159" s="97"/>
      <c r="D159" s="97"/>
      <c r="E159" s="97"/>
      <c r="F159" s="97"/>
      <c r="G159" s="97"/>
      <c r="H159" s="97"/>
      <c r="I159" s="97"/>
    </row>
    <row r="160" spans="1:9">
      <c r="A160" s="97"/>
      <c r="B160" s="97"/>
      <c r="C160" s="97"/>
      <c r="D160" s="97"/>
      <c r="E160" s="97"/>
      <c r="F160" s="97"/>
      <c r="G160" s="97"/>
      <c r="H160" s="97"/>
      <c r="I160" s="97"/>
    </row>
    <row r="161" spans="1:9">
      <c r="A161" s="97"/>
      <c r="B161" s="97"/>
      <c r="C161" s="97"/>
      <c r="D161" s="97"/>
      <c r="E161" s="97"/>
      <c r="F161" s="97"/>
      <c r="G161" s="97"/>
      <c r="H161" s="97"/>
      <c r="I161" s="97"/>
    </row>
    <row r="162" spans="1:9">
      <c r="A162" s="97"/>
      <c r="B162" s="97"/>
      <c r="C162" s="97"/>
      <c r="D162" s="97"/>
      <c r="E162" s="97"/>
      <c r="F162" s="97"/>
      <c r="G162" s="97"/>
      <c r="H162" s="97"/>
      <c r="I162" s="97"/>
    </row>
    <row r="163" spans="1:9">
      <c r="A163" s="97"/>
      <c r="B163" s="97"/>
      <c r="C163" s="97"/>
      <c r="D163" s="97"/>
      <c r="E163" s="97"/>
      <c r="F163" s="97"/>
      <c r="G163" s="97"/>
      <c r="H163" s="97"/>
      <c r="I163" s="97"/>
    </row>
    <row r="164" spans="1:9">
      <c r="A164" s="97"/>
      <c r="B164" s="97"/>
      <c r="C164" s="97"/>
      <c r="D164" s="97"/>
      <c r="E164" s="97"/>
      <c r="F164" s="97"/>
      <c r="G164" s="97"/>
      <c r="H164" s="97"/>
      <c r="I164" s="97"/>
    </row>
    <row r="165" spans="1:9">
      <c r="A165" s="97"/>
      <c r="B165" s="97"/>
      <c r="C165" s="97"/>
      <c r="D165" s="97"/>
      <c r="E165" s="97"/>
      <c r="F165" s="97"/>
      <c r="G165" s="97"/>
      <c r="H165" s="97"/>
      <c r="I165" s="97"/>
    </row>
    <row r="166" spans="1:9">
      <c r="A166" s="97"/>
      <c r="B166" s="97"/>
      <c r="C166" s="97"/>
      <c r="D166" s="97"/>
      <c r="E166" s="97"/>
      <c r="F166" s="97"/>
      <c r="G166" s="97"/>
      <c r="H166" s="97"/>
      <c r="I166" s="97"/>
    </row>
    <row r="167" spans="1:9">
      <c r="A167" s="97"/>
      <c r="B167" s="97"/>
      <c r="C167" s="97"/>
      <c r="D167" s="97"/>
      <c r="E167" s="97"/>
      <c r="F167" s="97"/>
      <c r="G167" s="97"/>
      <c r="H167" s="97"/>
      <c r="I167" s="97"/>
    </row>
    <row r="168" spans="1:9">
      <c r="A168" s="97"/>
      <c r="B168" s="97"/>
      <c r="C168" s="97"/>
      <c r="D168" s="97"/>
      <c r="E168" s="97"/>
      <c r="F168" s="97"/>
      <c r="G168" s="97"/>
      <c r="H168" s="97"/>
      <c r="I168" s="97"/>
    </row>
  </sheetData>
  <customSheetViews>
    <customSheetView guid="{1BA452AD-1A45-4D9C-9666-ADFFA6F2F567}" colorId="22" hiddenColumns="1">
      <selection activeCell="J122" sqref="J122"/>
      <rowBreaks count="1" manualBreakCount="1">
        <brk id="59" max="8" man="1"/>
      </rowBreaks>
      <pageMargins left="0.26" right="0.23" top="0.3" bottom="0" header="0" footer="0"/>
      <printOptions horizontalCentered="1" verticalCentered="1"/>
      <pageSetup scale="70" fitToHeight="2" orientation="portrait" r:id="rId1"/>
      <headerFooter alignWithMargins="0"/>
    </customSheetView>
    <customSheetView guid="{EEF7ABD6-0F96-4791-B749-C06F707E7673}" scale="60" colorId="22" showPageBreaks="1" printArea="1" hiddenColumns="1" view="pageBreakPreview" showRuler="0">
      <selection activeCell="O47" sqref="O47"/>
      <rowBreaks count="1" manualBreakCount="1">
        <brk id="59" max="16383" man="1"/>
      </rowBreaks>
      <pageMargins left="0.75" right="0.25" top="0.3" bottom="0" header="0" footer="0"/>
      <printOptions horizontalCentered="1" verticalCentered="1"/>
      <pageSetup scale="74" fitToWidth="2" fitToHeight="2" orientation="portrait" r:id="rId2"/>
      <headerFooter alignWithMargins="0"/>
    </customSheetView>
    <customSheetView guid="{A7D7DB3C-AFE6-468E-8C6B-9531F6711497}" scale="75" colorId="22" hiddenColumns="1" showRuler="0">
      <selection activeCell="B16" sqref="B16"/>
      <rowBreaks count="1" manualBreakCount="1">
        <brk id="59" max="16383" man="1"/>
      </rowBreaks>
      <pageMargins left="0.75" right="0.25" top="0.3" bottom="0" header="0" footer="0"/>
      <printOptions horizontalCentered="1" verticalCentered="1"/>
      <pageSetup scale="74" fitToWidth="2" fitToHeight="2" orientation="portrait" r:id="rId3"/>
      <headerFooter alignWithMargins="0"/>
    </customSheetView>
    <customSheetView guid="{4436FEB5-BFEC-4348-9286-CB706802873E}" scale="75" colorId="22" hiddenColumns="1" showRuler="0">
      <selection activeCell="B16" sqref="B16"/>
      <rowBreaks count="1" manualBreakCount="1">
        <brk id="59" max="16383" man="1"/>
      </rowBreaks>
      <pageMargins left="0.75" right="0.25" top="0.3" bottom="0" header="0" footer="0"/>
      <printOptions horizontalCentered="1" verticalCentered="1"/>
      <pageSetup scale="74" fitToWidth="2" fitToHeight="2" orientation="portrait" r:id="rId4"/>
      <headerFooter alignWithMargins="0"/>
    </customSheetView>
    <customSheetView guid="{044CF00C-469F-44B3-B2C4-9B4049CE70CB}" scale="75" colorId="22" hiddenColumns="1" showRuler="0" topLeftCell="A49">
      <selection activeCell="A2" sqref="A2"/>
      <rowBreaks count="1" manualBreakCount="1">
        <brk id="59" max="16383" man="1"/>
      </rowBreaks>
      <pageMargins left="0.75" right="0.25" top="0.3" bottom="0" header="0" footer="0"/>
      <printOptions horizontalCentered="1" verticalCentered="1"/>
      <pageSetup scale="74" fitToWidth="2" fitToHeight="2" orientation="portrait" r:id="rId5"/>
      <headerFooter alignWithMargins="0"/>
    </customSheetView>
    <customSheetView guid="{4826FCC0-BDD6-4B2C-ACC6-ACE271DDF0E3}" scale="60" colorId="22" showPageBreaks="1" printArea="1" hiddenColumns="1" view="pageBreakPreview" showRuler="0">
      <selection activeCell="O47" sqref="O47"/>
      <rowBreaks count="1" manualBreakCount="1">
        <brk id="59" max="16383" man="1"/>
      </rowBreaks>
      <pageMargins left="0.75" right="0.25" top="0.3" bottom="0" header="0" footer="0"/>
      <printOptions horizontalCentered="1" verticalCentered="1"/>
      <pageSetup scale="74" fitToWidth="2" fitToHeight="2" orientation="portrait" r:id="rId6"/>
      <headerFooter alignWithMargins="0"/>
    </customSheetView>
    <customSheetView guid="{EF376D10-23D6-4FE2-AB5B-4460D52CC93F}" scale="60" colorId="22" showPageBreaks="1" printArea="1" hiddenColumns="1" view="pageBreakPreview" showRuler="0">
      <selection activeCell="O47" sqref="O47"/>
      <rowBreaks count="1" manualBreakCount="1">
        <brk id="59" max="16383" man="1"/>
      </rowBreaks>
      <pageMargins left="0.75" right="0.25" top="0.3" bottom="0" header="0" footer="0"/>
      <printOptions horizontalCentered="1" verticalCentered="1"/>
      <pageSetup scale="74" fitToWidth="2" fitToHeight="2" orientation="portrait" r:id="rId7"/>
      <headerFooter alignWithMargins="0"/>
    </customSheetView>
    <customSheetView guid="{1C046605-15CE-44F1-BFCD-2CA8588E7ACF}" scale="60" colorId="22" showPageBreaks="1" printArea="1" hiddenColumns="1" view="pageBreakPreview" showRuler="0">
      <selection activeCell="P66" sqref="P66"/>
      <rowBreaks count="1" manualBreakCount="1">
        <brk id="59" max="16383" man="1"/>
      </rowBreaks>
      <pageMargins left="0.75" right="0.25" top="0.3" bottom="0" header="0" footer="0"/>
      <printOptions horizontalCentered="1" verticalCentered="1"/>
      <pageSetup scale="74" fitToWidth="2" fitToHeight="2" orientation="portrait" r:id="rId8"/>
      <headerFooter alignWithMargins="0"/>
    </customSheetView>
    <customSheetView guid="{3911D713-188C-46A1-A299-F21DD3B7A146}" scale="60" colorId="22" showPageBreaks="1" printArea="1" hiddenColumns="1" view="pageBreakPreview" showRuler="0">
      <selection activeCell="P66" sqref="P66"/>
      <rowBreaks count="1" manualBreakCount="1">
        <brk id="59" max="16383" man="1"/>
      </rowBreaks>
      <pageMargins left="0.75" right="0.25" top="0.3" bottom="0" header="0" footer="0"/>
      <printOptions horizontalCentered="1" verticalCentered="1"/>
      <pageSetup scale="74" fitToWidth="2" fitToHeight="2" orientation="portrait" r:id="rId9"/>
      <headerFooter alignWithMargins="0"/>
    </customSheetView>
    <customSheetView guid="{78BB1E60-60BE-4F56-9763-075185EFEFAB}" colorId="22" hiddenColumns="1">
      <selection activeCell="J122" sqref="J122"/>
      <rowBreaks count="1" manualBreakCount="1">
        <brk id="59" max="8" man="1"/>
      </rowBreaks>
      <pageMargins left="0.26" right="0.23" top="0.3" bottom="0" header="0" footer="0"/>
      <printOptions horizontalCentered="1" verticalCentered="1"/>
      <pageSetup scale="70" fitToHeight="2" orientation="portrait" r:id="rId10"/>
      <headerFooter alignWithMargins="0"/>
    </customSheetView>
    <customSheetView guid="{9C30803E-1E2D-4850-B0A5-591CA6F246A1}" colorId="22" hiddenColumns="1">
      <selection activeCell="J122" sqref="J122"/>
      <rowBreaks count="1" manualBreakCount="1">
        <brk id="59" max="8" man="1"/>
      </rowBreaks>
      <pageMargins left="0.26" right="0.23" top="0.3" bottom="0" header="0" footer="0"/>
      <printOptions horizontalCentered="1" verticalCentered="1"/>
      <pageSetup scale="70" fitToHeight="2" orientation="portrait" r:id="rId11"/>
      <headerFooter alignWithMargins="0"/>
    </customSheetView>
    <customSheetView guid="{3B1006FF-A2CA-49E7-9B25-DAC8815279AF}" colorId="22" hiddenColumns="1">
      <selection activeCell="J122" sqref="J122"/>
      <rowBreaks count="1" manualBreakCount="1">
        <brk id="59" max="8" man="1"/>
      </rowBreaks>
      <pageMargins left="0.26" right="0.23" top="0.3" bottom="0" header="0" footer="0"/>
      <printOptions horizontalCentered="1" verticalCentered="1"/>
      <pageSetup scale="70" fitToHeight="2" orientation="portrait" r:id="rId12"/>
      <headerFooter alignWithMargins="0"/>
    </customSheetView>
    <customSheetView guid="{FB1A60C8-E1F9-4DF0-8E0E-1C965F86027F}" colorId="22" hiddenColumns="1">
      <selection activeCell="J122" sqref="J122"/>
      <rowBreaks count="1" manualBreakCount="1">
        <brk id="59" max="8" man="1"/>
      </rowBreaks>
      <pageMargins left="0.26" right="0.23" top="0.3" bottom="0" header="0" footer="0"/>
      <printOptions horizontalCentered="1" verticalCentered="1"/>
      <pageSetup scale="70" fitToHeight="2" orientation="portrait" r:id="rId13"/>
      <headerFooter alignWithMargins="0"/>
    </customSheetView>
    <customSheetView guid="{C5B6D812-CBE6-46AA-99F7-02494E9802B4}" scale="70" colorId="22" hiddenColumns="1" topLeftCell="A4">
      <selection activeCell="C10" sqref="C10"/>
      <rowBreaks count="1" manualBreakCount="1">
        <brk id="59" max="8" man="1"/>
      </rowBreaks>
      <pageMargins left="0.26" right="0.23" top="0.3" bottom="0" header="0" footer="0"/>
      <printOptions horizontalCentered="1" verticalCentered="1"/>
      <pageSetup scale="70" fitToHeight="2" orientation="portrait" r:id="rId14"/>
      <headerFooter alignWithMargins="0"/>
    </customSheetView>
  </customSheetViews>
  <phoneticPr fontId="0" type="noConversion"/>
  <printOptions horizontalCentered="1" verticalCentered="1"/>
  <pageMargins left="0.26" right="0.23" top="0.3" bottom="0" header="0" footer="0"/>
  <pageSetup scale="70" fitToHeight="2" orientation="portrait" r:id="rId15"/>
  <headerFooter alignWithMargins="0"/>
  <rowBreaks count="1" manualBreakCount="1">
    <brk id="59" max="8" man="1"/>
  </rowBreaks>
  <customProperties>
    <customPr name="_pios_id" r:id="rId16"/>
  </customProperties>
</worksheet>
</file>

<file path=xl/worksheets/sheet60.xml><?xml version="1.0" encoding="utf-8"?>
<worksheet xmlns="http://schemas.openxmlformats.org/spreadsheetml/2006/main" xmlns:r="http://schemas.openxmlformats.org/officeDocument/2006/relationships">
  <sheetPr transitionEvaluation="1" codeName="Sheet59" enableFormatConditionsCalculation="0">
    <pageSetUpPr fitToPage="1"/>
  </sheetPr>
  <dimension ref="A1:D77"/>
  <sheetViews>
    <sheetView defaultGridColor="0" colorId="22" zoomScale="50" zoomScaleNormal="50" zoomScaleSheetLayoutView="70" workbookViewId="0"/>
  </sheetViews>
  <sheetFormatPr defaultColWidth="9.77734375" defaultRowHeight="15"/>
  <cols>
    <col min="1" max="1" width="4.77734375" customWidth="1"/>
    <col min="2" max="2" width="60.77734375" customWidth="1"/>
    <col min="3" max="3" width="20.21875" customWidth="1"/>
    <col min="4" max="4" width="15.77734375" bestFit="1" customWidth="1"/>
  </cols>
  <sheetData>
    <row r="1" spans="1:4" ht="15.75" thickBot="1">
      <c r="A1" s="186" t="str">
        <f>'Data sheet'!$A$53</f>
        <v>Annual Report of New York American Water Company, Inc. (f/k/a Long Island Water Corp)                                   Year Ended  December 31, 2013</v>
      </c>
      <c r="C1" s="1672"/>
      <c r="D1" s="1676"/>
    </row>
    <row r="2" spans="1:4">
      <c r="A2" s="232"/>
      <c r="B2" s="245"/>
      <c r="C2" s="245"/>
      <c r="D2" s="234"/>
    </row>
    <row r="3" spans="1:4" ht="15.75">
      <c r="A3" s="235" t="s">
        <v>2220</v>
      </c>
      <c r="B3" s="6"/>
      <c r="C3" s="8"/>
      <c r="D3" s="236"/>
    </row>
    <row r="4" spans="1:4">
      <c r="A4" s="748"/>
      <c r="B4" s="249"/>
      <c r="C4" s="249"/>
      <c r="D4" s="250"/>
    </row>
    <row r="5" spans="1:4">
      <c r="A5" s="240"/>
      <c r="B5" t="s">
        <v>2221</v>
      </c>
      <c r="D5" s="237"/>
    </row>
    <row r="6" spans="1:4">
      <c r="A6" s="240"/>
      <c r="B6" t="s">
        <v>2222</v>
      </c>
      <c r="D6" s="237"/>
    </row>
    <row r="7" spans="1:4">
      <c r="A7" s="240"/>
      <c r="B7" t="s">
        <v>2801</v>
      </c>
      <c r="D7" s="237"/>
    </row>
    <row r="8" spans="1:4">
      <c r="A8" s="240"/>
      <c r="B8" t="s">
        <v>2802</v>
      </c>
      <c r="D8" s="237"/>
    </row>
    <row r="9" spans="1:4">
      <c r="A9" s="240"/>
      <c r="B9" t="s">
        <v>2803</v>
      </c>
      <c r="D9" s="237"/>
    </row>
    <row r="10" spans="1:4">
      <c r="A10" s="240"/>
      <c r="B10" t="s">
        <v>2804</v>
      </c>
      <c r="D10" s="237"/>
    </row>
    <row r="11" spans="1:4">
      <c r="A11" s="748"/>
      <c r="B11" s="249"/>
      <c r="C11" s="249"/>
      <c r="D11" s="250"/>
    </row>
    <row r="12" spans="1:4">
      <c r="A12" s="240"/>
      <c r="B12" s="275"/>
      <c r="C12" s="643" t="s">
        <v>2805</v>
      </c>
      <c r="D12" s="835" t="s">
        <v>1522</v>
      </c>
    </row>
    <row r="13" spans="1:4">
      <c r="A13" s="635" t="s">
        <v>1939</v>
      </c>
      <c r="B13" s="834" t="s">
        <v>3534</v>
      </c>
      <c r="C13" s="643" t="s">
        <v>3535</v>
      </c>
      <c r="D13" s="835" t="s">
        <v>3536</v>
      </c>
    </row>
    <row r="14" spans="1:4">
      <c r="A14" s="636" t="s">
        <v>1941</v>
      </c>
      <c r="B14" s="836" t="s">
        <v>4032</v>
      </c>
      <c r="C14" s="791" t="s">
        <v>4033</v>
      </c>
      <c r="D14" s="792" t="s">
        <v>4034</v>
      </c>
    </row>
    <row r="15" spans="1:4">
      <c r="A15" s="635">
        <v>1</v>
      </c>
      <c r="B15" s="275" t="s">
        <v>3537</v>
      </c>
      <c r="C15" s="1284"/>
      <c r="D15" s="1285"/>
    </row>
    <row r="16" spans="1:4">
      <c r="A16" s="635">
        <v>2</v>
      </c>
      <c r="B16" s="275" t="s">
        <v>177</v>
      </c>
      <c r="C16" s="149"/>
      <c r="D16" s="629"/>
    </row>
    <row r="17" spans="1:4">
      <c r="A17" s="635">
        <v>3</v>
      </c>
      <c r="B17" s="278"/>
      <c r="C17" s="158"/>
      <c r="D17" s="628"/>
    </row>
    <row r="18" spans="1:4">
      <c r="A18" s="635">
        <v>4</v>
      </c>
      <c r="B18" s="275"/>
      <c r="C18" s="158"/>
      <c r="D18" s="628"/>
    </row>
    <row r="19" spans="1:4">
      <c r="A19" s="635">
        <v>5</v>
      </c>
      <c r="B19" s="275"/>
      <c r="C19" s="158"/>
      <c r="D19" s="628"/>
    </row>
    <row r="20" spans="1:4">
      <c r="A20" s="635">
        <v>6</v>
      </c>
      <c r="B20" s="275"/>
      <c r="C20" s="158"/>
      <c r="D20" s="628"/>
    </row>
    <row r="21" spans="1:4">
      <c r="A21" s="635">
        <v>7</v>
      </c>
      <c r="B21" s="275"/>
      <c r="C21" s="158"/>
      <c r="D21" s="628"/>
    </row>
    <row r="22" spans="1:4">
      <c r="A22" s="635">
        <v>8</v>
      </c>
      <c r="B22" s="275"/>
      <c r="C22" s="158"/>
      <c r="D22" s="628"/>
    </row>
    <row r="23" spans="1:4">
      <c r="A23" s="635">
        <v>9</v>
      </c>
      <c r="B23" s="275"/>
      <c r="C23" s="158"/>
      <c r="D23" s="628"/>
    </row>
    <row r="24" spans="1:4">
      <c r="A24" s="635">
        <v>10</v>
      </c>
      <c r="B24" s="275"/>
      <c r="C24" s="158"/>
      <c r="D24" s="628"/>
    </row>
    <row r="25" spans="1:4">
      <c r="A25" s="635">
        <v>11</v>
      </c>
      <c r="B25" s="275"/>
      <c r="C25" s="158"/>
      <c r="D25" s="628"/>
    </row>
    <row r="26" spans="1:4">
      <c r="A26" s="635">
        <v>12</v>
      </c>
      <c r="B26" s="275"/>
      <c r="C26" s="158"/>
      <c r="D26" s="628"/>
    </row>
    <row r="27" spans="1:4">
      <c r="A27" s="635">
        <v>13</v>
      </c>
      <c r="B27" s="275"/>
      <c r="C27" s="158"/>
      <c r="D27" s="628"/>
    </row>
    <row r="28" spans="1:4">
      <c r="A28" s="635">
        <v>14</v>
      </c>
      <c r="B28" s="275"/>
      <c r="C28" s="158"/>
      <c r="D28" s="628"/>
    </row>
    <row r="29" spans="1:4">
      <c r="A29" s="635">
        <v>15</v>
      </c>
      <c r="B29" s="275"/>
      <c r="C29" s="158"/>
      <c r="D29" s="628"/>
    </row>
    <row r="30" spans="1:4">
      <c r="A30" s="635">
        <v>16</v>
      </c>
      <c r="B30" s="275"/>
      <c r="C30" s="158"/>
      <c r="D30" s="628"/>
    </row>
    <row r="31" spans="1:4">
      <c r="A31" s="635">
        <v>17</v>
      </c>
      <c r="B31" s="275"/>
      <c r="C31" s="158"/>
      <c r="D31" s="628"/>
    </row>
    <row r="32" spans="1:4">
      <c r="A32" s="635">
        <v>18</v>
      </c>
      <c r="B32" s="275"/>
      <c r="C32" s="158"/>
      <c r="D32" s="628"/>
    </row>
    <row r="33" spans="1:4">
      <c r="A33" s="635">
        <v>19</v>
      </c>
      <c r="B33" s="275"/>
      <c r="C33" s="158"/>
      <c r="D33" s="628"/>
    </row>
    <row r="34" spans="1:4">
      <c r="A34" s="635">
        <v>20</v>
      </c>
      <c r="B34" s="275"/>
      <c r="C34" s="158"/>
      <c r="D34" s="628"/>
    </row>
    <row r="35" spans="1:4">
      <c r="A35" s="635">
        <v>21</v>
      </c>
      <c r="B35" s="1286" t="s">
        <v>3538</v>
      </c>
      <c r="C35" s="1269">
        <f>SUM(C16:C34)</f>
        <v>0</v>
      </c>
      <c r="D35" s="630">
        <f>SUM(D16:D34)</f>
        <v>0</v>
      </c>
    </row>
    <row r="36" spans="1:4">
      <c r="A36" s="635">
        <v>22</v>
      </c>
      <c r="B36" s="275" t="s">
        <v>4551</v>
      </c>
      <c r="C36" s="1284"/>
      <c r="D36" s="1287"/>
    </row>
    <row r="37" spans="1:4">
      <c r="A37" s="635">
        <v>23</v>
      </c>
      <c r="B37" s="275" t="s">
        <v>177</v>
      </c>
      <c r="C37" s="149"/>
      <c r="D37" s="629"/>
    </row>
    <row r="38" spans="1:4">
      <c r="A38" s="635">
        <v>24</v>
      </c>
      <c r="B38" s="275"/>
      <c r="C38" s="158"/>
      <c r="D38" s="628"/>
    </row>
    <row r="39" spans="1:4">
      <c r="A39" s="635">
        <v>25</v>
      </c>
      <c r="B39" s="275"/>
      <c r="C39" s="158"/>
      <c r="D39" s="628"/>
    </row>
    <row r="40" spans="1:4">
      <c r="A40" s="635">
        <v>26</v>
      </c>
      <c r="B40" s="275"/>
      <c r="C40" s="158"/>
      <c r="D40" s="628"/>
    </row>
    <row r="41" spans="1:4">
      <c r="A41" s="635">
        <v>27</v>
      </c>
      <c r="B41" s="275"/>
      <c r="C41" s="158"/>
      <c r="D41" s="628"/>
    </row>
    <row r="42" spans="1:4">
      <c r="A42" s="635">
        <v>28</v>
      </c>
      <c r="B42" s="275"/>
      <c r="C42" s="158"/>
      <c r="D42" s="628"/>
    </row>
    <row r="43" spans="1:4">
      <c r="A43" s="635">
        <v>29</v>
      </c>
      <c r="B43" s="275"/>
      <c r="C43" s="158"/>
      <c r="D43" s="628"/>
    </row>
    <row r="44" spans="1:4">
      <c r="A44" s="635">
        <v>30</v>
      </c>
      <c r="B44" s="275"/>
      <c r="C44" s="158"/>
      <c r="D44" s="628"/>
    </row>
    <row r="45" spans="1:4">
      <c r="A45" s="635">
        <v>31</v>
      </c>
      <c r="B45" s="275"/>
      <c r="C45" s="158"/>
      <c r="D45" s="628"/>
    </row>
    <row r="46" spans="1:4">
      <c r="A46" s="635">
        <v>32</v>
      </c>
      <c r="B46" s="275"/>
      <c r="C46" s="158"/>
      <c r="D46" s="628"/>
    </row>
    <row r="47" spans="1:4">
      <c r="A47" s="635">
        <v>33</v>
      </c>
      <c r="B47" s="275"/>
      <c r="C47" s="158"/>
      <c r="D47" s="628"/>
    </row>
    <row r="48" spans="1:4">
      <c r="A48" s="635">
        <v>34</v>
      </c>
      <c r="B48" s="275"/>
      <c r="C48" s="158"/>
      <c r="D48" s="628"/>
    </row>
    <row r="49" spans="1:4">
      <c r="A49" s="635">
        <v>35</v>
      </c>
      <c r="B49" s="275"/>
      <c r="C49" s="158"/>
      <c r="D49" s="628"/>
    </row>
    <row r="50" spans="1:4">
      <c r="A50" s="635">
        <v>36</v>
      </c>
      <c r="B50" s="275"/>
      <c r="C50" s="158"/>
      <c r="D50" s="628"/>
    </row>
    <row r="51" spans="1:4">
      <c r="A51" s="635">
        <v>37</v>
      </c>
      <c r="B51" s="275"/>
      <c r="C51" s="158"/>
      <c r="D51" s="628"/>
    </row>
    <row r="52" spans="1:4">
      <c r="A52" s="635">
        <v>38</v>
      </c>
      <c r="B52" s="275"/>
      <c r="C52" s="158"/>
      <c r="D52" s="628"/>
    </row>
    <row r="53" spans="1:4">
      <c r="A53" s="635">
        <v>40</v>
      </c>
      <c r="B53" s="275"/>
      <c r="C53" s="158"/>
      <c r="D53" s="628"/>
    </row>
    <row r="54" spans="1:4">
      <c r="A54" s="635">
        <v>41</v>
      </c>
      <c r="B54" s="275"/>
      <c r="C54" s="158"/>
      <c r="D54" s="628"/>
    </row>
    <row r="55" spans="1:4">
      <c r="A55" s="635">
        <v>42</v>
      </c>
      <c r="B55" s="275"/>
      <c r="C55" s="158"/>
      <c r="D55" s="628"/>
    </row>
    <row r="56" spans="1:4">
      <c r="A56" s="635">
        <v>43</v>
      </c>
      <c r="B56" s="275"/>
      <c r="C56" s="158"/>
      <c r="D56" s="628"/>
    </row>
    <row r="57" spans="1:4">
      <c r="A57" s="635">
        <v>44</v>
      </c>
      <c r="B57" s="275"/>
      <c r="C57" s="158"/>
      <c r="D57" s="628"/>
    </row>
    <row r="58" spans="1:4">
      <c r="A58" s="635">
        <v>45</v>
      </c>
      <c r="B58" s="275"/>
      <c r="C58" s="158"/>
      <c r="D58" s="628"/>
    </row>
    <row r="59" spans="1:4">
      <c r="A59" s="635">
        <v>46</v>
      </c>
      <c r="B59" s="1286" t="s">
        <v>4552</v>
      </c>
      <c r="C59" s="1269">
        <f>SUM(C37:C58)</f>
        <v>0</v>
      </c>
      <c r="D59" s="630">
        <f>SUM(D37:D58)</f>
        <v>0</v>
      </c>
    </row>
    <row r="60" spans="1:4" ht="15.75" thickBot="1">
      <c r="A60" s="645">
        <v>47</v>
      </c>
      <c r="B60" s="1288" t="s">
        <v>4553</v>
      </c>
      <c r="C60" s="632">
        <f>C35+C59</f>
        <v>0</v>
      </c>
      <c r="D60" s="625">
        <f>D35+D59</f>
        <v>0</v>
      </c>
    </row>
    <row r="61" spans="1:4">
      <c r="C61" s="158"/>
      <c r="D61" s="231" t="s">
        <v>4066</v>
      </c>
    </row>
    <row r="62" spans="1:4">
      <c r="A62" s="8" t="s">
        <v>4554</v>
      </c>
      <c r="B62" s="8"/>
      <c r="C62" s="8"/>
      <c r="D62" s="8"/>
    </row>
    <row r="69" spans="2:2">
      <c r="B69" s="260"/>
    </row>
    <row r="72" spans="2:2">
      <c r="B72" s="260"/>
    </row>
    <row r="73" spans="2:2">
      <c r="B73" s="260"/>
    </row>
    <row r="74" spans="2:2">
      <c r="B74" s="260"/>
    </row>
    <row r="75" spans="2:2">
      <c r="B75" s="260"/>
    </row>
    <row r="76" spans="2:2">
      <c r="B76" s="319"/>
    </row>
    <row r="77" spans="2:2">
      <c r="B77" s="260"/>
    </row>
  </sheetData>
  <customSheetViews>
    <customSheetView guid="{1BA452AD-1A45-4D9C-9666-ADFFA6F2F567}" colorId="22" showPageBreaks="1" fitToPage="1" printArea="1" view="pageBreakPreview">
      <selection activeCell="I56" sqref="I56"/>
      <pageMargins left="0.75" right="0.4" top="0.3" bottom="0.3" header="0.5" footer="0.5"/>
      <printOptions horizontalCentered="1" verticalCentered="1"/>
      <pageSetup scale="77" orientation="portrait" r:id="rId1"/>
      <headerFooter alignWithMargins="0"/>
    </customSheetView>
    <customSheetView guid="{EEF7ABD6-0F96-4791-B749-C06F707E7673}" colorId="22" showPageBreaks="1" fitToPage="1" printArea="1" view="pageBreakPreview" showRuler="0">
      <pageMargins left="0.75" right="0.4" top="0.3" bottom="0.3" header="0.5" footer="0.5"/>
      <printOptions horizontalCentered="1" verticalCentered="1"/>
      <pageSetup scale="77" orientation="portrait" r:id="rId2"/>
      <headerFooter alignWithMargins="0"/>
    </customSheetView>
    <customSheetView guid="{A7D7DB3C-AFE6-468E-8C6B-9531F6711497}" scale="60" colorId="22" showPageBreaks="1" fitToPage="1" view="pageBreakPreview" showRuler="0">
      <selection activeCell="H5" sqref="H5"/>
      <pageMargins left="0.75" right="0.4" top="0.3" bottom="0.3" header="0.5" footer="0.5"/>
      <printOptions horizontalCentered="1" verticalCentered="1"/>
      <pageSetup scale="70" orientation="portrait" r:id="rId3"/>
      <headerFooter alignWithMargins="0"/>
    </customSheetView>
    <customSheetView guid="{4436FEB5-BFEC-4348-9286-CB706802873E}" scale="60" colorId="22" showPageBreaks="1" fitToPage="1" view="pageBreakPreview" showRuler="0">
      <selection activeCell="H5" sqref="H5"/>
      <pageMargins left="0.75" right="0.4" top="0.3" bottom="0.3" header="0.5" footer="0.5"/>
      <printOptions horizontalCentered="1" verticalCentered="1"/>
      <pageSetup scale="70" orientation="portrait" r:id="rId4"/>
      <headerFooter alignWithMargins="0"/>
    </customSheetView>
    <customSheetView guid="{044CF00C-469F-44B3-B2C4-9B4049CE70CB}" scale="60" colorId="22" showPageBreaks="1" fitToPage="1" view="pageBreakPreview" showRuler="0">
      <selection activeCell="A2" sqref="A2"/>
      <pageMargins left="0.75" right="0.4" top="0.3" bottom="0.3" header="0.5" footer="0.5"/>
      <printOptions horizontalCentered="1" verticalCentered="1"/>
      <pageSetup scale="77" orientation="portrait" r:id="rId5"/>
      <headerFooter alignWithMargins="0"/>
    </customSheetView>
    <customSheetView guid="{4826FCC0-BDD6-4B2C-ACC6-ACE271DDF0E3}" colorId="22" showPageBreaks="1" fitToPage="1" printArea="1" view="pageBreakPreview" showRuler="0">
      <pageMargins left="0.75" right="0.4" top="0.3" bottom="0.3" header="0.5" footer="0.5"/>
      <printOptions horizontalCentered="1" verticalCentered="1"/>
      <pageSetup scale="77" orientation="portrait" r:id="rId6"/>
      <headerFooter alignWithMargins="0"/>
    </customSheetView>
    <customSheetView guid="{EF376D10-23D6-4FE2-AB5B-4460D52CC93F}" colorId="22" showPageBreaks="1" fitToPage="1" printArea="1" view="pageBreakPreview" showRuler="0">
      <pageMargins left="0.75" right="0.4" top="0.3" bottom="0.3" header="0.5" footer="0.5"/>
      <printOptions horizontalCentered="1" verticalCentered="1"/>
      <pageSetup scale="77" orientation="portrait" r:id="rId7"/>
      <headerFooter alignWithMargins="0"/>
    </customSheetView>
    <customSheetView guid="{1C046605-15CE-44F1-BFCD-2CA8588E7ACF}" colorId="22" showPageBreaks="1" fitToPage="1" printArea="1" view="pageBreakPreview" showRuler="0" topLeftCell="A37">
      <pageMargins left="0.75" right="0.4" top="0.3" bottom="0.3" header="0.5" footer="0.5"/>
      <printOptions horizontalCentered="1" verticalCentered="1"/>
      <pageSetup scale="77" orientation="portrait" r:id="rId8"/>
      <headerFooter alignWithMargins="0"/>
    </customSheetView>
    <customSheetView guid="{3911D713-188C-46A1-A299-F21DD3B7A146}" colorId="22" showPageBreaks="1" fitToPage="1" printArea="1" view="pageBreakPreview" showRuler="0" topLeftCell="A37">
      <pageMargins left="0.75" right="0.4" top="0.3" bottom="0.3" header="0.5" footer="0.5"/>
      <printOptions horizontalCentered="1" verticalCentered="1"/>
      <pageSetup scale="77" orientation="portrait" r:id="rId9"/>
      <headerFooter alignWithMargins="0"/>
    </customSheetView>
    <customSheetView guid="{78BB1E60-60BE-4F56-9763-075185EFEFAB}" colorId="22" showPageBreaks="1" fitToPage="1" printArea="1" view="pageBreakPreview">
      <selection activeCell="H18" sqref="H18"/>
      <pageMargins left="0.75" right="0.4" top="0.3" bottom="0.3" header="0.5" footer="0.5"/>
      <printOptions horizontalCentered="1" verticalCentered="1"/>
      <pageSetup scale="77" orientation="portrait" r:id="rId10"/>
      <headerFooter alignWithMargins="0"/>
    </customSheetView>
    <customSheetView guid="{9C30803E-1E2D-4850-B0A5-591CA6F246A1}" colorId="22" showPageBreaks="1" fitToPage="1" printArea="1" view="pageBreakPreview">
      <selection activeCell="H18" sqref="H18"/>
      <pageMargins left="0.75" right="0.4" top="0.3" bottom="0.3" header="0.5" footer="0.5"/>
      <printOptions horizontalCentered="1" verticalCentered="1"/>
      <pageSetup scale="77" orientation="portrait" r:id="rId11"/>
      <headerFooter alignWithMargins="0"/>
    </customSheetView>
    <customSheetView guid="{3B1006FF-A2CA-49E7-9B25-DAC8815279AF}" colorId="22" showPageBreaks="1" fitToPage="1" printArea="1" view="pageBreakPreview">
      <selection activeCell="H18" sqref="H18"/>
      <pageMargins left="0.75" right="0.4" top="0.3" bottom="0.3" header="0.5" footer="0.5"/>
      <printOptions horizontalCentered="1" verticalCentered="1"/>
      <pageSetup scale="77" orientation="portrait" r:id="rId12"/>
      <headerFooter alignWithMargins="0"/>
    </customSheetView>
    <customSheetView guid="{FB1A60C8-E1F9-4DF0-8E0E-1C965F86027F}" colorId="22" showPageBreaks="1" fitToPage="1" printArea="1" view="pageBreakPreview">
      <selection activeCell="H18" sqref="H18"/>
      <pageMargins left="0.75" right="0.4" top="0.3" bottom="0.3" header="0.5" footer="0.5"/>
      <printOptions horizontalCentered="1" verticalCentered="1"/>
      <pageSetup scale="77" orientation="portrait" r:id="rId13"/>
      <headerFooter alignWithMargins="0"/>
    </customSheetView>
    <customSheetView guid="{C5B6D812-CBE6-46AA-99F7-02494E9802B4}" scale="70" colorId="22" showPageBreaks="1" fitToPage="1" printArea="1" view="pageBreakPreview" topLeftCell="A4">
      <selection activeCell="C10" sqref="C10"/>
      <pageMargins left="0.75" right="0.4" top="0.3" bottom="0.3" header="0.5" footer="0.5"/>
      <printOptions horizontalCentered="1" verticalCentered="1"/>
      <pageSetup scale="77" orientation="portrait" r:id="rId14"/>
      <headerFooter alignWithMargins="0"/>
    </customSheetView>
  </customSheetViews>
  <phoneticPr fontId="0" type="noConversion"/>
  <printOptions horizontalCentered="1" verticalCentered="1"/>
  <pageMargins left="0.75" right="0.4" top="0.3" bottom="0.3" header="0.5" footer="0.5"/>
  <pageSetup scale="77" orientation="portrait" r:id="rId15"/>
  <headerFooter alignWithMargins="0"/>
  <customProperties>
    <customPr name="_pios_id" r:id="rId16"/>
  </customProperties>
</worksheet>
</file>

<file path=xl/worksheets/sheet61.xml><?xml version="1.0" encoding="utf-8"?>
<worksheet xmlns="http://schemas.openxmlformats.org/spreadsheetml/2006/main" xmlns:r="http://schemas.openxmlformats.org/officeDocument/2006/relationships">
  <sheetPr transitionEvaluation="1" codeName="Sheet60" enableFormatConditionsCalculation="0">
    <pageSetUpPr fitToPage="1"/>
  </sheetPr>
  <dimension ref="A1:P99"/>
  <sheetViews>
    <sheetView defaultGridColor="0" colorId="22" zoomScale="50" zoomScaleNormal="50" zoomScaleSheetLayoutView="70" workbookViewId="0"/>
  </sheetViews>
  <sheetFormatPr defaultColWidth="9.77734375" defaultRowHeight="15"/>
  <cols>
    <col min="1" max="1" width="4.77734375" customWidth="1"/>
    <col min="2" max="2" width="46.77734375" customWidth="1"/>
    <col min="3" max="5" width="12.77734375" customWidth="1"/>
    <col min="6" max="6" width="15.44140625" customWidth="1"/>
    <col min="7" max="7" width="15.77734375" customWidth="1"/>
    <col min="8" max="8" width="8.77734375" customWidth="1"/>
    <col min="9" max="10" width="15.77734375" customWidth="1"/>
    <col min="11" max="11" width="8.77734375" customWidth="1"/>
    <col min="12" max="12" width="15.77734375" customWidth="1"/>
    <col min="13" max="13" width="17.5546875" customWidth="1"/>
    <col min="14" max="14" width="4.77734375" customWidth="1"/>
  </cols>
  <sheetData>
    <row r="1" spans="1:15" ht="15.75" thickBot="1">
      <c r="A1" s="186" t="str">
        <f>'Data sheet'!$A$53</f>
        <v>Annual Report of New York American Water Company, Inc. (f/k/a Long Island Water Corp)                                   Year Ended  December 31, 2013</v>
      </c>
      <c r="G1" s="186" t="str">
        <f>'Data sheet'!$A$53</f>
        <v>Annual Report of New York American Water Company, Inc. (f/k/a Long Island Water Corp)                                   Year Ended  December 31, 2013</v>
      </c>
    </row>
    <row r="2" spans="1:15">
      <c r="A2" s="90"/>
      <c r="B2" s="91"/>
      <c r="C2" s="91"/>
      <c r="D2" s="91"/>
      <c r="E2" s="91"/>
      <c r="F2" s="92"/>
      <c r="G2" s="90"/>
      <c r="H2" s="91"/>
      <c r="I2" s="91"/>
      <c r="J2" s="91"/>
      <c r="K2" s="91"/>
      <c r="L2" s="91"/>
      <c r="M2" s="91"/>
      <c r="N2" s="92"/>
      <c r="O2" s="93"/>
    </row>
    <row r="3" spans="1:15" ht="15.75">
      <c r="A3" s="381" t="s">
        <v>4555</v>
      </c>
      <c r="B3" s="1289"/>
      <c r="C3" s="134"/>
      <c r="D3" s="134"/>
      <c r="E3" s="134"/>
      <c r="F3" s="1290"/>
      <c r="G3" s="381" t="s">
        <v>4556</v>
      </c>
      <c r="H3" s="1289"/>
      <c r="I3" s="1289"/>
      <c r="J3" s="134"/>
      <c r="K3" s="134"/>
      <c r="L3" s="134"/>
      <c r="M3" s="134"/>
      <c r="N3" s="294"/>
      <c r="O3" s="93"/>
    </row>
    <row r="4" spans="1:15" ht="15.75">
      <c r="A4" s="380"/>
      <c r="B4" s="94"/>
      <c r="C4" s="131"/>
      <c r="D4" s="131"/>
      <c r="E4" s="131"/>
      <c r="F4" s="1291"/>
      <c r="G4" s="380"/>
      <c r="H4" s="94"/>
      <c r="I4" s="94"/>
      <c r="J4" s="131"/>
      <c r="K4" s="131"/>
      <c r="L4" s="131"/>
      <c r="M4" s="131"/>
      <c r="N4" s="338"/>
    </row>
    <row r="5" spans="1:15">
      <c r="A5" s="400" t="s">
        <v>4557</v>
      </c>
      <c r="B5" s="11"/>
      <c r="C5" s="11" t="s">
        <v>4558</v>
      </c>
      <c r="D5" s="11"/>
      <c r="E5" s="11"/>
      <c r="F5" s="1292"/>
      <c r="G5" s="400" t="s">
        <v>2569</v>
      </c>
      <c r="H5" s="11"/>
      <c r="I5" s="11"/>
      <c r="J5" s="11"/>
      <c r="K5" s="11" t="s">
        <v>2570</v>
      </c>
      <c r="L5" s="11"/>
      <c r="M5" s="11"/>
      <c r="N5" s="338"/>
    </row>
    <row r="6" spans="1:15">
      <c r="A6" s="400" t="s">
        <v>2571</v>
      </c>
      <c r="B6" s="11"/>
      <c r="C6" s="11" t="s">
        <v>3241</v>
      </c>
      <c r="D6" s="11"/>
      <c r="E6" s="11"/>
      <c r="F6" s="1292"/>
      <c r="G6" s="400" t="s">
        <v>3242</v>
      </c>
      <c r="H6" s="11"/>
      <c r="I6" s="11"/>
      <c r="J6" s="11"/>
      <c r="K6" s="11" t="s">
        <v>3243</v>
      </c>
      <c r="L6" s="11"/>
      <c r="M6" s="11"/>
      <c r="N6" s="338"/>
    </row>
    <row r="7" spans="1:15">
      <c r="A7" s="400" t="s">
        <v>1051</v>
      </c>
      <c r="B7" s="11"/>
      <c r="C7" s="11" t="s">
        <v>334</v>
      </c>
      <c r="D7" s="11"/>
      <c r="E7" s="11"/>
      <c r="F7" s="1292"/>
      <c r="G7" s="400" t="s">
        <v>335</v>
      </c>
      <c r="H7" s="11"/>
      <c r="I7" s="11"/>
      <c r="J7" s="11"/>
      <c r="K7" s="11" t="s">
        <v>336</v>
      </c>
      <c r="L7" s="11"/>
      <c r="M7" s="11"/>
      <c r="N7" s="338"/>
    </row>
    <row r="8" spans="1:15">
      <c r="A8" s="400" t="s">
        <v>337</v>
      </c>
      <c r="B8" s="11"/>
      <c r="C8" s="11"/>
      <c r="D8" s="11"/>
      <c r="E8" s="11"/>
      <c r="F8" s="1292"/>
      <c r="G8" s="400"/>
      <c r="H8" s="11"/>
      <c r="I8" s="11"/>
      <c r="J8" s="11"/>
      <c r="K8" s="11" t="s">
        <v>3584</v>
      </c>
      <c r="L8" s="11"/>
      <c r="M8" s="11"/>
      <c r="N8" s="338"/>
    </row>
    <row r="9" spans="1:15">
      <c r="A9" s="400" t="s">
        <v>4373</v>
      </c>
      <c r="B9" s="11"/>
      <c r="C9" s="11"/>
      <c r="D9" s="11"/>
      <c r="E9" s="11"/>
      <c r="F9" s="1292"/>
      <c r="G9" s="400"/>
      <c r="H9" s="11"/>
      <c r="I9" s="11"/>
      <c r="J9" s="11"/>
      <c r="K9" s="11"/>
      <c r="L9" s="11"/>
      <c r="M9" s="11"/>
      <c r="N9" s="338"/>
    </row>
    <row r="10" spans="1:15">
      <c r="A10" s="400"/>
      <c r="B10" s="11"/>
      <c r="C10" s="11"/>
      <c r="D10" s="11"/>
      <c r="E10" s="11"/>
      <c r="F10" s="1292"/>
      <c r="G10" s="400"/>
      <c r="H10" s="11"/>
      <c r="I10" s="11"/>
      <c r="J10" s="11"/>
      <c r="K10" s="11"/>
      <c r="L10" s="11"/>
      <c r="M10" s="11"/>
      <c r="N10" s="338"/>
    </row>
    <row r="11" spans="1:15">
      <c r="A11" s="1293"/>
      <c r="B11" s="767" t="s">
        <v>558</v>
      </c>
      <c r="C11" s="767"/>
      <c r="D11" s="767"/>
      <c r="E11" s="767"/>
      <c r="F11" s="785"/>
      <c r="G11" s="489" t="s">
        <v>1903</v>
      </c>
      <c r="H11" s="491"/>
      <c r="I11" s="491"/>
      <c r="J11" s="1294"/>
      <c r="K11" s="1295" t="s">
        <v>1904</v>
      </c>
      <c r="L11" s="491"/>
      <c r="M11" s="1294"/>
      <c r="N11" s="1296"/>
    </row>
    <row r="12" spans="1:15">
      <c r="A12" s="1297"/>
      <c r="B12" s="120" t="s">
        <v>1905</v>
      </c>
      <c r="C12" s="769" t="s">
        <v>279</v>
      </c>
      <c r="D12" s="769" t="s">
        <v>280</v>
      </c>
      <c r="E12" s="769" t="s">
        <v>3323</v>
      </c>
      <c r="F12" s="786" t="s">
        <v>1167</v>
      </c>
      <c r="G12" s="489" t="s">
        <v>1168</v>
      </c>
      <c r="H12" s="134"/>
      <c r="I12" s="1298"/>
      <c r="J12" s="769"/>
      <c r="K12" s="769"/>
      <c r="L12" s="769"/>
      <c r="M12" s="1299"/>
      <c r="N12" s="1300"/>
    </row>
    <row r="13" spans="1:15">
      <c r="A13" s="1297" t="s">
        <v>1129</v>
      </c>
      <c r="B13" s="120" t="s">
        <v>1169</v>
      </c>
      <c r="C13" s="769" t="s">
        <v>1170</v>
      </c>
      <c r="D13" s="769" t="s">
        <v>2593</v>
      </c>
      <c r="E13" s="769" t="s">
        <v>1171</v>
      </c>
      <c r="F13" s="786" t="s">
        <v>1172</v>
      </c>
      <c r="G13" s="1297"/>
      <c r="H13" s="769"/>
      <c r="I13" s="1301"/>
      <c r="J13" s="769" t="s">
        <v>1173</v>
      </c>
      <c r="K13" s="769" t="s">
        <v>427</v>
      </c>
      <c r="L13" s="769" t="s">
        <v>430</v>
      </c>
      <c r="M13" s="1302" t="s">
        <v>1167</v>
      </c>
      <c r="N13" s="1300"/>
    </row>
    <row r="14" spans="1:15">
      <c r="A14" s="1297" t="s">
        <v>3324</v>
      </c>
      <c r="B14" s="120" t="s">
        <v>1174</v>
      </c>
      <c r="C14" s="769" t="s">
        <v>1175</v>
      </c>
      <c r="D14" s="769" t="s">
        <v>151</v>
      </c>
      <c r="E14" s="769" t="s">
        <v>1141</v>
      </c>
      <c r="F14" s="786" t="s">
        <v>1938</v>
      </c>
      <c r="G14" s="1297" t="s">
        <v>1176</v>
      </c>
      <c r="H14" s="769" t="s">
        <v>1139</v>
      </c>
      <c r="I14" s="769" t="s">
        <v>430</v>
      </c>
      <c r="J14" s="1302" t="s">
        <v>1172</v>
      </c>
      <c r="K14" s="769" t="s">
        <v>1139</v>
      </c>
      <c r="L14" s="769"/>
      <c r="M14" s="1302" t="s">
        <v>1172</v>
      </c>
      <c r="N14" s="1300" t="s">
        <v>1129</v>
      </c>
    </row>
    <row r="15" spans="1:15">
      <c r="A15" s="1297"/>
      <c r="B15" s="1262"/>
      <c r="C15" s="1262"/>
      <c r="D15" s="1262"/>
      <c r="E15" s="769" t="s">
        <v>1177</v>
      </c>
      <c r="F15" s="786" t="s">
        <v>1940</v>
      </c>
      <c r="G15" s="1297"/>
      <c r="H15" s="769" t="s">
        <v>3324</v>
      </c>
      <c r="I15" s="769"/>
      <c r="J15" s="769"/>
      <c r="K15" s="769"/>
      <c r="L15" s="769"/>
      <c r="M15" s="769" t="s">
        <v>2423</v>
      </c>
      <c r="N15" s="1300" t="s">
        <v>3324</v>
      </c>
    </row>
    <row r="16" spans="1:15">
      <c r="A16" s="1297"/>
      <c r="B16" s="770" t="s">
        <v>4032</v>
      </c>
      <c r="C16" s="770" t="s">
        <v>4033</v>
      </c>
      <c r="D16" s="770" t="s">
        <v>4034</v>
      </c>
      <c r="E16" s="770" t="s">
        <v>4035</v>
      </c>
      <c r="F16" s="770" t="s">
        <v>2277</v>
      </c>
      <c r="G16" s="1297" t="s">
        <v>2278</v>
      </c>
      <c r="H16" s="770" t="s">
        <v>2279</v>
      </c>
      <c r="I16" s="770" t="s">
        <v>2280</v>
      </c>
      <c r="J16" s="770" t="s">
        <v>2281</v>
      </c>
      <c r="K16" s="770" t="s">
        <v>2282</v>
      </c>
      <c r="L16" s="770" t="s">
        <v>2283</v>
      </c>
      <c r="M16" s="770" t="s">
        <v>2284</v>
      </c>
      <c r="N16" s="1303"/>
    </row>
    <row r="17" spans="1:16">
      <c r="A17" s="1304">
        <v>1</v>
      </c>
      <c r="B17" s="97" t="s">
        <v>4895</v>
      </c>
      <c r="C17" s="1305"/>
      <c r="D17" s="669"/>
      <c r="E17" s="669"/>
      <c r="F17" s="700">
        <v>174000</v>
      </c>
      <c r="G17" s="1306"/>
      <c r="H17" s="1307"/>
      <c r="I17" s="669"/>
      <c r="J17" s="669"/>
      <c r="K17" s="570"/>
      <c r="L17" s="669">
        <v>77333</v>
      </c>
      <c r="M17" s="669">
        <f>+F17-L17+J17</f>
        <v>96667</v>
      </c>
      <c r="N17" s="784">
        <v>1</v>
      </c>
      <c r="O17" s="230"/>
    </row>
    <row r="18" spans="1:16">
      <c r="A18" s="787">
        <v>2</v>
      </c>
      <c r="B18" s="11"/>
      <c r="C18" s="1305"/>
      <c r="D18" s="669"/>
      <c r="E18" s="669"/>
      <c r="F18" s="700"/>
      <c r="G18" s="2699"/>
      <c r="H18" s="1307"/>
      <c r="I18" s="669"/>
      <c r="J18" s="669"/>
      <c r="K18" s="570"/>
      <c r="L18" s="669"/>
      <c r="M18" s="669"/>
      <c r="N18" s="784">
        <v>2</v>
      </c>
    </row>
    <row r="19" spans="1:16">
      <c r="A19" s="787">
        <v>3</v>
      </c>
      <c r="B19" s="97" t="s">
        <v>5178</v>
      </c>
      <c r="C19" s="1305"/>
      <c r="D19" s="669">
        <v>11497</v>
      </c>
      <c r="E19" s="669">
        <f>+C19+D19</f>
        <v>11497</v>
      </c>
      <c r="F19" s="700"/>
      <c r="G19" s="1308"/>
      <c r="H19" s="1307"/>
      <c r="I19" s="669"/>
      <c r="J19" s="669">
        <f>108164-96667</f>
        <v>11497</v>
      </c>
      <c r="K19" s="570"/>
      <c r="L19" s="669"/>
      <c r="M19" s="669">
        <f>+F19+I19+J19-L19</f>
        <v>11497</v>
      </c>
      <c r="N19" s="784">
        <v>3</v>
      </c>
      <c r="P19" s="2368"/>
    </row>
    <row r="20" spans="1:16">
      <c r="A20" s="787">
        <v>4</v>
      </c>
      <c r="B20" s="11"/>
      <c r="C20" s="1305"/>
      <c r="D20" s="669"/>
      <c r="E20" s="669"/>
      <c r="F20" s="700"/>
      <c r="G20" s="1308"/>
      <c r="H20" s="1307"/>
      <c r="I20" s="669"/>
      <c r="J20" s="669"/>
      <c r="K20" s="570"/>
      <c r="L20" s="669"/>
      <c r="M20" s="669"/>
      <c r="N20" s="784">
        <v>4</v>
      </c>
    </row>
    <row r="21" spans="1:16">
      <c r="A21" s="787">
        <v>5</v>
      </c>
      <c r="B21" s="11"/>
      <c r="C21" s="1305"/>
      <c r="D21" s="669"/>
      <c r="E21" s="669"/>
      <c r="F21" s="700"/>
      <c r="G21" s="1308"/>
      <c r="H21" s="1307"/>
      <c r="I21" s="669"/>
      <c r="J21" s="669"/>
      <c r="K21" s="570"/>
      <c r="L21" s="669"/>
      <c r="M21" s="669"/>
      <c r="N21" s="784">
        <v>5</v>
      </c>
    </row>
    <row r="22" spans="1:16">
      <c r="A22" s="787">
        <v>6</v>
      </c>
      <c r="B22" s="11"/>
      <c r="C22" s="1305"/>
      <c r="D22" s="669"/>
      <c r="E22" s="669"/>
      <c r="F22" s="700"/>
      <c r="G22" s="1308"/>
      <c r="H22" s="1307"/>
      <c r="I22" s="669"/>
      <c r="J22" s="669"/>
      <c r="K22" s="570"/>
      <c r="L22" s="669"/>
      <c r="M22" s="669"/>
      <c r="N22" s="784">
        <v>6</v>
      </c>
    </row>
    <row r="23" spans="1:16">
      <c r="A23" s="787">
        <v>7</v>
      </c>
      <c r="B23" s="11"/>
      <c r="C23" s="1305"/>
      <c r="D23" s="669"/>
      <c r="E23" s="669"/>
      <c r="F23" s="700"/>
      <c r="G23" s="1308"/>
      <c r="H23" s="1307"/>
      <c r="I23" s="669"/>
      <c r="J23" s="669"/>
      <c r="K23" s="570"/>
      <c r="L23" s="669"/>
      <c r="M23" s="669"/>
      <c r="N23" s="784">
        <v>7</v>
      </c>
    </row>
    <row r="24" spans="1:16">
      <c r="A24" s="787">
        <v>8</v>
      </c>
      <c r="B24" s="11"/>
      <c r="C24" s="1305"/>
      <c r="D24" s="669"/>
      <c r="E24" s="669"/>
      <c r="F24" s="700"/>
      <c r="G24" s="1308"/>
      <c r="H24" s="1307"/>
      <c r="I24" s="669"/>
      <c r="J24" s="669"/>
      <c r="K24" s="570"/>
      <c r="L24" s="669"/>
      <c r="M24" s="669"/>
      <c r="N24" s="784">
        <v>8</v>
      </c>
    </row>
    <row r="25" spans="1:16">
      <c r="A25" s="787">
        <v>9</v>
      </c>
      <c r="B25" s="11"/>
      <c r="C25" s="1305"/>
      <c r="D25" s="669"/>
      <c r="E25" s="669"/>
      <c r="F25" s="700"/>
      <c r="G25" s="1308"/>
      <c r="H25" s="1307"/>
      <c r="I25" s="669"/>
      <c r="J25" s="669"/>
      <c r="K25" s="570"/>
      <c r="L25" s="669"/>
      <c r="M25" s="669"/>
      <c r="N25" s="784">
        <v>9</v>
      </c>
    </row>
    <row r="26" spans="1:16">
      <c r="A26" s="787">
        <v>10</v>
      </c>
      <c r="B26" s="11"/>
      <c r="C26" s="1305"/>
      <c r="D26" s="669"/>
      <c r="E26" s="669"/>
      <c r="F26" s="700"/>
      <c r="G26" s="1308"/>
      <c r="H26" s="1307"/>
      <c r="I26" s="669"/>
      <c r="J26" s="669"/>
      <c r="K26" s="570"/>
      <c r="L26" s="669"/>
      <c r="M26" s="669"/>
      <c r="N26" s="784">
        <v>10</v>
      </c>
    </row>
    <row r="27" spans="1:16">
      <c r="A27" s="787">
        <v>11</v>
      </c>
      <c r="B27" s="11"/>
      <c r="C27" s="1305"/>
      <c r="D27" s="669"/>
      <c r="E27" s="669"/>
      <c r="F27" s="700"/>
      <c r="G27" s="1308"/>
      <c r="H27" s="1307"/>
      <c r="I27" s="669"/>
      <c r="J27" s="669"/>
      <c r="K27" s="570"/>
      <c r="L27" s="669"/>
      <c r="M27" s="669"/>
      <c r="N27" s="784">
        <v>11</v>
      </c>
    </row>
    <row r="28" spans="1:16">
      <c r="A28" s="787">
        <v>12</v>
      </c>
      <c r="B28" s="11"/>
      <c r="C28" s="1305"/>
      <c r="D28" s="669"/>
      <c r="E28" s="669"/>
      <c r="F28" s="700"/>
      <c r="G28" s="400"/>
      <c r="H28" s="570"/>
      <c r="I28" s="669"/>
      <c r="J28" s="669"/>
      <c r="K28" s="570"/>
      <c r="L28" s="669"/>
      <c r="M28" s="669"/>
      <c r="N28" s="784">
        <v>12</v>
      </c>
    </row>
    <row r="29" spans="1:16">
      <c r="A29" s="787">
        <v>13</v>
      </c>
      <c r="B29" s="11"/>
      <c r="C29" s="1305"/>
      <c r="D29" s="669"/>
      <c r="E29" s="669"/>
      <c r="F29" s="700"/>
      <c r="G29" s="400"/>
      <c r="H29" s="570"/>
      <c r="I29" s="669"/>
      <c r="J29" s="669"/>
      <c r="K29" s="570"/>
      <c r="L29" s="669"/>
      <c r="M29" s="669"/>
      <c r="N29" s="784">
        <v>13</v>
      </c>
    </row>
    <row r="30" spans="1:16">
      <c r="A30" s="787">
        <v>14</v>
      </c>
      <c r="B30" s="11"/>
      <c r="C30" s="1305"/>
      <c r="D30" s="669"/>
      <c r="E30" s="669"/>
      <c r="F30" s="700"/>
      <c r="G30" s="400"/>
      <c r="H30" s="570"/>
      <c r="I30" s="669"/>
      <c r="J30" s="669"/>
      <c r="K30" s="570"/>
      <c r="L30" s="669"/>
      <c r="M30" s="669"/>
      <c r="N30" s="784">
        <v>14</v>
      </c>
    </row>
    <row r="31" spans="1:16">
      <c r="A31" s="787">
        <v>15</v>
      </c>
      <c r="B31" s="11"/>
      <c r="C31" s="1305"/>
      <c r="D31" s="669"/>
      <c r="E31" s="669"/>
      <c r="F31" s="700"/>
      <c r="G31" s="400"/>
      <c r="H31" s="570"/>
      <c r="I31" s="669"/>
      <c r="J31" s="669"/>
      <c r="K31" s="570"/>
      <c r="L31" s="669"/>
      <c r="M31" s="669"/>
      <c r="N31" s="784">
        <v>15</v>
      </c>
    </row>
    <row r="32" spans="1:16">
      <c r="A32" s="787">
        <v>16</v>
      </c>
      <c r="B32" s="11"/>
      <c r="C32" s="1305"/>
      <c r="D32" s="669"/>
      <c r="E32" s="669"/>
      <c r="F32" s="700"/>
      <c r="G32" s="400"/>
      <c r="H32" s="570"/>
      <c r="I32" s="669"/>
      <c r="J32" s="669"/>
      <c r="K32" s="570"/>
      <c r="L32" s="669"/>
      <c r="M32" s="669"/>
      <c r="N32" s="784">
        <v>16</v>
      </c>
    </row>
    <row r="33" spans="1:14">
      <c r="A33" s="787">
        <v>17</v>
      </c>
      <c r="B33" s="11"/>
      <c r="C33" s="1305"/>
      <c r="D33" s="669"/>
      <c r="E33" s="669"/>
      <c r="F33" s="700"/>
      <c r="G33" s="400"/>
      <c r="H33" s="570"/>
      <c r="I33" s="669"/>
      <c r="J33" s="669"/>
      <c r="K33" s="570"/>
      <c r="L33" s="669"/>
      <c r="M33" s="669"/>
      <c r="N33" s="784">
        <v>17</v>
      </c>
    </row>
    <row r="34" spans="1:14">
      <c r="A34" s="787">
        <v>18</v>
      </c>
      <c r="B34" s="11"/>
      <c r="C34" s="1305"/>
      <c r="D34" s="669"/>
      <c r="E34" s="669"/>
      <c r="F34" s="700"/>
      <c r="G34" s="400"/>
      <c r="H34" s="570"/>
      <c r="I34" s="669"/>
      <c r="J34" s="669"/>
      <c r="K34" s="570"/>
      <c r="L34" s="669"/>
      <c r="M34" s="669"/>
      <c r="N34" s="784">
        <v>18</v>
      </c>
    </row>
    <row r="35" spans="1:14">
      <c r="A35" s="787">
        <v>19</v>
      </c>
      <c r="B35" s="11"/>
      <c r="C35" s="1309"/>
      <c r="D35" s="1310"/>
      <c r="E35" s="1310"/>
      <c r="F35" s="700"/>
      <c r="G35" s="400"/>
      <c r="H35" s="570"/>
      <c r="I35" s="1310"/>
      <c r="J35" s="1310"/>
      <c r="K35" s="570"/>
      <c r="L35" s="1310"/>
      <c r="M35" s="1310"/>
      <c r="N35" s="784">
        <v>19</v>
      </c>
    </row>
    <row r="36" spans="1:14">
      <c r="A36" s="787">
        <v>20</v>
      </c>
      <c r="B36" s="623"/>
      <c r="C36" s="1305"/>
      <c r="D36" s="669"/>
      <c r="E36" s="669"/>
      <c r="F36" s="700"/>
      <c r="G36" s="400"/>
      <c r="H36" s="570"/>
      <c r="I36" s="669"/>
      <c r="J36" s="669"/>
      <c r="K36" s="570"/>
      <c r="L36" s="669"/>
      <c r="M36" s="669"/>
      <c r="N36" s="784">
        <v>20</v>
      </c>
    </row>
    <row r="37" spans="1:14">
      <c r="A37" s="787">
        <v>21</v>
      </c>
      <c r="B37" s="11"/>
      <c r="C37" s="1305"/>
      <c r="D37" s="669"/>
      <c r="E37" s="669"/>
      <c r="F37" s="700"/>
      <c r="G37" s="400"/>
      <c r="H37" s="570"/>
      <c r="I37" s="669"/>
      <c r="J37" s="669"/>
      <c r="K37" s="570"/>
      <c r="L37" s="669"/>
      <c r="M37" s="669"/>
      <c r="N37" s="784">
        <v>21</v>
      </c>
    </row>
    <row r="38" spans="1:14">
      <c r="A38" s="787">
        <v>22</v>
      </c>
      <c r="B38" s="11"/>
      <c r="C38" s="1305"/>
      <c r="D38" s="669"/>
      <c r="E38" s="669"/>
      <c r="F38" s="700"/>
      <c r="G38" s="400"/>
      <c r="H38" s="570"/>
      <c r="I38" s="669"/>
      <c r="J38" s="669"/>
      <c r="K38" s="570"/>
      <c r="L38" s="669"/>
      <c r="M38" s="669"/>
      <c r="N38" s="784">
        <v>22</v>
      </c>
    </row>
    <row r="39" spans="1:14">
      <c r="A39" s="787">
        <v>23</v>
      </c>
      <c r="B39" s="11"/>
      <c r="C39" s="1305"/>
      <c r="D39" s="669"/>
      <c r="E39" s="669"/>
      <c r="F39" s="700"/>
      <c r="G39" s="400"/>
      <c r="H39" s="570"/>
      <c r="I39" s="669"/>
      <c r="J39" s="669"/>
      <c r="K39" s="570"/>
      <c r="L39" s="669"/>
      <c r="M39" s="669"/>
      <c r="N39" s="784">
        <v>23</v>
      </c>
    </row>
    <row r="40" spans="1:14">
      <c r="A40" s="787">
        <v>24</v>
      </c>
      <c r="B40" s="11"/>
      <c r="C40" s="1305"/>
      <c r="D40" s="669"/>
      <c r="E40" s="669"/>
      <c r="F40" s="700"/>
      <c r="G40" s="400"/>
      <c r="H40" s="570"/>
      <c r="I40" s="669"/>
      <c r="J40" s="669"/>
      <c r="K40" s="570"/>
      <c r="L40" s="669"/>
      <c r="M40" s="669"/>
      <c r="N40" s="784">
        <v>24</v>
      </c>
    </row>
    <row r="41" spans="1:14">
      <c r="A41" s="787">
        <v>25</v>
      </c>
      <c r="B41" s="11"/>
      <c r="C41" s="1305"/>
      <c r="D41" s="669"/>
      <c r="E41" s="669"/>
      <c r="F41" s="700"/>
      <c r="G41" s="400"/>
      <c r="H41" s="570"/>
      <c r="I41" s="669"/>
      <c r="J41" s="669"/>
      <c r="K41" s="570"/>
      <c r="L41" s="669"/>
      <c r="M41" s="669"/>
      <c r="N41" s="784">
        <v>25</v>
      </c>
    </row>
    <row r="42" spans="1:14">
      <c r="A42" s="787">
        <v>26</v>
      </c>
      <c r="B42" s="11"/>
      <c r="C42" s="1305"/>
      <c r="D42" s="669"/>
      <c r="E42" s="669"/>
      <c r="F42" s="700"/>
      <c r="G42" s="400"/>
      <c r="H42" s="570"/>
      <c r="I42" s="669"/>
      <c r="J42" s="669"/>
      <c r="K42" s="570"/>
      <c r="L42" s="669"/>
      <c r="M42" s="669"/>
      <c r="N42" s="784">
        <v>26</v>
      </c>
    </row>
    <row r="43" spans="1:14">
      <c r="A43" s="787">
        <v>27</v>
      </c>
      <c r="B43" s="11"/>
      <c r="C43" s="1305"/>
      <c r="D43" s="669"/>
      <c r="E43" s="669"/>
      <c r="F43" s="700"/>
      <c r="G43" s="400"/>
      <c r="H43" s="570"/>
      <c r="I43" s="669"/>
      <c r="J43" s="669"/>
      <c r="K43" s="570"/>
      <c r="L43" s="669"/>
      <c r="M43" s="669"/>
      <c r="N43" s="784">
        <v>27</v>
      </c>
    </row>
    <row r="44" spans="1:14">
      <c r="A44" s="787">
        <v>28</v>
      </c>
      <c r="B44" s="11"/>
      <c r="C44" s="1305"/>
      <c r="D44" s="669"/>
      <c r="E44" s="669"/>
      <c r="F44" s="700"/>
      <c r="G44" s="400"/>
      <c r="H44" s="570"/>
      <c r="I44" s="669"/>
      <c r="J44" s="669"/>
      <c r="K44" s="570"/>
      <c r="L44" s="669"/>
      <c r="M44" s="669"/>
      <c r="N44" s="784">
        <v>28</v>
      </c>
    </row>
    <row r="45" spans="1:14">
      <c r="A45" s="787">
        <v>29</v>
      </c>
      <c r="B45" s="11"/>
      <c r="C45" s="1305"/>
      <c r="D45" s="669"/>
      <c r="E45" s="669"/>
      <c r="F45" s="700"/>
      <c r="G45" s="400"/>
      <c r="H45" s="570"/>
      <c r="I45" s="669"/>
      <c r="J45" s="669"/>
      <c r="K45" s="570"/>
      <c r="L45" s="669"/>
      <c r="M45" s="669"/>
      <c r="N45" s="784">
        <v>29</v>
      </c>
    </row>
    <row r="46" spans="1:14">
      <c r="A46" s="787">
        <v>30</v>
      </c>
      <c r="B46" s="11"/>
      <c r="C46" s="1305"/>
      <c r="D46" s="669"/>
      <c r="E46" s="669"/>
      <c r="F46" s="700"/>
      <c r="G46" s="400"/>
      <c r="H46" s="570"/>
      <c r="I46" s="669"/>
      <c r="J46" s="669"/>
      <c r="K46" s="570"/>
      <c r="L46" s="669"/>
      <c r="M46" s="669"/>
      <c r="N46" s="784">
        <v>30</v>
      </c>
    </row>
    <row r="47" spans="1:14">
      <c r="A47" s="787">
        <v>31</v>
      </c>
      <c r="B47" s="11"/>
      <c r="C47" s="1309"/>
      <c r="D47" s="1310"/>
      <c r="E47" s="1310"/>
      <c r="F47" s="700"/>
      <c r="G47" s="400"/>
      <c r="H47" s="570"/>
      <c r="I47" s="1310"/>
      <c r="J47" s="1310"/>
      <c r="K47" s="570"/>
      <c r="L47" s="1310"/>
      <c r="M47" s="1310"/>
      <c r="N47" s="784">
        <v>31</v>
      </c>
    </row>
    <row r="48" spans="1:14">
      <c r="A48" s="787">
        <v>32</v>
      </c>
      <c r="B48" s="623"/>
      <c r="C48" s="1305"/>
      <c r="D48" s="669"/>
      <c r="E48" s="669"/>
      <c r="F48" s="700"/>
      <c r="G48" s="400"/>
      <c r="H48" s="570"/>
      <c r="I48" s="669"/>
      <c r="J48" s="669"/>
      <c r="K48" s="570"/>
      <c r="L48" s="669"/>
      <c r="M48" s="669"/>
      <c r="N48" s="784">
        <v>32</v>
      </c>
    </row>
    <row r="49" spans="1:14">
      <c r="A49" s="787">
        <v>33</v>
      </c>
      <c r="B49" s="11"/>
      <c r="C49" s="1305"/>
      <c r="D49" s="669"/>
      <c r="E49" s="669"/>
      <c r="F49" s="700"/>
      <c r="G49" s="400"/>
      <c r="H49" s="570"/>
      <c r="I49" s="669"/>
      <c r="J49" s="669"/>
      <c r="K49" s="570"/>
      <c r="L49" s="669"/>
      <c r="M49" s="669"/>
      <c r="N49" s="784">
        <v>33</v>
      </c>
    </row>
    <row r="50" spans="1:14">
      <c r="A50" s="787">
        <v>34</v>
      </c>
      <c r="B50" s="11"/>
      <c r="C50" s="1305"/>
      <c r="D50" s="669"/>
      <c r="E50" s="669"/>
      <c r="F50" s="700"/>
      <c r="G50" s="400"/>
      <c r="H50" s="570"/>
      <c r="I50" s="669"/>
      <c r="J50" s="669"/>
      <c r="K50" s="570"/>
      <c r="L50" s="669"/>
      <c r="M50" s="669"/>
      <c r="N50" s="784">
        <v>34</v>
      </c>
    </row>
    <row r="51" spans="1:14">
      <c r="A51" s="787">
        <v>35</v>
      </c>
      <c r="B51" s="11"/>
      <c r="C51" s="1305"/>
      <c r="D51" s="669"/>
      <c r="E51" s="669"/>
      <c r="F51" s="700"/>
      <c r="G51" s="400"/>
      <c r="H51" s="570"/>
      <c r="I51" s="669"/>
      <c r="J51" s="669"/>
      <c r="K51" s="570"/>
      <c r="L51" s="669"/>
      <c r="M51" s="669"/>
      <c r="N51" s="784">
        <v>35</v>
      </c>
    </row>
    <row r="52" spans="1:14">
      <c r="A52" s="787">
        <v>36</v>
      </c>
      <c r="B52" s="11"/>
      <c r="C52" s="1305"/>
      <c r="D52" s="669"/>
      <c r="E52" s="669"/>
      <c r="F52" s="700"/>
      <c r="G52" s="400"/>
      <c r="H52" s="570"/>
      <c r="I52" s="669"/>
      <c r="J52" s="669"/>
      <c r="K52" s="570"/>
      <c r="L52" s="669"/>
      <c r="M52" s="669"/>
      <c r="N52" s="784">
        <v>36</v>
      </c>
    </row>
    <row r="53" spans="1:14">
      <c r="A53" s="787">
        <v>37</v>
      </c>
      <c r="B53" s="11"/>
      <c r="C53" s="1305"/>
      <c r="D53" s="669"/>
      <c r="E53" s="669"/>
      <c r="F53" s="700"/>
      <c r="G53" s="400"/>
      <c r="H53" s="570"/>
      <c r="I53" s="669"/>
      <c r="J53" s="669"/>
      <c r="K53" s="570"/>
      <c r="L53" s="669"/>
      <c r="M53" s="669"/>
      <c r="N53" s="784">
        <v>37</v>
      </c>
    </row>
    <row r="54" spans="1:14">
      <c r="A54" s="787">
        <v>38</v>
      </c>
      <c r="B54" s="11"/>
      <c r="C54" s="1305"/>
      <c r="D54" s="669"/>
      <c r="E54" s="669"/>
      <c r="F54" s="700"/>
      <c r="G54" s="400"/>
      <c r="H54" s="570"/>
      <c r="I54" s="669"/>
      <c r="J54" s="669"/>
      <c r="K54" s="570"/>
      <c r="L54" s="669"/>
      <c r="M54" s="669"/>
      <c r="N54" s="784">
        <v>38</v>
      </c>
    </row>
    <row r="55" spans="1:14">
      <c r="A55" s="787">
        <v>39</v>
      </c>
      <c r="B55" s="11"/>
      <c r="C55" s="1305"/>
      <c r="D55" s="669"/>
      <c r="E55" s="669"/>
      <c r="F55" s="700"/>
      <c r="G55" s="400"/>
      <c r="H55" s="570"/>
      <c r="I55" s="669"/>
      <c r="J55" s="669"/>
      <c r="K55" s="570"/>
      <c r="L55" s="669"/>
      <c r="M55" s="669"/>
      <c r="N55" s="784">
        <v>39</v>
      </c>
    </row>
    <row r="56" spans="1:14">
      <c r="A56" s="787">
        <v>40</v>
      </c>
      <c r="B56" s="11"/>
      <c r="C56" s="1305"/>
      <c r="D56" s="669"/>
      <c r="E56" s="669"/>
      <c r="F56" s="700"/>
      <c r="G56" s="400"/>
      <c r="H56" s="570"/>
      <c r="I56" s="669"/>
      <c r="J56" s="669"/>
      <c r="K56" s="570"/>
      <c r="L56" s="669"/>
      <c r="M56" s="669"/>
      <c r="N56" s="784">
        <v>40</v>
      </c>
    </row>
    <row r="57" spans="1:14">
      <c r="A57" s="787">
        <v>41</v>
      </c>
      <c r="B57" s="11"/>
      <c r="C57" s="1305"/>
      <c r="D57" s="669"/>
      <c r="E57" s="669"/>
      <c r="F57" s="700"/>
      <c r="G57" s="400"/>
      <c r="H57" s="570"/>
      <c r="I57" s="669"/>
      <c r="J57" s="669"/>
      <c r="K57" s="570"/>
      <c r="L57" s="669"/>
      <c r="M57" s="669"/>
      <c r="N57" s="784">
        <v>41</v>
      </c>
    </row>
    <row r="58" spans="1:14">
      <c r="A58" s="787">
        <v>42</v>
      </c>
      <c r="B58" s="11"/>
      <c r="C58" s="1305"/>
      <c r="D58" s="669"/>
      <c r="E58" s="669"/>
      <c r="F58" s="700"/>
      <c r="G58" s="400"/>
      <c r="H58" s="570"/>
      <c r="I58" s="669"/>
      <c r="J58" s="669"/>
      <c r="K58" s="570"/>
      <c r="L58" s="669"/>
      <c r="M58" s="669"/>
      <c r="N58" s="784">
        <v>42</v>
      </c>
    </row>
    <row r="59" spans="1:14">
      <c r="A59" s="787">
        <v>43</v>
      </c>
      <c r="B59" s="11"/>
      <c r="C59" s="1305"/>
      <c r="D59" s="669"/>
      <c r="E59" s="669"/>
      <c r="F59" s="700"/>
      <c r="G59" s="400"/>
      <c r="H59" s="570"/>
      <c r="I59" s="669"/>
      <c r="J59" s="669"/>
      <c r="K59" s="570"/>
      <c r="L59" s="669"/>
      <c r="M59" s="669"/>
      <c r="N59" s="784">
        <v>43</v>
      </c>
    </row>
    <row r="60" spans="1:14">
      <c r="A60" s="787">
        <v>44</v>
      </c>
      <c r="B60" s="11"/>
      <c r="C60" s="1305"/>
      <c r="D60" s="669"/>
      <c r="E60" s="669"/>
      <c r="F60" s="700"/>
      <c r="G60" s="400"/>
      <c r="H60" s="570"/>
      <c r="I60" s="669"/>
      <c r="J60" s="669"/>
      <c r="K60" s="570"/>
      <c r="L60" s="669"/>
      <c r="M60" s="669"/>
      <c r="N60" s="784">
        <v>44</v>
      </c>
    </row>
    <row r="61" spans="1:14">
      <c r="A61" s="518">
        <v>45</v>
      </c>
      <c r="B61" s="11"/>
      <c r="C61" s="1311"/>
      <c r="D61" s="1312"/>
      <c r="E61" s="1312"/>
      <c r="F61" s="594"/>
      <c r="G61" s="93"/>
      <c r="H61" s="570"/>
      <c r="I61" s="1312"/>
      <c r="J61" s="1312"/>
      <c r="K61" s="570"/>
      <c r="L61" s="1312"/>
      <c r="M61" s="1312"/>
      <c r="N61" s="784">
        <v>45</v>
      </c>
    </row>
    <row r="62" spans="1:14" ht="15.75" thickBot="1">
      <c r="A62" s="1313">
        <v>46</v>
      </c>
      <c r="B62" s="1314" t="s">
        <v>1135</v>
      </c>
      <c r="C62" s="1315">
        <f>SUM(C17:C61)</f>
        <v>0</v>
      </c>
      <c r="D62" s="1315">
        <f>SUM(D17:D61)</f>
        <v>11497</v>
      </c>
      <c r="E62" s="1315">
        <f>SUM(E17:E61)</f>
        <v>11497</v>
      </c>
      <c r="F62" s="597">
        <f>SUM(F17:F61)</f>
        <v>174000</v>
      </c>
      <c r="G62" s="1316"/>
      <c r="H62" s="1317"/>
      <c r="I62" s="1315">
        <f>SUM(I17:I61)</f>
        <v>0</v>
      </c>
      <c r="J62" s="1315">
        <f>SUM(J17:J61)</f>
        <v>11497</v>
      </c>
      <c r="K62" s="1317"/>
      <c r="L62" s="1315">
        <f>SUM(L17:L61)</f>
        <v>77333</v>
      </c>
      <c r="M62" s="1315">
        <f>SUM(M17:M61)</f>
        <v>108164</v>
      </c>
      <c r="N62" s="1318">
        <v>46</v>
      </c>
    </row>
    <row r="63" spans="1:14" ht="15.75">
      <c r="A63" s="11" t="s">
        <v>4066</v>
      </c>
      <c r="B63" s="11"/>
      <c r="C63" s="484" t="s">
        <v>4373</v>
      </c>
      <c r="D63" s="11"/>
      <c r="E63" s="11"/>
      <c r="F63" s="11"/>
      <c r="G63" s="11"/>
      <c r="H63" s="11"/>
      <c r="I63" s="484"/>
      <c r="J63" s="484" t="s">
        <v>4373</v>
      </c>
      <c r="M63" t="s">
        <v>4066</v>
      </c>
    </row>
    <row r="64" spans="1:14">
      <c r="A64" s="131" t="s">
        <v>1178</v>
      </c>
      <c r="B64" s="131"/>
      <c r="C64" s="131"/>
      <c r="D64" s="131"/>
      <c r="E64" s="131"/>
      <c r="F64" s="131"/>
      <c r="G64" s="131" t="s">
        <v>1179</v>
      </c>
      <c r="H64" s="131"/>
      <c r="I64" s="131"/>
      <c r="J64" s="131"/>
      <c r="K64" s="131"/>
      <c r="L64" s="131"/>
      <c r="M64" s="131"/>
      <c r="N64" s="131"/>
    </row>
    <row r="72" spans="1:7">
      <c r="A72" s="11"/>
      <c r="B72" s="11"/>
      <c r="C72" s="11"/>
      <c r="D72" s="11"/>
      <c r="E72" s="11"/>
      <c r="F72" s="11"/>
      <c r="G72" s="771"/>
    </row>
    <row r="99" spans="1:1">
      <c r="A99" s="771"/>
    </row>
  </sheetData>
  <customSheetViews>
    <customSheetView guid="{1BA452AD-1A45-4D9C-9666-ADFFA6F2F567}" scale="75" colorId="22" showPageBreaks="1" fitToPage="1" printArea="1" view="pageBreakPreview">
      <selection activeCell="I56" sqref="I56"/>
      <colBreaks count="1" manualBreakCount="1">
        <brk id="6" max="1048575" man="1"/>
      </colBreaks>
      <pageMargins left="0.75" right="0.4" top="0.3" bottom="0.3" header="0.5" footer="0.5"/>
      <pageSetup scale="50" orientation="landscape" r:id="rId1"/>
      <headerFooter alignWithMargins="0"/>
    </customSheetView>
    <customSheetView guid="{EEF7ABD6-0F96-4791-B749-C06F707E7673}" scale="75" colorId="22" showPageBreaks="1" fitToPage="1" printArea="1" view="pageBreakPreview" showRuler="0">
      <selection activeCell="A17" sqref="A17"/>
      <colBreaks count="1" manualBreakCount="1">
        <brk id="6" max="1048575" man="1"/>
      </colBreaks>
      <pageMargins left="0.75" right="0.4" top="0.3" bottom="0.3" header="0.5" footer="0.5"/>
      <pageSetup scale="50" orientation="landscape" r:id="rId2"/>
      <headerFooter alignWithMargins="0"/>
    </customSheetView>
    <customSheetView guid="{A7D7DB3C-AFE6-468E-8C6B-9531F6711497}" colorId="22" showPageBreaks="1" printArea="1" view="pageBreakPreview" showRuler="0">
      <selection activeCell="A18" sqref="A18"/>
      <colBreaks count="1" manualBreakCount="1">
        <brk id="6" max="1048575" man="1"/>
      </colBreaks>
      <pageMargins left="0.75" right="0.4" top="0.3" bottom="0.3" header="0.5" footer="0.5"/>
      <pageSetup scale="74" fitToWidth="2" orientation="portrait" r:id="rId3"/>
      <headerFooter alignWithMargins="0"/>
    </customSheetView>
    <customSheetView guid="{4436FEB5-BFEC-4348-9286-CB706802873E}" colorId="22" showPageBreaks="1" printArea="1" view="pageBreakPreview" showRuler="0">
      <selection activeCell="A18" sqref="A18"/>
      <colBreaks count="1" manualBreakCount="1">
        <brk id="6" max="1048575" man="1"/>
      </colBreaks>
      <pageMargins left="0.75" right="0.4" top="0.3" bottom="0.3" header="0.5" footer="0.5"/>
      <pageSetup scale="74" fitToWidth="2" orientation="portrait" r:id="rId4"/>
      <headerFooter alignWithMargins="0"/>
    </customSheetView>
    <customSheetView guid="{044CF00C-469F-44B3-B2C4-9B4049CE70CB}" scale="60" colorId="22" showPageBreaks="1" printArea="1" view="pageBreakPreview" showRuler="0">
      <selection activeCell="A2" sqref="A2"/>
      <colBreaks count="1" manualBreakCount="1">
        <brk id="6" max="1048575" man="1"/>
      </colBreaks>
      <pageMargins left="0.75" right="0.4" top="0.3" bottom="0.3" header="0.5" footer="0.5"/>
      <pageSetup scale="74" fitToWidth="2" orientation="portrait" r:id="rId5"/>
      <headerFooter alignWithMargins="0"/>
    </customSheetView>
    <customSheetView guid="{4826FCC0-BDD6-4B2C-ACC6-ACE271DDF0E3}" scale="75" colorId="22" showPageBreaks="1" fitToPage="1" printArea="1" view="pageBreakPreview" showRuler="0" topLeftCell="D1">
      <selection activeCell="A17" sqref="A17"/>
      <colBreaks count="1" manualBreakCount="1">
        <brk id="6" max="1048575" man="1"/>
      </colBreaks>
      <pageMargins left="0.75" right="0.4" top="0.3" bottom="0.3" header="0.5" footer="0.5"/>
      <pageSetup scale="50" orientation="landscape" r:id="rId6"/>
      <headerFooter alignWithMargins="0"/>
    </customSheetView>
    <customSheetView guid="{EF376D10-23D6-4FE2-AB5B-4460D52CC93F}" scale="75" colorId="22" showPageBreaks="1" fitToPage="1" printArea="1" view="pageBreakPreview" showRuler="0">
      <selection activeCell="A17" sqref="A17"/>
      <colBreaks count="1" manualBreakCount="1">
        <brk id="6" max="1048575" man="1"/>
      </colBreaks>
      <pageMargins left="0.75" right="0.4" top="0.3" bottom="0.3" header="0.5" footer="0.5"/>
      <pageSetup scale="50" orientation="landscape" r:id="rId7"/>
      <headerFooter alignWithMargins="0"/>
    </customSheetView>
    <customSheetView guid="{1C046605-15CE-44F1-BFCD-2CA8588E7ACF}" scale="75" colorId="22" showPageBreaks="1" fitToPage="1" printArea="1" view="pageBreakPreview" showRuler="0" topLeftCell="A2">
      <selection activeCell="E44" sqref="E44"/>
      <colBreaks count="1" manualBreakCount="1">
        <brk id="6" max="1048575" man="1"/>
      </colBreaks>
      <pageMargins left="0.75" right="0.4" top="0.3" bottom="0.3" header="0.5" footer="0.5"/>
      <pageSetup scale="50" orientation="landscape" r:id="rId8"/>
      <headerFooter alignWithMargins="0"/>
    </customSheetView>
    <customSheetView guid="{3911D713-188C-46A1-A299-F21DD3B7A146}" scale="75" colorId="22" showPageBreaks="1" fitToPage="1" printArea="1" view="pageBreakPreview" showRuler="0" topLeftCell="A2">
      <selection activeCell="E44" sqref="E44"/>
      <colBreaks count="1" manualBreakCount="1">
        <brk id="6" max="1048575" man="1"/>
      </colBreaks>
      <pageMargins left="0.75" right="0.4" top="0.3" bottom="0.3" header="0.5" footer="0.5"/>
      <pageSetup scale="50" orientation="landscape" r:id="rId9"/>
      <headerFooter alignWithMargins="0"/>
    </customSheetView>
    <customSheetView guid="{78BB1E60-60BE-4F56-9763-075185EFEFAB}" scale="75" colorId="22" showPageBreaks="1" fitToPage="1" printArea="1" view="pageBreakPreview">
      <selection activeCell="R28" sqref="R28"/>
      <colBreaks count="1" manualBreakCount="1">
        <brk id="6" max="1048575" man="1"/>
      </colBreaks>
      <pageMargins left="0.22" right="0.17" top="0.3" bottom="0.3" header="0.5" footer="0.5"/>
      <pageSetup scale="54" orientation="landscape" r:id="rId10"/>
      <headerFooter alignWithMargins="0"/>
    </customSheetView>
    <customSheetView guid="{9C30803E-1E2D-4850-B0A5-591CA6F246A1}" scale="75" colorId="22" showPageBreaks="1" fitToPage="1" printArea="1" view="pageBreakPreview">
      <selection activeCell="R28" sqref="R28"/>
      <colBreaks count="1" manualBreakCount="1">
        <brk id="6" max="1048575" man="1"/>
      </colBreaks>
      <pageMargins left="0.22" right="0.17" top="0.3" bottom="0.3" header="0.5" footer="0.5"/>
      <pageSetup scale="54" orientation="landscape" r:id="rId11"/>
      <headerFooter alignWithMargins="0"/>
    </customSheetView>
    <customSheetView guid="{3B1006FF-A2CA-49E7-9B25-DAC8815279AF}" scale="75" colorId="22" showPageBreaks="1" fitToPage="1" printArea="1" view="pageBreakPreview">
      <selection activeCell="R28" sqref="R28"/>
      <colBreaks count="1" manualBreakCount="1">
        <brk id="6" max="1048575" man="1"/>
      </colBreaks>
      <pageMargins left="0.22" right="0.17" top="0.3" bottom="0.3" header="0.5" footer="0.5"/>
      <pageSetup scale="54" orientation="landscape" r:id="rId12"/>
      <headerFooter alignWithMargins="0"/>
    </customSheetView>
    <customSheetView guid="{FB1A60C8-E1F9-4DF0-8E0E-1C965F86027F}" scale="75" colorId="22" showPageBreaks="1" fitToPage="1" printArea="1" view="pageBreakPreview">
      <selection activeCell="R28" sqref="R28"/>
      <colBreaks count="1" manualBreakCount="1">
        <brk id="6" max="1048575" man="1"/>
      </colBreaks>
      <pageMargins left="0.22" right="0.17" top="0.3" bottom="0.3" header="0.5" footer="0.5"/>
      <pageSetup scale="54" orientation="landscape" r:id="rId13"/>
      <headerFooter alignWithMargins="0"/>
    </customSheetView>
    <customSheetView guid="{C5B6D812-CBE6-46AA-99F7-02494E9802B4}" scale="70" colorId="22" showPageBreaks="1" fitToPage="1" printArea="1" view="pageBreakPreview">
      <selection activeCell="K19" sqref="K19"/>
      <colBreaks count="1" manualBreakCount="1">
        <brk id="6" max="1048575" man="1"/>
      </colBreaks>
      <pageMargins left="0.22" right="0.17" top="0.3" bottom="0.3" header="0.5" footer="0.5"/>
      <pageSetup scale="54" orientation="landscape" r:id="rId14"/>
      <headerFooter alignWithMargins="0"/>
    </customSheetView>
  </customSheetViews>
  <phoneticPr fontId="0" type="noConversion"/>
  <pageMargins left="0.22" right="0.17" top="0.3" bottom="0.3" header="0.5" footer="0.5"/>
  <pageSetup scale="54" orientation="landscape" r:id="rId15"/>
  <headerFooter alignWithMargins="0"/>
  <colBreaks count="1" manualBreakCount="1">
    <brk id="6" max="1048575" man="1"/>
  </colBreaks>
  <customProperties>
    <customPr name="_pios_id" r:id="rId16"/>
  </customProperties>
</worksheet>
</file>

<file path=xl/worksheets/sheet62.xml><?xml version="1.0" encoding="utf-8"?>
<worksheet xmlns="http://schemas.openxmlformats.org/spreadsheetml/2006/main" xmlns:r="http://schemas.openxmlformats.org/officeDocument/2006/relationships">
  <sheetPr transitionEvaluation="1" codeName="Sheet61" enableFormatConditionsCalculation="0"/>
  <dimension ref="A1:N130"/>
  <sheetViews>
    <sheetView defaultGridColor="0" colorId="22" zoomScale="70" zoomScaleNormal="70" workbookViewId="0"/>
  </sheetViews>
  <sheetFormatPr defaultColWidth="9.77734375" defaultRowHeight="15"/>
  <cols>
    <col min="1" max="1" width="4.77734375" customWidth="1"/>
    <col min="2" max="2" width="25.77734375" customWidth="1"/>
    <col min="3" max="4" width="24.77734375" customWidth="1"/>
    <col min="5" max="5" width="23.77734375" customWidth="1"/>
    <col min="6" max="6" width="1.77734375" customWidth="1"/>
    <col min="7" max="7" width="21.77734375" customWidth="1"/>
    <col min="8" max="8" width="23.77734375" customWidth="1"/>
    <col min="10" max="10" width="25.77734375" customWidth="1"/>
    <col min="11" max="11" width="18.77734375" customWidth="1"/>
    <col min="12" max="12" width="4.77734375" customWidth="1"/>
  </cols>
  <sheetData>
    <row r="1" spans="1:13" ht="15.75" thickBot="1">
      <c r="A1" s="186" t="str">
        <f>'Data sheet'!$A$53</f>
        <v>Annual Report of New York American Water Company, Inc. (f/k/a Long Island Water Corp)                                   Year Ended  December 31, 2013</v>
      </c>
      <c r="B1" s="1621"/>
      <c r="C1" s="1621"/>
      <c r="D1" s="1621"/>
      <c r="E1" s="1621"/>
      <c r="F1" s="186" t="str">
        <f>'Data sheet'!$A$53</f>
        <v>Annual Report of New York American Water Company, Inc. (f/k/a Long Island Water Corp)                                   Year Ended  December 31, 2013</v>
      </c>
      <c r="G1" s="1621"/>
      <c r="J1" s="1633"/>
      <c r="K1" s="1633"/>
      <c r="L1" s="1633"/>
    </row>
    <row r="2" spans="1:13">
      <c r="A2" s="90"/>
      <c r="B2" s="91"/>
      <c r="C2" s="91"/>
      <c r="D2" s="91"/>
      <c r="E2" s="92"/>
      <c r="F2" s="90"/>
      <c r="G2" s="91"/>
      <c r="H2" s="91"/>
      <c r="I2" s="91"/>
      <c r="J2" s="91"/>
      <c r="K2" s="91"/>
      <c r="L2" s="92"/>
      <c r="M2" s="93"/>
    </row>
    <row r="3" spans="1:13" ht="16.5" thickBot="1">
      <c r="A3" s="1319" t="s">
        <v>1180</v>
      </c>
      <c r="B3" s="1320"/>
      <c r="C3" s="139"/>
      <c r="D3" s="139"/>
      <c r="E3" s="140"/>
      <c r="F3" s="1319" t="s">
        <v>1181</v>
      </c>
      <c r="G3" s="1320"/>
      <c r="H3" s="1320"/>
      <c r="I3" s="139"/>
      <c r="J3" s="139"/>
      <c r="K3" s="139"/>
      <c r="L3" s="339"/>
      <c r="M3" s="93"/>
    </row>
    <row r="4" spans="1:13" ht="15.75">
      <c r="A4" s="130"/>
      <c r="B4" s="94"/>
      <c r="C4" s="131"/>
      <c r="D4" s="131"/>
      <c r="E4" s="132"/>
      <c r="F4" s="130"/>
      <c r="G4" s="94"/>
      <c r="H4" s="94"/>
      <c r="I4" s="131"/>
      <c r="J4" s="131"/>
      <c r="K4" s="131"/>
      <c r="L4" s="338"/>
    </row>
    <row r="5" spans="1:13">
      <c r="A5" s="93" t="s">
        <v>1182</v>
      </c>
      <c r="B5" s="11"/>
      <c r="C5" s="11"/>
      <c r="D5" s="11" t="s">
        <v>3944</v>
      </c>
      <c r="E5" s="338"/>
      <c r="F5" s="93"/>
      <c r="G5" s="11" t="s">
        <v>3945</v>
      </c>
      <c r="H5" s="11"/>
      <c r="I5" s="11"/>
      <c r="J5" s="11" t="s">
        <v>3946</v>
      </c>
      <c r="K5" s="11"/>
      <c r="L5" s="338"/>
    </row>
    <row r="6" spans="1:13">
      <c r="A6" s="93" t="s">
        <v>3947</v>
      </c>
      <c r="B6" s="11"/>
      <c r="C6" s="11"/>
      <c r="D6" s="11" t="s">
        <v>3948</v>
      </c>
      <c r="E6" s="338"/>
      <c r="F6" s="93"/>
      <c r="G6" s="11" t="s">
        <v>3949</v>
      </c>
      <c r="H6" s="11"/>
      <c r="I6" s="11"/>
      <c r="J6" s="11" t="s">
        <v>814</v>
      </c>
      <c r="K6" s="11"/>
      <c r="L6" s="338"/>
    </row>
    <row r="7" spans="1:13">
      <c r="A7" s="93" t="s">
        <v>815</v>
      </c>
      <c r="B7" s="11"/>
      <c r="C7" s="11"/>
      <c r="D7" s="11" t="s">
        <v>3610</v>
      </c>
      <c r="E7" s="338"/>
      <c r="F7" s="93"/>
      <c r="G7" s="11" t="s">
        <v>2632</v>
      </c>
      <c r="H7" s="11"/>
      <c r="I7" s="11"/>
      <c r="J7" s="11" t="s">
        <v>4371</v>
      </c>
      <c r="K7" s="11"/>
      <c r="L7" s="338"/>
    </row>
    <row r="8" spans="1:13">
      <c r="A8" s="93" t="s">
        <v>55</v>
      </c>
      <c r="B8" s="11"/>
      <c r="C8" s="11"/>
      <c r="D8" s="11" t="s">
        <v>56</v>
      </c>
      <c r="E8" s="338"/>
      <c r="F8" s="93"/>
      <c r="G8" s="11" t="s">
        <v>821</v>
      </c>
      <c r="H8" s="11"/>
      <c r="I8" s="11"/>
      <c r="J8" s="11" t="s">
        <v>2886</v>
      </c>
      <c r="K8" s="11"/>
      <c r="L8" s="338"/>
    </row>
    <row r="9" spans="1:13">
      <c r="A9" s="93" t="s">
        <v>2887</v>
      </c>
      <c r="B9" s="11"/>
      <c r="C9" s="11"/>
      <c r="D9" s="11" t="s">
        <v>1718</v>
      </c>
      <c r="E9" s="338"/>
      <c r="F9" s="93"/>
      <c r="G9" s="11" t="s">
        <v>1719</v>
      </c>
      <c r="H9" s="11"/>
      <c r="I9" s="11"/>
      <c r="J9" s="11" t="s">
        <v>1720</v>
      </c>
      <c r="K9" s="11"/>
      <c r="L9" s="338"/>
    </row>
    <row r="10" spans="1:13">
      <c r="A10" s="93" t="s">
        <v>1721</v>
      </c>
      <c r="B10" s="11"/>
      <c r="C10" s="11"/>
      <c r="D10" s="11" t="s">
        <v>1722</v>
      </c>
      <c r="E10" s="338"/>
      <c r="F10" s="93"/>
      <c r="G10" s="11" t="s">
        <v>1723</v>
      </c>
      <c r="H10" s="11"/>
      <c r="I10" s="11"/>
      <c r="J10" s="11"/>
      <c r="K10" s="11"/>
      <c r="L10" s="338"/>
    </row>
    <row r="11" spans="1:13">
      <c r="A11" s="93" t="s">
        <v>2709</v>
      </c>
      <c r="B11" s="11"/>
      <c r="C11" s="11"/>
      <c r="D11" s="11" t="s">
        <v>775</v>
      </c>
      <c r="E11" s="338"/>
      <c r="F11" s="93"/>
      <c r="G11" s="11" t="s">
        <v>776</v>
      </c>
      <c r="H11" s="11"/>
      <c r="I11" s="11"/>
      <c r="J11" s="11"/>
      <c r="K11" s="11"/>
      <c r="L11" s="338"/>
    </row>
    <row r="12" spans="1:13">
      <c r="A12" s="93" t="s">
        <v>2776</v>
      </c>
      <c r="B12" s="11"/>
      <c r="C12" s="11"/>
      <c r="D12" s="11" t="s">
        <v>2777</v>
      </c>
      <c r="E12" s="338"/>
      <c r="F12" s="93"/>
      <c r="G12" s="11" t="s">
        <v>2778</v>
      </c>
      <c r="H12" s="11"/>
      <c r="I12" s="11"/>
      <c r="J12" s="11"/>
      <c r="K12" s="11"/>
      <c r="L12" s="338"/>
    </row>
    <row r="13" spans="1:13">
      <c r="A13" s="93" t="s">
        <v>2834</v>
      </c>
      <c r="B13" s="11"/>
      <c r="C13" s="11"/>
      <c r="D13" s="11" t="s">
        <v>4373</v>
      </c>
      <c r="E13" s="338"/>
      <c r="F13" s="93"/>
      <c r="G13" s="11" t="s">
        <v>2307</v>
      </c>
      <c r="H13" s="11"/>
      <c r="I13" s="11"/>
      <c r="J13" s="11"/>
      <c r="K13" s="11"/>
      <c r="L13" s="338"/>
    </row>
    <row r="14" spans="1:13">
      <c r="A14" s="93" t="s">
        <v>2308</v>
      </c>
      <c r="B14" s="11"/>
      <c r="C14" s="11"/>
      <c r="D14" s="11"/>
      <c r="E14" s="338"/>
      <c r="F14" s="93"/>
      <c r="G14" s="11"/>
      <c r="H14" s="11"/>
      <c r="I14" s="11"/>
      <c r="J14" s="11"/>
      <c r="K14" s="11"/>
      <c r="L14" s="338"/>
    </row>
    <row r="15" spans="1:13">
      <c r="A15" s="93" t="s">
        <v>2309</v>
      </c>
      <c r="B15" s="11"/>
      <c r="C15" s="11"/>
      <c r="D15" s="11"/>
      <c r="E15" s="338"/>
      <c r="F15" s="93"/>
      <c r="G15" s="11"/>
      <c r="H15" s="11"/>
      <c r="I15" s="11"/>
      <c r="J15" s="11"/>
      <c r="K15" s="11"/>
      <c r="L15" s="338"/>
    </row>
    <row r="16" spans="1:13">
      <c r="A16" s="93" t="s">
        <v>2310</v>
      </c>
      <c r="B16" s="11"/>
      <c r="C16" s="11"/>
      <c r="D16" s="11"/>
      <c r="E16" s="338"/>
      <c r="F16" s="93"/>
      <c r="G16" s="11"/>
      <c r="H16" s="11"/>
      <c r="I16" s="11"/>
      <c r="J16" s="11"/>
      <c r="K16" s="11"/>
      <c r="L16" s="338"/>
    </row>
    <row r="17" spans="1:14">
      <c r="A17" s="93" t="s">
        <v>220</v>
      </c>
      <c r="B17" s="11"/>
      <c r="C17" s="11"/>
      <c r="D17" s="11"/>
      <c r="E17" s="338"/>
      <c r="F17" s="93"/>
      <c r="G17" s="11"/>
      <c r="H17" s="11"/>
      <c r="I17" s="11"/>
      <c r="J17" s="11"/>
      <c r="K17" s="11"/>
      <c r="L17" s="338"/>
    </row>
    <row r="18" spans="1:14">
      <c r="A18" s="93" t="s">
        <v>221</v>
      </c>
      <c r="B18" s="11"/>
      <c r="C18" s="11"/>
      <c r="D18" s="11"/>
      <c r="E18" s="338"/>
      <c r="F18" s="93"/>
      <c r="G18" s="11"/>
      <c r="H18" s="11"/>
      <c r="I18" s="11"/>
      <c r="J18" s="11"/>
      <c r="K18" s="11"/>
      <c r="L18" s="338"/>
    </row>
    <row r="19" spans="1:14">
      <c r="A19" s="93" t="s">
        <v>222</v>
      </c>
      <c r="B19" s="11"/>
      <c r="C19" s="11"/>
      <c r="D19" s="11"/>
      <c r="E19" s="338"/>
      <c r="F19" s="93"/>
      <c r="G19" s="11"/>
      <c r="H19" s="11"/>
      <c r="I19" s="11"/>
      <c r="J19" s="11"/>
      <c r="K19" s="11"/>
      <c r="L19" s="338"/>
    </row>
    <row r="20" spans="1:14">
      <c r="A20" s="93" t="s">
        <v>1754</v>
      </c>
      <c r="B20" s="11" t="s">
        <v>4373</v>
      </c>
      <c r="C20" s="11"/>
      <c r="D20" s="11"/>
      <c r="E20" s="338"/>
      <c r="F20" s="93"/>
      <c r="G20" s="11"/>
      <c r="H20" s="11"/>
      <c r="I20" s="11"/>
      <c r="J20" s="11"/>
      <c r="K20" s="11"/>
      <c r="L20" s="338"/>
    </row>
    <row r="21" spans="1:14">
      <c r="A21" s="93" t="s">
        <v>2615</v>
      </c>
      <c r="B21" s="11" t="s">
        <v>4373</v>
      </c>
      <c r="C21" s="11"/>
      <c r="D21" s="11"/>
      <c r="E21" s="338"/>
      <c r="F21" s="93"/>
      <c r="G21" s="11"/>
      <c r="H21" s="11"/>
      <c r="I21" s="11"/>
      <c r="J21" s="11"/>
      <c r="K21" s="11"/>
      <c r="L21" s="338"/>
    </row>
    <row r="22" spans="1:14" ht="15.75" thickBot="1">
      <c r="A22" s="93"/>
      <c r="B22" s="11"/>
      <c r="C22" s="11"/>
      <c r="D22" s="11"/>
      <c r="E22" s="338"/>
      <c r="F22" s="93"/>
      <c r="G22" s="11"/>
      <c r="H22" s="11"/>
      <c r="I22" s="11"/>
      <c r="J22" s="11"/>
      <c r="K22" s="11"/>
      <c r="L22" s="338"/>
    </row>
    <row r="23" spans="1:14" ht="15.75" thickBot="1">
      <c r="A23" s="1321"/>
      <c r="B23" s="485" t="s">
        <v>2616</v>
      </c>
      <c r="C23" s="1322" t="s">
        <v>558</v>
      </c>
      <c r="D23" s="1322"/>
      <c r="E23" s="1323"/>
      <c r="F23" s="1324" t="s">
        <v>2617</v>
      </c>
      <c r="G23" s="1322"/>
      <c r="H23" s="1323"/>
      <c r="I23" s="1325" t="s">
        <v>2618</v>
      </c>
      <c r="J23" s="1326"/>
      <c r="K23" s="1323" t="s">
        <v>2867</v>
      </c>
      <c r="L23" s="1321"/>
    </row>
    <row r="24" spans="1:14">
      <c r="A24" s="1327" t="s">
        <v>1129</v>
      </c>
      <c r="B24" s="338"/>
      <c r="C24" s="11"/>
      <c r="D24" s="11"/>
      <c r="E24" s="338"/>
      <c r="F24" s="1324"/>
      <c r="G24" s="1276" t="s">
        <v>2868</v>
      </c>
      <c r="H24" s="1321" t="s">
        <v>2869</v>
      </c>
      <c r="I24" s="132" t="s">
        <v>1139</v>
      </c>
      <c r="J24" s="132" t="s">
        <v>430</v>
      </c>
      <c r="K24" s="132" t="s">
        <v>2870</v>
      </c>
      <c r="L24" s="1327" t="s">
        <v>1129</v>
      </c>
    </row>
    <row r="25" spans="1:14" ht="15.75" thickBot="1">
      <c r="A25" s="1328" t="s">
        <v>3324</v>
      </c>
      <c r="B25" s="1329" t="s">
        <v>4032</v>
      </c>
      <c r="C25" s="1330" t="s">
        <v>4373</v>
      </c>
      <c r="D25" s="1281" t="s">
        <v>4033</v>
      </c>
      <c r="E25" s="1331"/>
      <c r="F25" s="1332"/>
      <c r="G25" s="1281" t="s">
        <v>4034</v>
      </c>
      <c r="H25" s="1328" t="s">
        <v>4035</v>
      </c>
      <c r="I25" s="1328" t="s">
        <v>2277</v>
      </c>
      <c r="J25" s="1328" t="s">
        <v>2278</v>
      </c>
      <c r="K25" s="1328" t="s">
        <v>2279</v>
      </c>
      <c r="L25" s="1328" t="s">
        <v>3324</v>
      </c>
    </row>
    <row r="26" spans="1:14">
      <c r="A26" s="1333">
        <v>1</v>
      </c>
      <c r="B26" s="98" t="s">
        <v>1440</v>
      </c>
      <c r="C26" s="11" t="s">
        <v>2714</v>
      </c>
      <c r="D26" s="11"/>
      <c r="E26" s="338"/>
      <c r="F26" s="1334"/>
      <c r="G26" s="1335">
        <v>22282</v>
      </c>
      <c r="H26" s="289"/>
      <c r="I26" s="1300">
        <v>930.3</v>
      </c>
      <c r="J26" s="1335">
        <v>22282</v>
      </c>
      <c r="K26" s="289"/>
      <c r="L26" s="1327">
        <v>1</v>
      </c>
    </row>
    <row r="27" spans="1:14">
      <c r="A27" s="1333">
        <v>2</v>
      </c>
      <c r="B27" s="338"/>
      <c r="C27" s="11"/>
      <c r="D27" s="11"/>
      <c r="E27" s="338"/>
      <c r="F27" s="1334"/>
      <c r="G27" s="1335"/>
      <c r="H27" s="289"/>
      <c r="I27" s="338"/>
      <c r="J27" s="289"/>
      <c r="K27" s="289"/>
      <c r="L27" s="1327">
        <v>2</v>
      </c>
      <c r="N27" s="2367"/>
    </row>
    <row r="28" spans="1:14">
      <c r="A28" s="1333">
        <v>3</v>
      </c>
      <c r="B28" s="338"/>
      <c r="C28" s="11"/>
      <c r="D28" s="11"/>
      <c r="E28" s="338"/>
      <c r="F28" s="1334"/>
      <c r="G28" s="1335"/>
      <c r="H28" s="289"/>
      <c r="I28" s="338"/>
      <c r="J28" s="289"/>
      <c r="K28" s="289"/>
      <c r="L28" s="1327">
        <v>3</v>
      </c>
    </row>
    <row r="29" spans="1:14">
      <c r="A29" s="1333">
        <v>4</v>
      </c>
      <c r="B29" s="338"/>
      <c r="C29" s="11"/>
      <c r="D29" s="11"/>
      <c r="E29" s="338"/>
      <c r="F29" s="1334"/>
      <c r="G29" s="1335"/>
      <c r="H29" s="289"/>
      <c r="I29" s="338"/>
      <c r="J29" s="289"/>
      <c r="K29" s="289"/>
      <c r="L29" s="1327">
        <v>4</v>
      </c>
    </row>
    <row r="30" spans="1:14">
      <c r="A30" s="1333">
        <v>5</v>
      </c>
      <c r="B30" s="338"/>
      <c r="C30" s="11"/>
      <c r="D30" s="11"/>
      <c r="E30" s="338"/>
      <c r="F30" s="1334"/>
      <c r="G30" s="1335"/>
      <c r="H30" s="289"/>
      <c r="I30" s="338"/>
      <c r="J30" s="289"/>
      <c r="K30" s="289"/>
      <c r="L30" s="1327">
        <v>5</v>
      </c>
    </row>
    <row r="31" spans="1:14">
      <c r="A31" s="1333">
        <v>6</v>
      </c>
      <c r="B31" s="338"/>
      <c r="C31" s="11"/>
      <c r="D31" s="11"/>
      <c r="E31" s="338"/>
      <c r="F31" s="1334"/>
      <c r="G31" s="1335"/>
      <c r="H31" s="289"/>
      <c r="I31" s="338"/>
      <c r="J31" s="289"/>
      <c r="K31" s="289"/>
      <c r="L31" s="1327">
        <v>6</v>
      </c>
    </row>
    <row r="32" spans="1:14">
      <c r="A32" s="1333">
        <v>7</v>
      </c>
      <c r="B32" s="338"/>
      <c r="C32" s="11"/>
      <c r="D32" s="11"/>
      <c r="E32" s="338"/>
      <c r="F32" s="1334"/>
      <c r="G32" s="1335"/>
      <c r="H32" s="289"/>
      <c r="I32" s="338"/>
      <c r="J32" s="289"/>
      <c r="K32" s="289"/>
      <c r="L32" s="1327">
        <v>7</v>
      </c>
    </row>
    <row r="33" spans="1:12">
      <c r="A33" s="1333">
        <v>8</v>
      </c>
      <c r="B33" s="338"/>
      <c r="C33" s="11"/>
      <c r="D33" s="11"/>
      <c r="E33" s="338"/>
      <c r="F33" s="1334"/>
      <c r="G33" s="1335"/>
      <c r="H33" s="289"/>
      <c r="I33" s="338"/>
      <c r="J33" s="289"/>
      <c r="K33" s="289"/>
      <c r="L33" s="1327">
        <v>8</v>
      </c>
    </row>
    <row r="34" spans="1:12">
      <c r="A34" s="1333">
        <v>9</v>
      </c>
      <c r="B34" s="338"/>
      <c r="C34" s="11"/>
      <c r="D34" s="11"/>
      <c r="E34" s="338"/>
      <c r="F34" s="1334"/>
      <c r="G34" s="1335"/>
      <c r="H34" s="289"/>
      <c r="I34" s="338"/>
      <c r="J34" s="289"/>
      <c r="K34" s="289"/>
      <c r="L34" s="1327">
        <v>9</v>
      </c>
    </row>
    <row r="35" spans="1:12">
      <c r="A35" s="1333">
        <v>10</v>
      </c>
      <c r="B35" s="338"/>
      <c r="C35" s="11"/>
      <c r="D35" s="11"/>
      <c r="E35" s="338"/>
      <c r="F35" s="1334"/>
      <c r="G35" s="1335"/>
      <c r="H35" s="289"/>
      <c r="I35" s="338"/>
      <c r="J35" s="289"/>
      <c r="K35" s="289"/>
      <c r="L35" s="1327">
        <v>10</v>
      </c>
    </row>
    <row r="36" spans="1:12">
      <c r="A36" s="1333">
        <v>11</v>
      </c>
      <c r="B36" s="338"/>
      <c r="C36" s="11"/>
      <c r="D36" s="11"/>
      <c r="E36" s="338"/>
      <c r="F36" s="1334"/>
      <c r="G36" s="1335"/>
      <c r="H36" s="289"/>
      <c r="I36" s="338"/>
      <c r="J36" s="289"/>
      <c r="K36" s="289"/>
      <c r="L36" s="1327">
        <v>11</v>
      </c>
    </row>
    <row r="37" spans="1:12">
      <c r="A37" s="1336">
        <v>12</v>
      </c>
      <c r="B37" s="338"/>
      <c r="C37" s="11"/>
      <c r="D37" s="11"/>
      <c r="E37" s="338"/>
      <c r="F37" s="93"/>
      <c r="G37" s="289"/>
      <c r="H37" s="289"/>
      <c r="I37" s="338"/>
      <c r="J37" s="289"/>
      <c r="K37" s="289"/>
      <c r="L37" s="1327">
        <v>12</v>
      </c>
    </row>
    <row r="38" spans="1:12">
      <c r="A38" s="1336">
        <v>13</v>
      </c>
      <c r="B38" s="338"/>
      <c r="C38" s="11"/>
      <c r="D38" s="11"/>
      <c r="E38" s="338"/>
      <c r="F38" s="93"/>
      <c r="G38" s="289"/>
      <c r="H38" s="289"/>
      <c r="I38" s="338"/>
      <c r="J38" s="289"/>
      <c r="K38" s="289"/>
      <c r="L38" s="1327">
        <v>13</v>
      </c>
    </row>
    <row r="39" spans="1:12">
      <c r="A39" s="1336">
        <v>14</v>
      </c>
      <c r="B39" s="338"/>
      <c r="C39" s="11"/>
      <c r="D39" s="11"/>
      <c r="E39" s="338"/>
      <c r="F39" s="93"/>
      <c r="G39" s="289"/>
      <c r="H39" s="289"/>
      <c r="I39" s="338"/>
      <c r="J39" s="289"/>
      <c r="K39" s="289"/>
      <c r="L39" s="1327">
        <v>14</v>
      </c>
    </row>
    <row r="40" spans="1:12">
      <c r="A40" s="1336">
        <v>15</v>
      </c>
      <c r="B40" s="338"/>
      <c r="C40" s="11"/>
      <c r="D40" s="11"/>
      <c r="E40" s="338"/>
      <c r="F40" s="93"/>
      <c r="G40" s="289"/>
      <c r="H40" s="289"/>
      <c r="I40" s="338"/>
      <c r="J40" s="289"/>
      <c r="K40" s="289"/>
      <c r="L40" s="1327">
        <v>15</v>
      </c>
    </row>
    <row r="41" spans="1:12">
      <c r="A41" s="1336">
        <v>16</v>
      </c>
      <c r="B41" s="338"/>
      <c r="C41" s="11"/>
      <c r="D41" s="11"/>
      <c r="E41" s="338"/>
      <c r="F41" s="93"/>
      <c r="G41" s="289"/>
      <c r="H41" s="289"/>
      <c r="I41" s="338"/>
      <c r="J41" s="289"/>
      <c r="K41" s="289"/>
      <c r="L41" s="1327">
        <v>16</v>
      </c>
    </row>
    <row r="42" spans="1:12">
      <c r="A42" s="1336">
        <v>17</v>
      </c>
      <c r="B42" s="338"/>
      <c r="C42" s="11"/>
      <c r="D42" s="11"/>
      <c r="E42" s="338"/>
      <c r="F42" s="93"/>
      <c r="G42" s="289"/>
      <c r="H42" s="289"/>
      <c r="I42" s="338"/>
      <c r="J42" s="289"/>
      <c r="K42" s="289"/>
      <c r="L42" s="1327">
        <v>17</v>
      </c>
    </row>
    <row r="43" spans="1:12">
      <c r="A43" s="1336">
        <v>18</v>
      </c>
      <c r="B43" s="338"/>
      <c r="C43" s="11"/>
      <c r="D43" s="11"/>
      <c r="E43" s="338"/>
      <c r="F43" s="93"/>
      <c r="G43" s="289"/>
      <c r="H43" s="289"/>
      <c r="I43" s="338"/>
      <c r="J43" s="289"/>
      <c r="K43" s="289"/>
      <c r="L43" s="1327">
        <v>18</v>
      </c>
    </row>
    <row r="44" spans="1:12">
      <c r="A44" s="1336">
        <v>19</v>
      </c>
      <c r="B44" s="338"/>
      <c r="C44" s="11"/>
      <c r="D44" s="11"/>
      <c r="E44" s="338"/>
      <c r="F44" s="93"/>
      <c r="G44" s="289"/>
      <c r="H44" s="289"/>
      <c r="I44" s="338"/>
      <c r="J44" s="289"/>
      <c r="K44" s="289"/>
      <c r="L44" s="1327">
        <v>19</v>
      </c>
    </row>
    <row r="45" spans="1:12">
      <c r="A45" s="1336">
        <v>20</v>
      </c>
      <c r="B45" s="338"/>
      <c r="C45" s="11"/>
      <c r="D45" s="11"/>
      <c r="E45" s="338"/>
      <c r="F45" s="93"/>
      <c r="G45" s="289"/>
      <c r="H45" s="289"/>
      <c r="I45" s="338"/>
      <c r="J45" s="289"/>
      <c r="K45" s="289"/>
      <c r="L45" s="1327">
        <v>20</v>
      </c>
    </row>
    <row r="46" spans="1:12">
      <c r="A46" s="1336">
        <v>21</v>
      </c>
      <c r="B46" s="338"/>
      <c r="C46" s="11"/>
      <c r="D46" s="11"/>
      <c r="E46" s="338"/>
      <c r="F46" s="93"/>
      <c r="G46" s="289"/>
      <c r="H46" s="289"/>
      <c r="I46" s="338"/>
      <c r="J46" s="289"/>
      <c r="K46" s="289"/>
      <c r="L46" s="1327">
        <v>21</v>
      </c>
    </row>
    <row r="47" spans="1:12">
      <c r="A47" s="1336">
        <v>22</v>
      </c>
      <c r="B47" s="338"/>
      <c r="C47" s="11"/>
      <c r="D47" s="11"/>
      <c r="E47" s="338"/>
      <c r="F47" s="93"/>
      <c r="G47" s="289"/>
      <c r="H47" s="289"/>
      <c r="I47" s="338"/>
      <c r="J47" s="289"/>
      <c r="K47" s="289"/>
      <c r="L47" s="1327">
        <v>22</v>
      </c>
    </row>
    <row r="48" spans="1:12">
      <c r="A48" s="1336">
        <v>23</v>
      </c>
      <c r="B48" s="338"/>
      <c r="C48" s="11"/>
      <c r="D48" s="11"/>
      <c r="E48" s="338"/>
      <c r="F48" s="93"/>
      <c r="G48" s="289"/>
      <c r="H48" s="289"/>
      <c r="I48" s="338"/>
      <c r="J48" s="289"/>
      <c r="K48" s="289"/>
      <c r="L48" s="1327">
        <v>23</v>
      </c>
    </row>
    <row r="49" spans="1:12">
      <c r="A49" s="1336">
        <v>24</v>
      </c>
      <c r="B49" s="338"/>
      <c r="C49" s="11"/>
      <c r="D49" s="11"/>
      <c r="E49" s="338"/>
      <c r="F49" s="93"/>
      <c r="G49" s="289"/>
      <c r="H49" s="289"/>
      <c r="I49" s="338"/>
      <c r="J49" s="289"/>
      <c r="K49" s="289"/>
      <c r="L49" s="1327">
        <v>24</v>
      </c>
    </row>
    <row r="50" spans="1:12">
      <c r="A50" s="1336">
        <v>25</v>
      </c>
      <c r="B50" s="338"/>
      <c r="C50" s="11"/>
      <c r="D50" s="11"/>
      <c r="E50" s="338"/>
      <c r="F50" s="93"/>
      <c r="G50" s="289"/>
      <c r="H50" s="289"/>
      <c r="I50" s="338"/>
      <c r="J50" s="289"/>
      <c r="K50" s="289"/>
      <c r="L50" s="1327">
        <v>25</v>
      </c>
    </row>
    <row r="51" spans="1:12">
      <c r="A51" s="1336">
        <v>26</v>
      </c>
      <c r="B51" s="338"/>
      <c r="C51" s="11"/>
      <c r="D51" s="11"/>
      <c r="E51" s="338"/>
      <c r="F51" s="93"/>
      <c r="G51" s="289"/>
      <c r="H51" s="289"/>
      <c r="I51" s="338"/>
      <c r="J51" s="289"/>
      <c r="K51" s="289"/>
      <c r="L51" s="1327">
        <v>26</v>
      </c>
    </row>
    <row r="52" spans="1:12">
      <c r="A52" s="1336">
        <v>27</v>
      </c>
      <c r="B52" s="338"/>
      <c r="C52" s="11"/>
      <c r="D52" s="11"/>
      <c r="E52" s="338"/>
      <c r="F52" s="93"/>
      <c r="G52" s="289"/>
      <c r="H52" s="289"/>
      <c r="I52" s="338"/>
      <c r="J52" s="289"/>
      <c r="K52" s="289"/>
      <c r="L52" s="1327">
        <v>27</v>
      </c>
    </row>
    <row r="53" spans="1:12">
      <c r="A53" s="1336">
        <v>28</v>
      </c>
      <c r="B53" s="338"/>
      <c r="C53" s="11"/>
      <c r="D53" s="11"/>
      <c r="E53" s="338"/>
      <c r="F53" s="93"/>
      <c r="G53" s="289"/>
      <c r="H53" s="289"/>
      <c r="I53" s="338"/>
      <c r="J53" s="289"/>
      <c r="K53" s="289"/>
      <c r="L53" s="1327">
        <v>28</v>
      </c>
    </row>
    <row r="54" spans="1:12">
      <c r="A54" s="1336">
        <v>29</v>
      </c>
      <c r="B54" s="338"/>
      <c r="C54" s="11"/>
      <c r="D54" s="11"/>
      <c r="E54" s="338"/>
      <c r="F54" s="93"/>
      <c r="G54" s="289"/>
      <c r="H54" s="289"/>
      <c r="I54" s="338"/>
      <c r="J54" s="289"/>
      <c r="K54" s="289"/>
      <c r="L54" s="1327">
        <v>29</v>
      </c>
    </row>
    <row r="55" spans="1:12">
      <c r="A55" s="1336">
        <v>30</v>
      </c>
      <c r="B55" s="338"/>
      <c r="C55" s="11"/>
      <c r="D55" s="11"/>
      <c r="E55" s="338"/>
      <c r="F55" s="93"/>
      <c r="G55" s="289"/>
      <c r="H55" s="289"/>
      <c r="I55" s="338"/>
      <c r="J55" s="289"/>
      <c r="K55" s="289"/>
      <c r="L55" s="1327">
        <v>30</v>
      </c>
    </row>
    <row r="56" spans="1:12">
      <c r="A56" s="1336">
        <v>31</v>
      </c>
      <c r="B56" s="338"/>
      <c r="C56" s="11"/>
      <c r="D56" s="11"/>
      <c r="E56" s="338"/>
      <c r="F56" s="93"/>
      <c r="G56" s="289"/>
      <c r="H56" s="289"/>
      <c r="I56" s="338"/>
      <c r="J56" s="289"/>
      <c r="K56" s="289"/>
      <c r="L56" s="1327">
        <v>31</v>
      </c>
    </row>
    <row r="57" spans="1:12">
      <c r="A57" s="1336">
        <v>32</v>
      </c>
      <c r="B57" s="338"/>
      <c r="C57" s="11"/>
      <c r="D57" s="11"/>
      <c r="E57" s="338"/>
      <c r="F57" s="93"/>
      <c r="G57" s="289"/>
      <c r="H57" s="289"/>
      <c r="I57" s="338"/>
      <c r="J57" s="289"/>
      <c r="K57" s="289"/>
      <c r="L57" s="1327">
        <v>32</v>
      </c>
    </row>
    <row r="58" spans="1:12">
      <c r="A58" s="1336">
        <v>33</v>
      </c>
      <c r="B58" s="338"/>
      <c r="C58" s="11"/>
      <c r="D58" s="11"/>
      <c r="E58" s="338"/>
      <c r="F58" s="93"/>
      <c r="G58" s="289"/>
      <c r="H58" s="289"/>
      <c r="I58" s="338"/>
      <c r="J58" s="289"/>
      <c r="K58" s="289"/>
      <c r="L58" s="1327">
        <v>33</v>
      </c>
    </row>
    <row r="59" spans="1:12">
      <c r="A59" s="1336">
        <v>34</v>
      </c>
      <c r="B59" s="338"/>
      <c r="C59" s="11"/>
      <c r="D59" s="11"/>
      <c r="E59" s="338"/>
      <c r="F59" s="93"/>
      <c r="G59" s="289"/>
      <c r="H59" s="289"/>
      <c r="I59" s="338"/>
      <c r="J59" s="289"/>
      <c r="K59" s="289"/>
      <c r="L59" s="1327">
        <v>34</v>
      </c>
    </row>
    <row r="60" spans="1:12">
      <c r="A60" s="1336">
        <v>35</v>
      </c>
      <c r="B60" s="338"/>
      <c r="C60" s="11"/>
      <c r="D60" s="11"/>
      <c r="E60" s="338"/>
      <c r="F60" s="93"/>
      <c r="G60" s="289"/>
      <c r="H60" s="289"/>
      <c r="I60" s="338"/>
      <c r="J60" s="289"/>
      <c r="K60" s="289"/>
      <c r="L60" s="1327">
        <v>35</v>
      </c>
    </row>
    <row r="61" spans="1:12">
      <c r="A61" s="1336">
        <v>36</v>
      </c>
      <c r="B61" s="338"/>
      <c r="C61" s="11"/>
      <c r="D61" s="11"/>
      <c r="E61" s="338"/>
      <c r="F61" s="93"/>
      <c r="G61" s="289"/>
      <c r="H61" s="289"/>
      <c r="I61" s="338"/>
      <c r="J61" s="289"/>
      <c r="K61" s="289"/>
      <c r="L61" s="1327">
        <v>36</v>
      </c>
    </row>
    <row r="62" spans="1:12">
      <c r="A62" s="1336">
        <v>37</v>
      </c>
      <c r="B62" s="338"/>
      <c r="C62" s="11"/>
      <c r="D62" s="11"/>
      <c r="E62" s="338"/>
      <c r="F62" s="93"/>
      <c r="G62" s="289"/>
      <c r="H62" s="289"/>
      <c r="I62" s="338"/>
      <c r="J62" s="289"/>
      <c r="K62" s="289"/>
      <c r="L62" s="1327">
        <v>37</v>
      </c>
    </row>
    <row r="63" spans="1:12" ht="15.75" thickBot="1">
      <c r="A63" s="1337">
        <v>38</v>
      </c>
      <c r="B63" s="1329" t="s">
        <v>3323</v>
      </c>
      <c r="C63" s="138"/>
      <c r="D63" s="138"/>
      <c r="E63" s="339"/>
      <c r="F63" s="1338"/>
      <c r="G63" s="269">
        <f>SUM(G26:G62)</f>
        <v>22282</v>
      </c>
      <c r="H63" s="269">
        <f>SUM(H26:H62)</f>
        <v>0</v>
      </c>
      <c r="I63" s="339"/>
      <c r="J63" s="269">
        <f>SUM(J26:J62)</f>
        <v>22282</v>
      </c>
      <c r="K63" s="269">
        <f>SUM(K26:K62)</f>
        <v>0</v>
      </c>
      <c r="L63" s="1328">
        <v>38</v>
      </c>
    </row>
    <row r="64" spans="1:12">
      <c r="A64" s="11" t="s">
        <v>4066</v>
      </c>
      <c r="B64" s="11"/>
      <c r="C64" s="11"/>
      <c r="D64" s="11"/>
      <c r="E64" s="11"/>
      <c r="F64" s="11"/>
      <c r="G64" s="11"/>
      <c r="H64" s="131"/>
      <c r="K64" t="s">
        <v>4066</v>
      </c>
    </row>
    <row r="65" spans="1:12">
      <c r="A65" s="131" t="s">
        <v>2871</v>
      </c>
      <c r="B65" s="131"/>
      <c r="C65" s="131"/>
      <c r="D65" s="131"/>
      <c r="E65" s="131"/>
      <c r="F65" s="131" t="s">
        <v>2872</v>
      </c>
      <c r="G65" s="131"/>
      <c r="H65" s="131"/>
      <c r="I65" s="131"/>
      <c r="J65" s="131"/>
      <c r="K65" s="131"/>
      <c r="L65" s="131"/>
    </row>
    <row r="67" spans="1:12" ht="15.75">
      <c r="A67" s="11"/>
      <c r="B67" s="484" t="s">
        <v>179</v>
      </c>
    </row>
    <row r="69" spans="1:12" ht="15.75">
      <c r="A69" s="11"/>
      <c r="B69" s="94" t="s">
        <v>1180</v>
      </c>
      <c r="C69" s="94"/>
      <c r="D69" s="131"/>
      <c r="E69" s="131"/>
      <c r="F69" s="131"/>
      <c r="G69" s="94" t="s">
        <v>1181</v>
      </c>
      <c r="H69" s="94"/>
      <c r="I69" s="94"/>
      <c r="J69" s="131"/>
      <c r="K69" s="131"/>
      <c r="L69" s="131"/>
    </row>
    <row r="70" spans="1:12" ht="15.75" thickBot="1"/>
    <row r="71" spans="1:12" ht="15.75" thickBot="1">
      <c r="A71" s="1321"/>
      <c r="B71" s="485" t="s">
        <v>2616</v>
      </c>
      <c r="C71" s="1322" t="s">
        <v>558</v>
      </c>
      <c r="D71" s="1322"/>
      <c r="E71" s="1323"/>
      <c r="F71" s="1324" t="s">
        <v>4234</v>
      </c>
      <c r="G71" s="1322"/>
      <c r="H71" s="1323"/>
      <c r="I71" s="1325" t="s">
        <v>2618</v>
      </c>
      <c r="J71" s="1326"/>
      <c r="K71" s="1323" t="s">
        <v>2867</v>
      </c>
      <c r="L71" s="1321"/>
    </row>
    <row r="72" spans="1:12">
      <c r="A72" s="1327" t="s">
        <v>1129</v>
      </c>
      <c r="B72" s="338"/>
      <c r="C72" s="11"/>
      <c r="D72" s="11"/>
      <c r="E72" s="338"/>
      <c r="F72" s="512" t="s">
        <v>1141</v>
      </c>
      <c r="G72" s="131"/>
      <c r="H72" s="132"/>
      <c r="I72" s="132" t="s">
        <v>1139</v>
      </c>
      <c r="J72" s="132" t="s">
        <v>430</v>
      </c>
      <c r="K72" s="132" t="s">
        <v>2870</v>
      </c>
      <c r="L72" s="1327" t="s">
        <v>1129</v>
      </c>
    </row>
    <row r="73" spans="1:12" ht="15.75" thickBot="1">
      <c r="A73" s="1328" t="s">
        <v>3324</v>
      </c>
      <c r="B73" s="1329" t="s">
        <v>4032</v>
      </c>
      <c r="C73" s="139" t="s">
        <v>4033</v>
      </c>
      <c r="D73" s="139"/>
      <c r="E73" s="140"/>
      <c r="F73" s="1332" t="s">
        <v>4034</v>
      </c>
      <c r="G73" s="139"/>
      <c r="H73" s="140"/>
      <c r="I73" s="1328" t="s">
        <v>2277</v>
      </c>
      <c r="J73" s="1328" t="s">
        <v>2278</v>
      </c>
      <c r="K73" s="1328" t="s">
        <v>2279</v>
      </c>
      <c r="L73" s="1328" t="s">
        <v>3324</v>
      </c>
    </row>
    <row r="74" spans="1:12">
      <c r="A74" s="1333">
        <v>1</v>
      </c>
      <c r="B74" s="338"/>
      <c r="C74" s="11"/>
      <c r="D74" s="11"/>
      <c r="E74" s="338"/>
      <c r="F74" s="1334"/>
      <c r="G74" s="1335"/>
      <c r="H74" s="289"/>
      <c r="I74" s="338"/>
      <c r="J74" s="289"/>
      <c r="K74" s="289"/>
      <c r="L74" s="1333">
        <v>1</v>
      </c>
    </row>
    <row r="75" spans="1:12">
      <c r="A75" s="1333">
        <v>2</v>
      </c>
      <c r="B75" s="338"/>
      <c r="C75" s="11"/>
      <c r="D75" s="11"/>
      <c r="E75" s="338"/>
      <c r="F75" s="1334"/>
      <c r="G75" s="1335"/>
      <c r="H75" s="289"/>
      <c r="I75" s="338"/>
      <c r="J75" s="289"/>
      <c r="K75" s="289"/>
      <c r="L75" s="1333">
        <v>2</v>
      </c>
    </row>
    <row r="76" spans="1:12">
      <c r="A76" s="1333">
        <v>3</v>
      </c>
      <c r="B76" s="338"/>
      <c r="C76" s="11"/>
      <c r="D76" s="11"/>
      <c r="E76" s="338"/>
      <c r="F76" s="1334"/>
      <c r="G76" s="1335"/>
      <c r="H76" s="289"/>
      <c r="I76" s="338"/>
      <c r="J76" s="289"/>
      <c r="K76" s="289"/>
      <c r="L76" s="1333">
        <v>3</v>
      </c>
    </row>
    <row r="77" spans="1:12">
      <c r="A77" s="1333">
        <v>4</v>
      </c>
      <c r="B77" s="338"/>
      <c r="C77" s="11"/>
      <c r="D77" s="11"/>
      <c r="E77" s="338"/>
      <c r="F77" s="1334"/>
      <c r="G77" s="1335"/>
      <c r="H77" s="289"/>
      <c r="I77" s="338"/>
      <c r="J77" s="289"/>
      <c r="K77" s="289"/>
      <c r="L77" s="1333">
        <v>4</v>
      </c>
    </row>
    <row r="78" spans="1:12">
      <c r="A78" s="1333">
        <v>5</v>
      </c>
      <c r="B78" s="338"/>
      <c r="C78" s="11"/>
      <c r="D78" s="11"/>
      <c r="E78" s="338"/>
      <c r="F78" s="1334"/>
      <c r="G78" s="1335"/>
      <c r="H78" s="289"/>
      <c r="I78" s="338"/>
      <c r="J78" s="289"/>
      <c r="K78" s="289"/>
      <c r="L78" s="1333">
        <v>5</v>
      </c>
    </row>
    <row r="79" spans="1:12">
      <c r="A79" s="1333">
        <v>6</v>
      </c>
      <c r="B79" s="338"/>
      <c r="C79" s="11"/>
      <c r="D79" s="11"/>
      <c r="E79" s="338"/>
      <c r="F79" s="1334"/>
      <c r="G79" s="1335"/>
      <c r="H79" s="289"/>
      <c r="I79" s="338"/>
      <c r="J79" s="289"/>
      <c r="K79" s="289"/>
      <c r="L79" s="1333">
        <v>6</v>
      </c>
    </row>
    <row r="80" spans="1:12">
      <c r="A80" s="1333">
        <v>7</v>
      </c>
      <c r="B80" s="338"/>
      <c r="C80" s="11"/>
      <c r="D80" s="11"/>
      <c r="E80" s="338"/>
      <c r="F80" s="1334"/>
      <c r="G80" s="1335"/>
      <c r="H80" s="289"/>
      <c r="I80" s="338"/>
      <c r="J80" s="289"/>
      <c r="K80" s="289"/>
      <c r="L80" s="1333">
        <v>7</v>
      </c>
    </row>
    <row r="81" spans="1:12">
      <c r="A81" s="1333">
        <v>8</v>
      </c>
      <c r="B81" s="338"/>
      <c r="C81" s="11"/>
      <c r="D81" s="11"/>
      <c r="E81" s="338"/>
      <c r="F81" s="1334"/>
      <c r="G81" s="1335"/>
      <c r="H81" s="289"/>
      <c r="I81" s="338"/>
      <c r="J81" s="289"/>
      <c r="K81" s="289"/>
      <c r="L81" s="1333">
        <v>8</v>
      </c>
    </row>
    <row r="82" spans="1:12">
      <c r="A82" s="1333">
        <v>9</v>
      </c>
      <c r="B82" s="338"/>
      <c r="C82" s="11"/>
      <c r="D82" s="11"/>
      <c r="E82" s="338"/>
      <c r="F82" s="1334"/>
      <c r="G82" s="1335"/>
      <c r="H82" s="289"/>
      <c r="I82" s="338"/>
      <c r="J82" s="289"/>
      <c r="K82" s="289"/>
      <c r="L82" s="1333">
        <v>9</v>
      </c>
    </row>
    <row r="83" spans="1:12">
      <c r="A83" s="1333">
        <v>10</v>
      </c>
      <c r="B83" s="338"/>
      <c r="C83" s="11"/>
      <c r="D83" s="11"/>
      <c r="E83" s="338"/>
      <c r="F83" s="1334"/>
      <c r="G83" s="1335"/>
      <c r="H83" s="289"/>
      <c r="I83" s="338"/>
      <c r="J83" s="289"/>
      <c r="K83" s="289"/>
      <c r="L83" s="1333">
        <v>10</v>
      </c>
    </row>
    <row r="84" spans="1:12">
      <c r="A84" s="1333">
        <v>11</v>
      </c>
      <c r="B84" s="338"/>
      <c r="C84" s="11"/>
      <c r="D84" s="11"/>
      <c r="E84" s="338"/>
      <c r="F84" s="1334"/>
      <c r="G84" s="1335"/>
      <c r="H84" s="289"/>
      <c r="I84" s="338"/>
      <c r="J84" s="289"/>
      <c r="K84" s="289"/>
      <c r="L84" s="1333">
        <v>11</v>
      </c>
    </row>
    <row r="85" spans="1:12">
      <c r="A85" s="1336">
        <v>12</v>
      </c>
      <c r="B85" s="338"/>
      <c r="C85" s="11"/>
      <c r="D85" s="11"/>
      <c r="E85" s="338"/>
      <c r="F85" s="93"/>
      <c r="G85" s="289"/>
      <c r="H85" s="289"/>
      <c r="I85" s="338"/>
      <c r="J85" s="289"/>
      <c r="K85" s="289"/>
      <c r="L85" s="1336">
        <v>12</v>
      </c>
    </row>
    <row r="86" spans="1:12">
      <c r="A86" s="1336">
        <v>13</v>
      </c>
      <c r="B86" s="338"/>
      <c r="C86" s="11"/>
      <c r="D86" s="11"/>
      <c r="E86" s="338"/>
      <c r="F86" s="93"/>
      <c r="G86" s="289"/>
      <c r="H86" s="289"/>
      <c r="I86" s="338"/>
      <c r="J86" s="289"/>
      <c r="K86" s="289"/>
      <c r="L86" s="1336">
        <v>13</v>
      </c>
    </row>
    <row r="87" spans="1:12">
      <c r="A87" s="1336">
        <v>14</v>
      </c>
      <c r="B87" s="338"/>
      <c r="C87" s="11"/>
      <c r="D87" s="11"/>
      <c r="E87" s="338"/>
      <c r="F87" s="93"/>
      <c r="G87" s="289"/>
      <c r="H87" s="289"/>
      <c r="I87" s="338"/>
      <c r="J87" s="289"/>
      <c r="K87" s="289"/>
      <c r="L87" s="1336">
        <v>14</v>
      </c>
    </row>
    <row r="88" spans="1:12">
      <c r="A88" s="1336">
        <v>15</v>
      </c>
      <c r="B88" s="338"/>
      <c r="C88" s="11"/>
      <c r="D88" s="11"/>
      <c r="E88" s="338"/>
      <c r="F88" s="93"/>
      <c r="G88" s="289"/>
      <c r="H88" s="289"/>
      <c r="I88" s="338"/>
      <c r="J88" s="289"/>
      <c r="K88" s="289"/>
      <c r="L88" s="1336">
        <v>15</v>
      </c>
    </row>
    <row r="89" spans="1:12">
      <c r="A89" s="1336">
        <v>16</v>
      </c>
      <c r="B89" s="338"/>
      <c r="C89" s="11"/>
      <c r="D89" s="11"/>
      <c r="E89" s="338"/>
      <c r="F89" s="93"/>
      <c r="G89" s="289"/>
      <c r="H89" s="289"/>
      <c r="I89" s="338"/>
      <c r="J89" s="289"/>
      <c r="K89" s="289"/>
      <c r="L89" s="1336">
        <v>16</v>
      </c>
    </row>
    <row r="90" spans="1:12">
      <c r="A90" s="1336">
        <v>17</v>
      </c>
      <c r="B90" s="338"/>
      <c r="C90" s="11"/>
      <c r="D90" s="11"/>
      <c r="E90" s="338"/>
      <c r="F90" s="93"/>
      <c r="G90" s="289"/>
      <c r="H90" s="289"/>
      <c r="I90" s="338"/>
      <c r="J90" s="289"/>
      <c r="K90" s="289"/>
      <c r="L90" s="1336">
        <v>17</v>
      </c>
    </row>
    <row r="91" spans="1:12">
      <c r="A91" s="1336">
        <v>18</v>
      </c>
      <c r="B91" s="338"/>
      <c r="C91" s="11"/>
      <c r="D91" s="11"/>
      <c r="E91" s="338"/>
      <c r="F91" s="93"/>
      <c r="G91" s="289"/>
      <c r="H91" s="289"/>
      <c r="I91" s="338"/>
      <c r="J91" s="289"/>
      <c r="K91" s="289"/>
      <c r="L91" s="1336">
        <v>18</v>
      </c>
    </row>
    <row r="92" spans="1:12">
      <c r="A92" s="1336">
        <v>19</v>
      </c>
      <c r="B92" s="338"/>
      <c r="C92" s="11"/>
      <c r="D92" s="11"/>
      <c r="E92" s="338"/>
      <c r="F92" s="93"/>
      <c r="G92" s="289"/>
      <c r="H92" s="289"/>
      <c r="I92" s="338"/>
      <c r="J92" s="289"/>
      <c r="K92" s="289"/>
      <c r="L92" s="1336">
        <v>19</v>
      </c>
    </row>
    <row r="93" spans="1:12">
      <c r="A93" s="1336">
        <v>20</v>
      </c>
      <c r="B93" s="338"/>
      <c r="C93" s="11"/>
      <c r="D93" s="11"/>
      <c r="E93" s="338"/>
      <c r="F93" s="93"/>
      <c r="G93" s="289"/>
      <c r="H93" s="289"/>
      <c r="I93" s="338"/>
      <c r="J93" s="289"/>
      <c r="K93" s="289"/>
      <c r="L93" s="1336">
        <v>20</v>
      </c>
    </row>
    <row r="94" spans="1:12">
      <c r="A94" s="1336">
        <v>21</v>
      </c>
      <c r="B94" s="338"/>
      <c r="C94" s="11"/>
      <c r="D94" s="11"/>
      <c r="E94" s="338"/>
      <c r="F94" s="93"/>
      <c r="G94" s="289"/>
      <c r="H94" s="289"/>
      <c r="I94" s="338"/>
      <c r="J94" s="289"/>
      <c r="K94" s="289"/>
      <c r="L94" s="1336">
        <v>21</v>
      </c>
    </row>
    <row r="95" spans="1:12">
      <c r="A95" s="1336">
        <v>22</v>
      </c>
      <c r="B95" s="338"/>
      <c r="C95" s="11"/>
      <c r="D95" s="11"/>
      <c r="E95" s="338"/>
      <c r="F95" s="93"/>
      <c r="G95" s="289"/>
      <c r="H95" s="289"/>
      <c r="I95" s="338"/>
      <c r="J95" s="289"/>
      <c r="K95" s="289"/>
      <c r="L95" s="1336">
        <v>22</v>
      </c>
    </row>
    <row r="96" spans="1:12">
      <c r="A96" s="1336">
        <v>23</v>
      </c>
      <c r="B96" s="338"/>
      <c r="C96" s="11"/>
      <c r="D96" s="11"/>
      <c r="E96" s="338"/>
      <c r="F96" s="93"/>
      <c r="G96" s="289"/>
      <c r="H96" s="289"/>
      <c r="I96" s="338"/>
      <c r="J96" s="289"/>
      <c r="K96" s="289"/>
      <c r="L96" s="1336">
        <v>23</v>
      </c>
    </row>
    <row r="97" spans="1:12">
      <c r="A97" s="1336">
        <v>24</v>
      </c>
      <c r="B97" s="338"/>
      <c r="C97" s="11"/>
      <c r="D97" s="11"/>
      <c r="E97" s="338"/>
      <c r="F97" s="93"/>
      <c r="G97" s="289"/>
      <c r="H97" s="289"/>
      <c r="I97" s="338"/>
      <c r="J97" s="289"/>
      <c r="K97" s="289"/>
      <c r="L97" s="1336">
        <v>24</v>
      </c>
    </row>
    <row r="98" spans="1:12">
      <c r="A98" s="1336">
        <v>25</v>
      </c>
      <c r="B98" s="338"/>
      <c r="C98" s="11"/>
      <c r="D98" s="11"/>
      <c r="E98" s="338"/>
      <c r="F98" s="93"/>
      <c r="G98" s="289"/>
      <c r="H98" s="289"/>
      <c r="I98" s="338"/>
      <c r="J98" s="289"/>
      <c r="K98" s="289"/>
      <c r="L98" s="1336">
        <v>25</v>
      </c>
    </row>
    <row r="99" spans="1:12">
      <c r="A99" s="1336">
        <v>26</v>
      </c>
      <c r="B99" s="338"/>
      <c r="C99" s="11"/>
      <c r="D99" s="11"/>
      <c r="E99" s="338"/>
      <c r="F99" s="93"/>
      <c r="G99" s="289"/>
      <c r="H99" s="289"/>
      <c r="I99" s="338"/>
      <c r="J99" s="289"/>
      <c r="K99" s="289"/>
      <c r="L99" s="1336">
        <v>26</v>
      </c>
    </row>
    <row r="100" spans="1:12">
      <c r="A100" s="1336">
        <v>27</v>
      </c>
      <c r="B100" s="338"/>
      <c r="C100" s="11"/>
      <c r="D100" s="11"/>
      <c r="E100" s="338"/>
      <c r="F100" s="93"/>
      <c r="G100" s="289"/>
      <c r="H100" s="289"/>
      <c r="I100" s="338"/>
      <c r="J100" s="289"/>
      <c r="K100" s="289"/>
      <c r="L100" s="1336">
        <v>27</v>
      </c>
    </row>
    <row r="101" spans="1:12">
      <c r="A101" s="1336">
        <v>28</v>
      </c>
      <c r="B101" s="338"/>
      <c r="C101" s="11"/>
      <c r="D101" s="11"/>
      <c r="E101" s="338"/>
      <c r="F101" s="93"/>
      <c r="G101" s="289"/>
      <c r="H101" s="289"/>
      <c r="I101" s="338"/>
      <c r="J101" s="289"/>
      <c r="K101" s="289"/>
      <c r="L101" s="1336">
        <v>28</v>
      </c>
    </row>
    <row r="102" spans="1:12">
      <c r="A102" s="1336">
        <v>29</v>
      </c>
      <c r="B102" s="338"/>
      <c r="C102" s="11"/>
      <c r="D102" s="11"/>
      <c r="E102" s="338"/>
      <c r="F102" s="93"/>
      <c r="G102" s="289"/>
      <c r="H102" s="289"/>
      <c r="I102" s="338"/>
      <c r="J102" s="289"/>
      <c r="K102" s="289"/>
      <c r="L102" s="1336">
        <v>29</v>
      </c>
    </row>
    <row r="103" spans="1:12">
      <c r="A103" s="1336">
        <v>30</v>
      </c>
      <c r="B103" s="338"/>
      <c r="C103" s="11"/>
      <c r="D103" s="11"/>
      <c r="E103" s="338"/>
      <c r="F103" s="93"/>
      <c r="G103" s="289"/>
      <c r="H103" s="289"/>
      <c r="I103" s="338"/>
      <c r="J103" s="289"/>
      <c r="K103" s="289"/>
      <c r="L103" s="1336">
        <v>30</v>
      </c>
    </row>
    <row r="104" spans="1:12">
      <c r="A104" s="1336">
        <v>31</v>
      </c>
      <c r="B104" s="338"/>
      <c r="C104" s="11"/>
      <c r="D104" s="11"/>
      <c r="E104" s="338"/>
      <c r="F104" s="93"/>
      <c r="G104" s="289"/>
      <c r="H104" s="289"/>
      <c r="I104" s="338"/>
      <c r="J104" s="289"/>
      <c r="K104" s="289"/>
      <c r="L104" s="1336">
        <v>31</v>
      </c>
    </row>
    <row r="105" spans="1:12">
      <c r="A105" s="1336">
        <v>32</v>
      </c>
      <c r="B105" s="338"/>
      <c r="C105" s="11"/>
      <c r="D105" s="11"/>
      <c r="E105" s="338"/>
      <c r="F105" s="93"/>
      <c r="G105" s="289"/>
      <c r="H105" s="289"/>
      <c r="I105" s="338"/>
      <c r="J105" s="289"/>
      <c r="K105" s="289"/>
      <c r="L105" s="1336">
        <v>32</v>
      </c>
    </row>
    <row r="106" spans="1:12">
      <c r="A106" s="1336">
        <v>33</v>
      </c>
      <c r="B106" s="338"/>
      <c r="C106" s="11"/>
      <c r="D106" s="11"/>
      <c r="E106" s="338"/>
      <c r="F106" s="93"/>
      <c r="G106" s="289"/>
      <c r="H106" s="289"/>
      <c r="I106" s="338"/>
      <c r="J106" s="289"/>
      <c r="K106" s="289"/>
      <c r="L106" s="1336">
        <v>33</v>
      </c>
    </row>
    <row r="107" spans="1:12">
      <c r="A107" s="1336">
        <v>34</v>
      </c>
      <c r="B107" s="338"/>
      <c r="C107" s="11"/>
      <c r="D107" s="11"/>
      <c r="E107" s="338"/>
      <c r="F107" s="93"/>
      <c r="G107" s="289"/>
      <c r="H107" s="289"/>
      <c r="I107" s="338"/>
      <c r="J107" s="289"/>
      <c r="K107" s="289"/>
      <c r="L107" s="1336">
        <v>34</v>
      </c>
    </row>
    <row r="108" spans="1:12">
      <c r="A108" s="1336">
        <v>35</v>
      </c>
      <c r="B108" s="338"/>
      <c r="C108" s="11"/>
      <c r="D108" s="11"/>
      <c r="E108" s="338"/>
      <c r="F108" s="93"/>
      <c r="G108" s="289"/>
      <c r="H108" s="289"/>
      <c r="I108" s="338"/>
      <c r="J108" s="289"/>
      <c r="K108" s="289"/>
      <c r="L108" s="1336">
        <v>35</v>
      </c>
    </row>
    <row r="109" spans="1:12">
      <c r="A109" s="1336">
        <v>36</v>
      </c>
      <c r="B109" s="338"/>
      <c r="C109" s="11"/>
      <c r="D109" s="11"/>
      <c r="E109" s="338"/>
      <c r="F109" s="93"/>
      <c r="G109" s="289"/>
      <c r="H109" s="289"/>
      <c r="I109" s="338"/>
      <c r="J109" s="289"/>
      <c r="K109" s="289"/>
      <c r="L109" s="1336">
        <v>36</v>
      </c>
    </row>
    <row r="110" spans="1:12">
      <c r="A110" s="1336">
        <v>37</v>
      </c>
      <c r="B110" s="338"/>
      <c r="C110" s="11"/>
      <c r="D110" s="11"/>
      <c r="E110" s="338"/>
      <c r="F110" s="93"/>
      <c r="G110" s="289"/>
      <c r="H110" s="289"/>
      <c r="I110" s="338"/>
      <c r="J110" s="289"/>
      <c r="K110" s="289"/>
      <c r="L110" s="1336">
        <v>37</v>
      </c>
    </row>
    <row r="111" spans="1:12">
      <c r="A111" s="1336">
        <v>38</v>
      </c>
      <c r="B111" s="338"/>
      <c r="C111" s="11"/>
      <c r="D111" s="11"/>
      <c r="E111" s="338"/>
      <c r="F111" s="93"/>
      <c r="G111" s="289"/>
      <c r="H111" s="289"/>
      <c r="I111" s="338"/>
      <c r="J111" s="289"/>
      <c r="K111" s="289"/>
      <c r="L111" s="1336">
        <v>38</v>
      </c>
    </row>
    <row r="112" spans="1:12">
      <c r="A112" s="1336">
        <v>39</v>
      </c>
      <c r="B112" s="338"/>
      <c r="C112" s="11"/>
      <c r="D112" s="11"/>
      <c r="E112" s="338"/>
      <c r="F112" s="93"/>
      <c r="G112" s="289"/>
      <c r="H112" s="289"/>
      <c r="I112" s="338"/>
      <c r="J112" s="289"/>
      <c r="K112" s="289"/>
      <c r="L112" s="1336">
        <v>39</v>
      </c>
    </row>
    <row r="113" spans="1:12">
      <c r="A113" s="1336">
        <v>40</v>
      </c>
      <c r="B113" s="338"/>
      <c r="C113" s="11"/>
      <c r="D113" s="11"/>
      <c r="E113" s="338"/>
      <c r="F113" s="93"/>
      <c r="G113" s="289"/>
      <c r="H113" s="289"/>
      <c r="I113" s="338"/>
      <c r="J113" s="289"/>
      <c r="K113" s="289"/>
      <c r="L113" s="1336">
        <v>40</v>
      </c>
    </row>
    <row r="114" spans="1:12">
      <c r="A114" s="1336">
        <v>41</v>
      </c>
      <c r="B114" s="338"/>
      <c r="C114" s="11"/>
      <c r="D114" s="11"/>
      <c r="E114" s="338"/>
      <c r="F114" s="93"/>
      <c r="G114" s="289"/>
      <c r="H114" s="289"/>
      <c r="I114" s="338"/>
      <c r="J114" s="289"/>
      <c r="K114" s="289"/>
      <c r="L114" s="1336">
        <v>41</v>
      </c>
    </row>
    <row r="115" spans="1:12">
      <c r="A115" s="1336">
        <v>42</v>
      </c>
      <c r="B115" s="338"/>
      <c r="C115" s="11"/>
      <c r="D115" s="11"/>
      <c r="E115" s="338"/>
      <c r="F115" s="93"/>
      <c r="G115" s="289"/>
      <c r="H115" s="289"/>
      <c r="I115" s="338"/>
      <c r="J115" s="289"/>
      <c r="K115" s="289"/>
      <c r="L115" s="1336">
        <v>42</v>
      </c>
    </row>
    <row r="116" spans="1:12">
      <c r="A116" s="1336">
        <v>43</v>
      </c>
      <c r="B116" s="338"/>
      <c r="C116" s="11"/>
      <c r="D116" s="11"/>
      <c r="E116" s="338"/>
      <c r="F116" s="93"/>
      <c r="G116" s="289"/>
      <c r="H116" s="289"/>
      <c r="I116" s="338"/>
      <c r="J116" s="289"/>
      <c r="K116" s="289"/>
      <c r="L116" s="1336">
        <v>43</v>
      </c>
    </row>
    <row r="117" spans="1:12">
      <c r="A117" s="1336">
        <v>44</v>
      </c>
      <c r="B117" s="338"/>
      <c r="C117" s="11"/>
      <c r="D117" s="11"/>
      <c r="E117" s="338"/>
      <c r="F117" s="93"/>
      <c r="G117" s="289"/>
      <c r="H117" s="289"/>
      <c r="I117" s="338"/>
      <c r="J117" s="289"/>
      <c r="K117" s="289"/>
      <c r="L117" s="1336">
        <v>44</v>
      </c>
    </row>
    <row r="118" spans="1:12">
      <c r="A118" s="1336">
        <v>45</v>
      </c>
      <c r="B118" s="338"/>
      <c r="C118" s="11"/>
      <c r="D118" s="11"/>
      <c r="E118" s="338"/>
      <c r="F118" s="93"/>
      <c r="G118" s="289"/>
      <c r="H118" s="289"/>
      <c r="I118" s="338"/>
      <c r="J118" s="289"/>
      <c r="K118" s="289"/>
      <c r="L118" s="1336">
        <v>45</v>
      </c>
    </row>
    <row r="119" spans="1:12">
      <c r="A119" s="1336">
        <v>46</v>
      </c>
      <c r="B119" s="338"/>
      <c r="C119" s="11"/>
      <c r="D119" s="11"/>
      <c r="E119" s="338"/>
      <c r="F119" s="93"/>
      <c r="G119" s="289"/>
      <c r="H119" s="289"/>
      <c r="I119" s="338"/>
      <c r="J119" s="289"/>
      <c r="K119" s="289"/>
      <c r="L119" s="1336">
        <v>46</v>
      </c>
    </row>
    <row r="120" spans="1:12">
      <c r="A120" s="1336">
        <v>47</v>
      </c>
      <c r="B120" s="338"/>
      <c r="C120" s="11"/>
      <c r="D120" s="11"/>
      <c r="E120" s="338"/>
      <c r="F120" s="93"/>
      <c r="G120" s="289"/>
      <c r="H120" s="289"/>
      <c r="I120" s="338"/>
      <c r="J120" s="289"/>
      <c r="K120" s="289"/>
      <c r="L120" s="1336">
        <v>47</v>
      </c>
    </row>
    <row r="121" spans="1:12">
      <c r="A121" s="1336">
        <v>48</v>
      </c>
      <c r="B121" s="338"/>
      <c r="C121" s="11"/>
      <c r="D121" s="11"/>
      <c r="E121" s="338"/>
      <c r="F121" s="93"/>
      <c r="G121" s="289"/>
      <c r="H121" s="289"/>
      <c r="I121" s="338"/>
      <c r="J121" s="289"/>
      <c r="K121" s="289"/>
      <c r="L121" s="1336">
        <v>48</v>
      </c>
    </row>
    <row r="122" spans="1:12">
      <c r="A122" s="1336">
        <v>49</v>
      </c>
      <c r="B122" s="338"/>
      <c r="C122" s="11"/>
      <c r="D122" s="11"/>
      <c r="E122" s="338"/>
      <c r="F122" s="93"/>
      <c r="G122" s="289"/>
      <c r="H122" s="289"/>
      <c r="I122" s="338"/>
      <c r="J122" s="289"/>
      <c r="K122" s="289"/>
      <c r="L122" s="1336">
        <v>49</v>
      </c>
    </row>
    <row r="123" spans="1:12">
      <c r="A123" s="1336">
        <v>50</v>
      </c>
      <c r="B123" s="338"/>
      <c r="C123" s="11"/>
      <c r="D123" s="11"/>
      <c r="E123" s="338"/>
      <c r="F123" s="93"/>
      <c r="G123" s="289"/>
      <c r="H123" s="289"/>
      <c r="I123" s="338"/>
      <c r="J123" s="289"/>
      <c r="K123" s="289"/>
      <c r="L123" s="1336">
        <v>50</v>
      </c>
    </row>
    <row r="124" spans="1:12">
      <c r="A124" s="1336">
        <v>51</v>
      </c>
      <c r="B124" s="338"/>
      <c r="C124" s="11"/>
      <c r="D124" s="11"/>
      <c r="E124" s="338"/>
      <c r="F124" s="93"/>
      <c r="G124" s="289"/>
      <c r="H124" s="289"/>
      <c r="I124" s="338"/>
      <c r="J124" s="289"/>
      <c r="K124" s="289"/>
      <c r="L124" s="1336">
        <v>51</v>
      </c>
    </row>
    <row r="125" spans="1:12">
      <c r="A125" s="1336">
        <v>52</v>
      </c>
      <c r="B125" s="338"/>
      <c r="C125" s="11"/>
      <c r="D125" s="11"/>
      <c r="E125" s="338"/>
      <c r="F125" s="93"/>
      <c r="G125" s="289"/>
      <c r="H125" s="289"/>
      <c r="I125" s="338"/>
      <c r="J125" s="289"/>
      <c r="K125" s="289"/>
      <c r="L125" s="1336">
        <v>52</v>
      </c>
    </row>
    <row r="126" spans="1:12">
      <c r="A126" s="1336">
        <v>53</v>
      </c>
      <c r="B126" s="338"/>
      <c r="C126" s="11"/>
      <c r="D126" s="11"/>
      <c r="E126" s="338"/>
      <c r="F126" s="93"/>
      <c r="G126" s="289"/>
      <c r="H126" s="289"/>
      <c r="I126" s="338"/>
      <c r="J126" s="289"/>
      <c r="K126" s="289"/>
      <c r="L126" s="1336">
        <v>53</v>
      </c>
    </row>
    <row r="127" spans="1:12">
      <c r="A127" s="1336">
        <v>54</v>
      </c>
      <c r="B127" s="338"/>
      <c r="C127" s="11"/>
      <c r="D127" s="11"/>
      <c r="E127" s="338"/>
      <c r="F127" s="93"/>
      <c r="G127" s="289"/>
      <c r="H127" s="289"/>
      <c r="I127" s="338"/>
      <c r="J127" s="289"/>
      <c r="K127" s="289"/>
      <c r="L127" s="1336">
        <v>54</v>
      </c>
    </row>
    <row r="128" spans="1:12" ht="15.75" thickBot="1">
      <c r="A128" s="1337">
        <v>55</v>
      </c>
      <c r="B128" s="1329" t="s">
        <v>3323</v>
      </c>
      <c r="C128" s="138"/>
      <c r="D128" s="138"/>
      <c r="E128" s="339"/>
      <c r="F128" s="1338"/>
      <c r="G128" s="269">
        <f>SUM(G74:G127)</f>
        <v>0</v>
      </c>
      <c r="H128" s="269">
        <f>SUM(H74:H127)</f>
        <v>0</v>
      </c>
      <c r="I128" s="339"/>
      <c r="J128" s="269">
        <f>SUM(J74:J127)</f>
        <v>0</v>
      </c>
      <c r="K128" s="269">
        <f>SUM(K74:K127)</f>
        <v>0</v>
      </c>
      <c r="L128" s="1337">
        <v>55</v>
      </c>
    </row>
    <row r="129" spans="1:12">
      <c r="A129" s="11" t="s">
        <v>4066</v>
      </c>
      <c r="B129" s="11"/>
      <c r="C129" s="11"/>
      <c r="D129" s="11"/>
      <c r="E129" s="11"/>
      <c r="F129" s="11" t="s">
        <v>4066</v>
      </c>
      <c r="G129" s="11"/>
      <c r="H129" s="131"/>
    </row>
    <row r="130" spans="1:12">
      <c r="A130" s="131" t="s">
        <v>4235</v>
      </c>
      <c r="B130" s="131"/>
      <c r="C130" s="131"/>
      <c r="D130" s="131"/>
      <c r="E130" s="131"/>
      <c r="F130" s="131" t="s">
        <v>4236</v>
      </c>
      <c r="G130" s="131"/>
      <c r="H130" s="131"/>
      <c r="I130" s="131"/>
      <c r="J130" s="131"/>
      <c r="K130" s="131"/>
      <c r="L130" s="131">
        <v>7</v>
      </c>
    </row>
  </sheetData>
  <customSheetViews>
    <customSheetView guid="{1BA452AD-1A45-4D9C-9666-ADFFA6F2F567}" scale="60" colorId="22" showPageBreaks="1" printArea="1" view="pageBreakPreview" topLeftCell="C4">
      <selection activeCell="G26" sqref="G26"/>
      <colBreaks count="1" manualBreakCount="1">
        <brk id="5" max="65" man="1"/>
      </colBreaks>
      <pageMargins left="0.75" right="0.4" top="0.3" bottom="0.3" header="0" footer="0"/>
      <printOptions horizontalCentered="1" verticalCentered="1"/>
      <pageSetup scale="71" fitToWidth="2" pageOrder="overThenDown" orientation="portrait" r:id="rId1"/>
      <headerFooter alignWithMargins="0"/>
    </customSheetView>
    <customSheetView guid="{EEF7ABD6-0F96-4791-B749-C06F707E7673}" scale="60" colorId="22" showPageBreaks="1" printArea="1" view="pageBreakPreview" showRuler="0" topLeftCell="C1">
      <selection activeCell="E41" sqref="E41"/>
      <colBreaks count="1" manualBreakCount="1">
        <brk id="5" max="65" man="1"/>
      </colBreaks>
      <pageMargins left="0.75" right="0.4" top="0.3" bottom="0.3" header="0" footer="0"/>
      <printOptions horizontalCentered="1" verticalCentered="1"/>
      <pageSetup scale="71" fitToWidth="2" pageOrder="overThenDown" orientation="portrait" r:id="rId2"/>
      <headerFooter alignWithMargins="0"/>
    </customSheetView>
    <customSheetView guid="{A7D7DB3C-AFE6-468E-8C6B-9531F6711497}" scale="85" colorId="22" showRuler="0" topLeftCell="D1">
      <selection activeCell="G18" sqref="G18"/>
      <rowBreaks count="1" manualBreakCount="1">
        <brk id="66" max="16383" man="1"/>
      </rowBreaks>
      <colBreaks count="1" manualBreakCount="1">
        <brk id="5" max="1048575" man="1"/>
      </colBreaks>
      <pageMargins left="0.75" right="0.4" top="0.3" bottom="0.3" header="0" footer="0"/>
      <printOptions horizontalCentered="1" verticalCentered="1"/>
      <pageSetup scale="73" fitToWidth="2" pageOrder="overThenDown" orientation="portrait" r:id="rId3"/>
      <headerFooter alignWithMargins="0"/>
    </customSheetView>
    <customSheetView guid="{4436FEB5-BFEC-4348-9286-CB706802873E}" scale="85" colorId="22" showRuler="0" topLeftCell="D1">
      <selection activeCell="G18" sqref="G18"/>
      <rowBreaks count="1" manualBreakCount="1">
        <brk id="66" max="16383" man="1"/>
      </rowBreaks>
      <colBreaks count="1" manualBreakCount="1">
        <brk id="5" max="1048575" man="1"/>
      </colBreaks>
      <pageMargins left="0.75" right="0.4" top="0.3" bottom="0.3" header="0" footer="0"/>
      <printOptions horizontalCentered="1" verticalCentered="1"/>
      <pageSetup scale="73" fitToWidth="2" pageOrder="overThenDown" orientation="portrait" r:id="rId4"/>
      <headerFooter alignWithMargins="0"/>
    </customSheetView>
    <customSheetView guid="{044CF00C-469F-44B3-B2C4-9B4049CE70CB}" scale="50" colorId="22" showRuler="0">
      <selection activeCell="J27" sqref="J27"/>
      <rowBreaks count="1" manualBreakCount="1">
        <brk id="66" max="16383" man="1"/>
      </rowBreaks>
      <colBreaks count="1" manualBreakCount="1">
        <brk id="5" max="1048575" man="1"/>
      </colBreaks>
      <pageMargins left="0.75" right="0.4" top="0.3" bottom="0.3" header="0" footer="0"/>
      <printOptions horizontalCentered="1" verticalCentered="1"/>
      <pageSetup scale="73" fitToWidth="2" pageOrder="overThenDown" orientation="portrait" r:id="rId5"/>
      <headerFooter alignWithMargins="0"/>
    </customSheetView>
    <customSheetView guid="{4826FCC0-BDD6-4B2C-ACC6-ACE271DDF0E3}" scale="60" colorId="22" showPageBreaks="1" printArea="1" view="pageBreakPreview" showRuler="0" topLeftCell="C1">
      <selection activeCell="E41" sqref="E41"/>
      <colBreaks count="1" manualBreakCount="1">
        <brk id="5" max="65" man="1"/>
      </colBreaks>
      <pageMargins left="0.75" right="0.4" top="0.3" bottom="0.3" header="0" footer="0"/>
      <printOptions horizontalCentered="1" verticalCentered="1"/>
      <pageSetup scale="71" fitToWidth="2" pageOrder="overThenDown" orientation="portrait" r:id="rId6"/>
      <headerFooter alignWithMargins="0"/>
    </customSheetView>
    <customSheetView guid="{EF376D10-23D6-4FE2-AB5B-4460D52CC93F}" scale="60" colorId="22" showPageBreaks="1" printArea="1" view="pageBreakPreview" showRuler="0" topLeftCell="C1">
      <selection activeCell="E41" sqref="E41"/>
      <colBreaks count="1" manualBreakCount="1">
        <brk id="5" max="65" man="1"/>
      </colBreaks>
      <pageMargins left="0.75" right="0.4" top="0.3" bottom="0.3" header="0" footer="0"/>
      <printOptions horizontalCentered="1" verticalCentered="1"/>
      <pageSetup scale="71" fitToWidth="2" pageOrder="overThenDown" orientation="portrait" r:id="rId7"/>
      <headerFooter alignWithMargins="0"/>
    </customSheetView>
    <customSheetView guid="{1C046605-15CE-44F1-BFCD-2CA8588E7ACF}" scale="85" colorId="22" showRuler="0" topLeftCell="F1">
      <selection activeCell="N27" sqref="N27"/>
      <colBreaks count="1" manualBreakCount="1">
        <brk id="5" max="65" man="1"/>
      </colBreaks>
      <pageMargins left="0.75" right="0.4" top="0.3" bottom="0.3" header="0" footer="0"/>
      <printOptions horizontalCentered="1" verticalCentered="1"/>
      <pageSetup scale="71" fitToWidth="2" pageOrder="overThenDown" orientation="portrait" r:id="rId8"/>
      <headerFooter alignWithMargins="0"/>
    </customSheetView>
    <customSheetView guid="{3911D713-188C-46A1-A299-F21DD3B7A146}" scale="85" colorId="22" showRuler="0" topLeftCell="F1">
      <selection activeCell="N27" sqref="N27"/>
      <colBreaks count="1" manualBreakCount="1">
        <brk id="5" max="65" man="1"/>
      </colBreaks>
      <pageMargins left="0.75" right="0.4" top="0.3" bottom="0.3" header="0" footer="0"/>
      <printOptions horizontalCentered="1" verticalCentered="1"/>
      <pageSetup scale="71" fitToWidth="2" pageOrder="overThenDown" orientation="portrait" r:id="rId9"/>
      <headerFooter alignWithMargins="0"/>
    </customSheetView>
    <customSheetView guid="{78BB1E60-60BE-4F56-9763-075185EFEFAB}" colorId="22">
      <selection activeCell="D13" sqref="D13"/>
      <colBreaks count="1" manualBreakCount="1">
        <brk id="5" max="64" man="1"/>
      </colBreaks>
      <pageMargins left="0.75" right="0.4" top="0.3" bottom="0.3" header="0" footer="0"/>
      <printOptions horizontalCentered="1" verticalCentered="1"/>
      <pageSetup scale="75" fitToWidth="2" pageOrder="overThenDown" orientation="portrait" r:id="rId10"/>
      <headerFooter alignWithMargins="0"/>
    </customSheetView>
    <customSheetView guid="{9C30803E-1E2D-4850-B0A5-591CA6F246A1}" colorId="22">
      <selection activeCell="D13" sqref="D13"/>
      <colBreaks count="1" manualBreakCount="1">
        <brk id="5" max="64" man="1"/>
      </colBreaks>
      <pageMargins left="0.75" right="0.4" top="0.3" bottom="0.3" header="0" footer="0"/>
      <printOptions horizontalCentered="1" verticalCentered="1"/>
      <pageSetup scale="75" fitToWidth="2" pageOrder="overThenDown" orientation="portrait" r:id="rId11"/>
      <headerFooter alignWithMargins="0"/>
    </customSheetView>
    <customSheetView guid="{3B1006FF-A2CA-49E7-9B25-DAC8815279AF}" colorId="22">
      <selection activeCell="D13" sqref="D13"/>
      <colBreaks count="1" manualBreakCount="1">
        <brk id="5" max="64" man="1"/>
      </colBreaks>
      <pageMargins left="0.75" right="0.4" top="0.3" bottom="0.3" header="0" footer="0"/>
      <printOptions horizontalCentered="1" verticalCentered="1"/>
      <pageSetup scale="75" fitToWidth="2" pageOrder="overThenDown" orientation="portrait" r:id="rId12"/>
      <headerFooter alignWithMargins="0"/>
    </customSheetView>
    <customSheetView guid="{FB1A60C8-E1F9-4DF0-8E0E-1C965F86027F}" colorId="22">
      <selection activeCell="D13" sqref="D13"/>
      <colBreaks count="1" manualBreakCount="1">
        <brk id="5" max="64" man="1"/>
      </colBreaks>
      <pageMargins left="0.75" right="0.4" top="0.3" bottom="0.3" header="0" footer="0"/>
      <printOptions horizontalCentered="1" verticalCentered="1"/>
      <pageSetup scale="75" fitToWidth="2" pageOrder="overThenDown" orientation="portrait" r:id="rId13"/>
      <headerFooter alignWithMargins="0"/>
    </customSheetView>
    <customSheetView guid="{C5B6D812-CBE6-46AA-99F7-02494E9802B4}" scale="70" colorId="22" topLeftCell="B13">
      <selection activeCell="C10" sqref="C10"/>
      <colBreaks count="1" manualBreakCount="1">
        <brk id="5" max="64" man="1"/>
      </colBreaks>
      <pageMargins left="0.38" right="0.24" top="0.3" bottom="0.3" header="0" footer="0"/>
      <printOptions horizontalCentered="1" verticalCentered="1"/>
      <pageSetup scale="75" fitToWidth="2" pageOrder="overThenDown" orientation="portrait" r:id="rId14"/>
      <headerFooter alignWithMargins="0"/>
    </customSheetView>
  </customSheetViews>
  <phoneticPr fontId="0" type="noConversion"/>
  <printOptions horizontalCentered="1" verticalCentered="1"/>
  <pageMargins left="0.38" right="0.24" top="0.3" bottom="0.3" header="0" footer="0"/>
  <pageSetup scale="75" fitToWidth="2" pageOrder="overThenDown" orientation="portrait" r:id="rId15"/>
  <headerFooter alignWithMargins="0"/>
  <colBreaks count="1" manualBreakCount="1">
    <brk id="5" max="64" man="1"/>
  </colBreaks>
  <customProperties>
    <customPr name="_pios_id" r:id="rId16"/>
  </customProperties>
</worksheet>
</file>

<file path=xl/worksheets/sheet63.xml><?xml version="1.0" encoding="utf-8"?>
<worksheet xmlns="http://schemas.openxmlformats.org/spreadsheetml/2006/main" xmlns:r="http://schemas.openxmlformats.org/officeDocument/2006/relationships">
  <sheetPr transitionEvaluation="1" codeName="Sheet62" enableFormatConditionsCalculation="0">
    <pageSetUpPr fitToPage="1"/>
  </sheetPr>
  <dimension ref="A1:M62"/>
  <sheetViews>
    <sheetView defaultGridColor="0" colorId="22" zoomScaleNormal="100" zoomScaleSheetLayoutView="70" workbookViewId="0"/>
  </sheetViews>
  <sheetFormatPr defaultColWidth="9.77734375" defaultRowHeight="15"/>
  <cols>
    <col min="1" max="1" width="4.77734375" customWidth="1"/>
    <col min="2" max="2" width="43.77734375" customWidth="1"/>
    <col min="3" max="3" width="5.77734375" customWidth="1"/>
    <col min="4" max="4" width="19.88671875" customWidth="1"/>
    <col min="5" max="5" width="18.109375" customWidth="1"/>
    <col min="6" max="6" width="20.109375" customWidth="1"/>
    <col min="8" max="9" width="12.77734375" bestFit="1" customWidth="1"/>
    <col min="10" max="11" width="12.6640625" bestFit="1" customWidth="1"/>
  </cols>
  <sheetData>
    <row r="1" spans="1:7" ht="15.75" thickBot="1">
      <c r="A1" s="186" t="str">
        <f>'Data sheet'!$A$63</f>
        <v>Annual Report of New York American Water Company, Inc. (f/k/a Long Island Water Corp)                                    Year Ended  December 31, 2013</v>
      </c>
      <c r="E1" s="1633"/>
      <c r="F1" s="1633"/>
    </row>
    <row r="2" spans="1:7">
      <c r="A2" s="90"/>
      <c r="B2" s="91"/>
      <c r="C2" s="91"/>
      <c r="D2" s="91"/>
      <c r="E2" s="91"/>
      <c r="F2" s="92"/>
      <c r="G2" s="93"/>
    </row>
    <row r="3" spans="1:7" ht="15.75">
      <c r="A3" s="360" t="s">
        <v>4237</v>
      </c>
      <c r="B3" s="361"/>
      <c r="C3" s="134"/>
      <c r="D3" s="134"/>
      <c r="E3" s="134"/>
      <c r="F3" s="135"/>
    </row>
    <row r="4" spans="1:7" ht="15.75">
      <c r="A4" s="176"/>
      <c r="B4" s="313"/>
      <c r="C4" s="131"/>
      <c r="D4" s="131"/>
      <c r="E4" s="131"/>
      <c r="F4" s="1339"/>
    </row>
    <row r="5" spans="1:7">
      <c r="A5" s="93" t="s">
        <v>4238</v>
      </c>
      <c r="B5" s="11"/>
      <c r="C5" s="11"/>
      <c r="D5" s="11" t="s">
        <v>4239</v>
      </c>
      <c r="E5" s="11"/>
      <c r="F5" s="338"/>
    </row>
    <row r="6" spans="1:7">
      <c r="A6" s="93" t="s">
        <v>2134</v>
      </c>
      <c r="B6" s="11"/>
      <c r="C6" s="11"/>
      <c r="D6" s="11" t="s">
        <v>422</v>
      </c>
      <c r="E6" s="11"/>
      <c r="F6" s="338"/>
    </row>
    <row r="7" spans="1:7">
      <c r="A7" s="93" t="s">
        <v>423</v>
      </c>
      <c r="B7" s="11"/>
      <c r="C7" s="11"/>
      <c r="D7" s="11" t="s">
        <v>1227</v>
      </c>
      <c r="E7" s="11"/>
      <c r="F7" s="338"/>
    </row>
    <row r="8" spans="1:7">
      <c r="A8" s="93" t="s">
        <v>1228</v>
      </c>
      <c r="B8" s="11"/>
      <c r="C8" s="11"/>
      <c r="D8" s="11" t="s">
        <v>2594</v>
      </c>
      <c r="E8" s="11"/>
      <c r="F8" s="338"/>
    </row>
    <row r="9" spans="1:7">
      <c r="A9" s="93"/>
      <c r="B9" s="11"/>
      <c r="C9" s="11"/>
      <c r="D9" s="11"/>
      <c r="E9" s="11"/>
      <c r="F9" s="338"/>
    </row>
    <row r="10" spans="1:7">
      <c r="A10" s="1277"/>
      <c r="B10" s="1340"/>
      <c r="C10" s="1341"/>
      <c r="D10" s="1341"/>
      <c r="E10" s="1341" t="s">
        <v>2595</v>
      </c>
      <c r="F10" s="1342"/>
    </row>
    <row r="11" spans="1:7">
      <c r="A11" s="518" t="s">
        <v>1129</v>
      </c>
      <c r="B11" s="131" t="s">
        <v>2616</v>
      </c>
      <c r="C11" s="1343"/>
      <c r="D11" s="1344" t="s">
        <v>2596</v>
      </c>
      <c r="E11" s="1344" t="s">
        <v>2597</v>
      </c>
      <c r="F11" s="1300" t="s">
        <v>3323</v>
      </c>
    </row>
    <row r="12" spans="1:7">
      <c r="A12" s="518" t="s">
        <v>3324</v>
      </c>
      <c r="B12" s="1345"/>
      <c r="C12" s="651"/>
      <c r="D12" s="1344" t="s">
        <v>2598</v>
      </c>
      <c r="E12" s="1344" t="s">
        <v>2599</v>
      </c>
      <c r="F12" s="1300"/>
    </row>
    <row r="13" spans="1:7">
      <c r="A13" s="612"/>
      <c r="B13" s="134" t="s">
        <v>4032</v>
      </c>
      <c r="C13" s="1346"/>
      <c r="D13" s="1347" t="s">
        <v>4033</v>
      </c>
      <c r="E13" s="1347" t="s">
        <v>4034</v>
      </c>
      <c r="F13" s="1303" t="s">
        <v>4035</v>
      </c>
    </row>
    <row r="14" spans="1:7">
      <c r="A14" s="1348">
        <v>1</v>
      </c>
      <c r="B14" s="1349" t="s">
        <v>4373</v>
      </c>
      <c r="C14" s="1350"/>
      <c r="D14" s="1351"/>
      <c r="E14" s="1352"/>
      <c r="F14" s="1353"/>
    </row>
    <row r="15" spans="1:7">
      <c r="A15" s="612">
        <v>2</v>
      </c>
      <c r="B15" s="293" t="s">
        <v>2600</v>
      </c>
      <c r="C15" s="653"/>
      <c r="D15" s="1354"/>
      <c r="E15" s="497"/>
      <c r="F15" s="505"/>
    </row>
    <row r="16" spans="1:7">
      <c r="A16" s="612">
        <v>3</v>
      </c>
      <c r="B16" s="293" t="s">
        <v>2601</v>
      </c>
      <c r="C16" s="653"/>
      <c r="D16" s="2192">
        <v>0</v>
      </c>
      <c r="E16" s="1355"/>
      <c r="F16" s="505"/>
    </row>
    <row r="17" spans="1:6">
      <c r="A17" s="612">
        <v>4</v>
      </c>
      <c r="B17" s="293" t="s">
        <v>1357</v>
      </c>
      <c r="C17" s="653"/>
      <c r="D17" s="2172">
        <v>1069161</v>
      </c>
      <c r="E17" s="383"/>
      <c r="F17" s="2173"/>
    </row>
    <row r="18" spans="1:6">
      <c r="A18" s="612">
        <v>5</v>
      </c>
      <c r="B18" s="293" t="s">
        <v>1358</v>
      </c>
      <c r="C18" s="653"/>
      <c r="D18" s="2172">
        <v>297681</v>
      </c>
      <c r="E18" s="383"/>
      <c r="F18" s="2173"/>
    </row>
    <row r="19" spans="1:6">
      <c r="A19" s="612">
        <v>6</v>
      </c>
      <c r="B19" s="293" t="s">
        <v>1359</v>
      </c>
      <c r="C19" s="653"/>
      <c r="D19" s="2172">
        <v>391279</v>
      </c>
      <c r="E19" s="383"/>
      <c r="F19" s="2173"/>
    </row>
    <row r="20" spans="1:6">
      <c r="A20" s="612">
        <v>7</v>
      </c>
      <c r="B20" s="293" t="s">
        <v>1360</v>
      </c>
      <c r="C20" s="653"/>
      <c r="D20" s="2172">
        <v>712175</v>
      </c>
      <c r="E20" s="383"/>
      <c r="F20" s="2173"/>
    </row>
    <row r="21" spans="1:6">
      <c r="A21" s="612">
        <v>8</v>
      </c>
      <c r="B21" s="293" t="s">
        <v>1361</v>
      </c>
      <c r="C21" s="653"/>
      <c r="D21" s="2172">
        <v>0</v>
      </c>
      <c r="E21" s="383"/>
      <c r="F21" s="2173"/>
    </row>
    <row r="22" spans="1:6">
      <c r="A22" s="612">
        <v>9</v>
      </c>
      <c r="B22" s="293" t="s">
        <v>1362</v>
      </c>
      <c r="C22" s="653"/>
      <c r="D22" s="2172">
        <v>2585347</v>
      </c>
      <c r="E22" s="383"/>
      <c r="F22" s="2173"/>
    </row>
    <row r="23" spans="1:6">
      <c r="A23" s="612">
        <v>10</v>
      </c>
      <c r="B23" s="293" t="s">
        <v>1363</v>
      </c>
      <c r="C23" s="653"/>
      <c r="D23" s="2174">
        <f>SUM(D16:D22)</f>
        <v>5055643</v>
      </c>
      <c r="E23" s="383"/>
      <c r="F23" s="2173"/>
    </row>
    <row r="24" spans="1:6">
      <c r="A24" s="612">
        <v>11</v>
      </c>
      <c r="B24" s="293" t="s">
        <v>1364</v>
      </c>
      <c r="C24" s="653"/>
      <c r="D24" s="2175"/>
      <c r="E24" s="2176"/>
      <c r="F24" s="2173"/>
    </row>
    <row r="25" spans="1:6">
      <c r="A25" s="612">
        <v>12</v>
      </c>
      <c r="B25" s="293" t="s">
        <v>2601</v>
      </c>
      <c r="C25" s="653"/>
      <c r="D25" s="2177">
        <v>0</v>
      </c>
      <c r="E25" s="383"/>
      <c r="F25" s="2173"/>
    </row>
    <row r="26" spans="1:6">
      <c r="A26" s="612">
        <v>13</v>
      </c>
      <c r="B26" s="293" t="s">
        <v>1357</v>
      </c>
      <c r="C26" s="653"/>
      <c r="D26" s="2177">
        <v>482</v>
      </c>
      <c r="E26" s="383"/>
      <c r="F26" s="2173"/>
    </row>
    <row r="27" spans="1:6">
      <c r="A27" s="612">
        <v>14</v>
      </c>
      <c r="B27" s="293" t="s">
        <v>1358</v>
      </c>
      <c r="C27" s="653"/>
      <c r="D27" s="2177">
        <v>194257</v>
      </c>
      <c r="E27" s="383"/>
      <c r="F27" s="2173"/>
    </row>
    <row r="28" spans="1:6">
      <c r="A28" s="612">
        <v>15</v>
      </c>
      <c r="B28" s="293" t="s">
        <v>1359</v>
      </c>
      <c r="C28" s="653"/>
      <c r="D28" s="2177">
        <v>1283705</v>
      </c>
      <c r="E28" s="383"/>
      <c r="F28" s="2173"/>
    </row>
    <row r="29" spans="1:6">
      <c r="A29" s="612">
        <v>16</v>
      </c>
      <c r="B29" s="293" t="s">
        <v>1362</v>
      </c>
      <c r="C29" s="653"/>
      <c r="D29" s="2177">
        <v>54717</v>
      </c>
      <c r="E29" s="383"/>
      <c r="F29" s="2173"/>
    </row>
    <row r="30" spans="1:6">
      <c r="A30" s="612">
        <v>17</v>
      </c>
      <c r="B30" s="293" t="s">
        <v>1365</v>
      </c>
      <c r="C30" s="653"/>
      <c r="D30" s="2178">
        <f>SUM(D25:D29)</f>
        <v>1533161</v>
      </c>
      <c r="E30" s="383"/>
      <c r="F30" s="2173"/>
    </row>
    <row r="31" spans="1:6">
      <c r="A31" s="612">
        <v>18</v>
      </c>
      <c r="B31" s="293" t="s">
        <v>1366</v>
      </c>
      <c r="C31" s="653"/>
      <c r="D31" s="2175"/>
      <c r="E31" s="2176"/>
      <c r="F31" s="2173"/>
    </row>
    <row r="32" spans="1:6">
      <c r="A32" s="612">
        <v>19</v>
      </c>
      <c r="B32" s="293" t="s">
        <v>2601</v>
      </c>
      <c r="C32" s="653"/>
      <c r="D32" s="2178">
        <f>D16+D25</f>
        <v>0</v>
      </c>
      <c r="E32" s="383"/>
      <c r="F32" s="2173"/>
    </row>
    <row r="33" spans="1:13">
      <c r="A33" s="612">
        <v>20</v>
      </c>
      <c r="B33" s="293" t="s">
        <v>1357</v>
      </c>
      <c r="C33" s="653"/>
      <c r="D33" s="2178">
        <f>D17+D26</f>
        <v>1069643</v>
      </c>
      <c r="E33" s="383"/>
      <c r="F33" s="2173"/>
    </row>
    <row r="34" spans="1:13">
      <c r="A34" s="612">
        <v>21</v>
      </c>
      <c r="B34" s="293" t="s">
        <v>1358</v>
      </c>
      <c r="C34" s="653"/>
      <c r="D34" s="2178">
        <f>D18+D27</f>
        <v>491938</v>
      </c>
      <c r="E34" s="383"/>
      <c r="F34" s="2173"/>
    </row>
    <row r="35" spans="1:13">
      <c r="A35" s="612">
        <v>22</v>
      </c>
      <c r="B35" s="293" t="s">
        <v>1359</v>
      </c>
      <c r="C35" s="653"/>
      <c r="D35" s="2178">
        <f>D19+D28</f>
        <v>1674984</v>
      </c>
      <c r="E35" s="383"/>
      <c r="F35" s="2173"/>
    </row>
    <row r="36" spans="1:13">
      <c r="A36" s="612">
        <v>23</v>
      </c>
      <c r="B36" s="293" t="s">
        <v>1360</v>
      </c>
      <c r="C36" s="653"/>
      <c r="D36" s="2178">
        <f>D20</f>
        <v>712175</v>
      </c>
      <c r="E36" s="383"/>
      <c r="F36" s="2173"/>
    </row>
    <row r="37" spans="1:13">
      <c r="A37" s="612">
        <v>24</v>
      </c>
      <c r="B37" s="293" t="s">
        <v>1361</v>
      </c>
      <c r="C37" s="653"/>
      <c r="D37" s="2178">
        <f>D21</f>
        <v>0</v>
      </c>
      <c r="E37" s="383"/>
      <c r="F37" s="2173"/>
    </row>
    <row r="38" spans="1:13">
      <c r="A38" s="612">
        <v>25</v>
      </c>
      <c r="B38" s="293" t="s">
        <v>1362</v>
      </c>
      <c r="C38" s="653"/>
      <c r="D38" s="2178">
        <f>D22+D29</f>
        <v>2640064</v>
      </c>
      <c r="E38" s="2179"/>
      <c r="F38" s="2180"/>
    </row>
    <row r="39" spans="1:13">
      <c r="A39" s="612">
        <v>26</v>
      </c>
      <c r="B39" s="293" t="s">
        <v>2605</v>
      </c>
      <c r="C39" s="653"/>
      <c r="D39" s="2178">
        <f>SUM(D32:D38)</f>
        <v>6588804</v>
      </c>
      <c r="E39" s="2177">
        <v>567587</v>
      </c>
      <c r="F39" s="363">
        <f>D39+E39</f>
        <v>7156391</v>
      </c>
    </row>
    <row r="40" spans="1:13">
      <c r="A40" s="612">
        <v>27</v>
      </c>
      <c r="B40" s="771" t="s">
        <v>2425</v>
      </c>
      <c r="C40" s="651"/>
      <c r="D40" s="325"/>
      <c r="E40" s="325"/>
      <c r="F40" s="309"/>
    </row>
    <row r="41" spans="1:13">
      <c r="A41" s="612">
        <v>28</v>
      </c>
      <c r="B41" s="1614" t="s">
        <v>2606</v>
      </c>
      <c r="C41" s="1350"/>
      <c r="D41" s="2181"/>
      <c r="E41" s="2182"/>
      <c r="F41" s="2183"/>
    </row>
    <row r="42" spans="1:13" s="1633" customFormat="1">
      <c r="A42" s="1695">
        <v>29</v>
      </c>
      <c r="B42" s="1696" t="s">
        <v>2607</v>
      </c>
      <c r="C42" s="1697"/>
      <c r="D42" s="2177">
        <v>510593</v>
      </c>
      <c r="E42" s="2184"/>
      <c r="F42" s="2045">
        <f>D42+E42</f>
        <v>510593</v>
      </c>
      <c r="H42"/>
      <c r="I42"/>
      <c r="J42"/>
      <c r="K42"/>
      <c r="L42"/>
      <c r="M42"/>
    </row>
    <row r="43" spans="1:13" s="1633" customFormat="1">
      <c r="A43" s="1695">
        <v>30</v>
      </c>
      <c r="B43" s="1696" t="s">
        <v>2059</v>
      </c>
      <c r="C43" s="1697"/>
      <c r="D43" s="2184"/>
      <c r="E43" s="2184"/>
      <c r="F43" s="2045">
        <f>D43+E43</f>
        <v>0</v>
      </c>
      <c r="H43"/>
      <c r="I43"/>
      <c r="J43"/>
      <c r="K43"/>
      <c r="L43"/>
      <c r="M43"/>
    </row>
    <row r="44" spans="1:13" s="1633" customFormat="1">
      <c r="A44" s="1695">
        <v>31</v>
      </c>
      <c r="B44" s="1696" t="s">
        <v>2060</v>
      </c>
      <c r="C44" s="1697"/>
      <c r="D44" s="2185">
        <f>SUM(D42:D43)</f>
        <v>510593</v>
      </c>
      <c r="E44" s="2186">
        <f>SUM(E42:E43)</f>
        <v>0</v>
      </c>
      <c r="F44" s="2045">
        <f>SUM(F42:F43)</f>
        <v>510593</v>
      </c>
      <c r="H44"/>
      <c r="I44"/>
      <c r="J44"/>
      <c r="K44"/>
      <c r="L44"/>
      <c r="M44"/>
    </row>
    <row r="45" spans="1:13" s="1633" customFormat="1">
      <c r="A45" s="1695">
        <v>32</v>
      </c>
      <c r="B45" s="1696" t="s">
        <v>2061</v>
      </c>
      <c r="C45" s="1697"/>
      <c r="D45" s="2181"/>
      <c r="E45" s="2182"/>
      <c r="F45" s="2183"/>
      <c r="H45"/>
      <c r="I45"/>
      <c r="J45"/>
      <c r="K45"/>
      <c r="L45"/>
      <c r="M45"/>
    </row>
    <row r="46" spans="1:13" s="1633" customFormat="1">
      <c r="A46" s="1695">
        <v>33</v>
      </c>
      <c r="B46" s="1696" t="s">
        <v>2607</v>
      </c>
      <c r="C46" s="1697"/>
      <c r="D46" s="2184"/>
      <c r="E46" s="2184"/>
      <c r="F46" s="2045">
        <f>D46+E46</f>
        <v>0</v>
      </c>
      <c r="H46"/>
      <c r="I46"/>
      <c r="J46"/>
      <c r="K46"/>
      <c r="L46"/>
      <c r="M46"/>
    </row>
    <row r="47" spans="1:13" s="1633" customFormat="1">
      <c r="A47" s="1695">
        <v>34</v>
      </c>
      <c r="B47" s="1696" t="s">
        <v>2059</v>
      </c>
      <c r="C47" s="1697"/>
      <c r="D47" s="2184"/>
      <c r="E47" s="2184"/>
      <c r="F47" s="2045">
        <f>D47+E47</f>
        <v>0</v>
      </c>
      <c r="H47"/>
      <c r="I47"/>
      <c r="J47"/>
      <c r="K47"/>
      <c r="L47"/>
      <c r="M47"/>
    </row>
    <row r="48" spans="1:13" s="1633" customFormat="1">
      <c r="A48" s="1695"/>
      <c r="B48" s="1696"/>
      <c r="C48" s="1697"/>
      <c r="D48" s="2187"/>
      <c r="E48" s="2187"/>
      <c r="F48" s="2062"/>
      <c r="H48"/>
      <c r="I48"/>
      <c r="J48"/>
      <c r="K48"/>
      <c r="L48"/>
      <c r="M48"/>
    </row>
    <row r="49" spans="1:13" s="1633" customFormat="1">
      <c r="A49" s="1695">
        <v>35</v>
      </c>
      <c r="B49" s="1696" t="s">
        <v>195</v>
      </c>
      <c r="C49" s="1697"/>
      <c r="D49" s="2186">
        <f>SUM(D46:D47)</f>
        <v>0</v>
      </c>
      <c r="E49" s="2186">
        <f>SUM(E46:E47)</f>
        <v>0</v>
      </c>
      <c r="F49" s="2045">
        <f>SUM(F46:F47)</f>
        <v>0</v>
      </c>
      <c r="H49"/>
      <c r="I49"/>
      <c r="J49"/>
      <c r="K49"/>
      <c r="L49"/>
      <c r="M49"/>
    </row>
    <row r="50" spans="1:13" s="1633" customFormat="1">
      <c r="A50" s="1695"/>
      <c r="B50" s="1696"/>
      <c r="C50" s="1697"/>
      <c r="D50" s="2188"/>
      <c r="E50" s="2188"/>
      <c r="F50" s="2189"/>
      <c r="H50"/>
      <c r="I50"/>
      <c r="J50"/>
      <c r="K50"/>
      <c r="L50"/>
      <c r="M50"/>
    </row>
    <row r="51" spans="1:13" s="1633" customFormat="1">
      <c r="A51" s="1695">
        <v>36</v>
      </c>
      <c r="B51" s="1666" t="s">
        <v>196</v>
      </c>
      <c r="C51" s="1698"/>
      <c r="D51" s="2164"/>
      <c r="E51" s="2164"/>
      <c r="F51" s="2062">
        <f>D51+E51</f>
        <v>0</v>
      </c>
      <c r="H51"/>
      <c r="I51"/>
      <c r="J51"/>
      <c r="K51"/>
      <c r="L51"/>
      <c r="M51"/>
    </row>
    <row r="52" spans="1:13" s="1633" customFormat="1" ht="15.75" thickBot="1">
      <c r="A52" s="1699">
        <v>37</v>
      </c>
      <c r="B52" s="1700" t="s">
        <v>197</v>
      </c>
      <c r="C52" s="1701"/>
      <c r="D52" s="2190">
        <f>D39+D44+D49+D51</f>
        <v>7099397</v>
      </c>
      <c r="E52" s="2190">
        <f>E39+E44+E49+E51</f>
        <v>567587</v>
      </c>
      <c r="F52" s="2191">
        <f>F39+F44+F49+F51</f>
        <v>7666984</v>
      </c>
      <c r="H52"/>
      <c r="I52"/>
      <c r="J52"/>
      <c r="K52"/>
      <c r="L52"/>
      <c r="M52"/>
    </row>
    <row r="53" spans="1:13" s="1633" customFormat="1">
      <c r="A53" s="1702" t="s">
        <v>4066</v>
      </c>
      <c r="D53" s="2072"/>
      <c r="E53" s="2072"/>
      <c r="F53" s="2072"/>
    </row>
    <row r="54" spans="1:13">
      <c r="A54" s="131" t="s">
        <v>198</v>
      </c>
      <c r="B54" s="131"/>
      <c r="C54" s="131"/>
      <c r="D54" s="131"/>
      <c r="E54" s="131"/>
      <c r="F54" s="131"/>
    </row>
    <row r="55" spans="1:13">
      <c r="A55" s="131"/>
      <c r="B55" s="131"/>
      <c r="C55" s="131"/>
      <c r="D55" s="131"/>
      <c r="E55" s="131"/>
      <c r="F55" s="131"/>
    </row>
    <row r="56" spans="1:13">
      <c r="A56" s="131"/>
      <c r="B56" s="131"/>
      <c r="C56" s="131"/>
      <c r="D56" s="131"/>
      <c r="E56" s="131"/>
      <c r="F56" s="131"/>
    </row>
    <row r="62" spans="1:13">
      <c r="A62" s="771"/>
    </row>
  </sheetData>
  <customSheetViews>
    <customSheetView guid="{1BA452AD-1A45-4D9C-9666-ADFFA6F2F567}" scale="70" colorId="22" showPageBreaks="1" fitToPage="1" printArea="1" view="pageBreakPreview">
      <selection activeCell="E60" sqref="E60"/>
      <pageMargins left="0.75" right="0.4" top="0" bottom="0" header="0" footer="0"/>
      <printOptions horizontalCentered="1" verticalCentered="1"/>
      <pageSetup scale="69" orientation="portrait" r:id="rId1"/>
      <headerFooter alignWithMargins="0"/>
    </customSheetView>
    <customSheetView guid="{EEF7ABD6-0F96-4791-B749-C06F707E7673}" scale="75" colorId="22" fitToPage="1" showRuler="0">
      <selection activeCell="D51" sqref="D51"/>
      <pageMargins left="0.75" right="0.4" top="0" bottom="0" header="0" footer="0"/>
      <printOptions horizontalCentered="1" verticalCentered="1"/>
      <pageSetup scale="69" orientation="portrait" r:id="rId2"/>
      <headerFooter alignWithMargins="0"/>
    </customSheetView>
    <customSheetView guid="{A7D7DB3C-AFE6-468E-8C6B-9531F6711497}" scale="75" colorId="22" showRuler="0" topLeftCell="A16">
      <selection activeCell="D42" sqref="D42"/>
      <colBreaks count="1" manualBreakCount="1">
        <brk id="6" max="1048575" man="1"/>
      </colBreaks>
      <pageMargins left="0.75" right="0.4" top="0.3" bottom="0.3" header="0" footer="0"/>
      <printOptions horizontalCentered="1" verticalCentered="1"/>
      <pageSetup scale="69" orientation="portrait" r:id="rId3"/>
      <headerFooter alignWithMargins="0"/>
    </customSheetView>
    <customSheetView guid="{4436FEB5-BFEC-4348-9286-CB706802873E}" scale="75" colorId="22" showRuler="0" topLeftCell="A16">
      <selection activeCell="D29" sqref="D29"/>
      <colBreaks count="1" manualBreakCount="1">
        <brk id="6" max="1048575" man="1"/>
      </colBreaks>
      <pageMargins left="0.75" right="0.4" top="0.3" bottom="0.3" header="0" footer="0"/>
      <printOptions horizontalCentered="1" verticalCentered="1"/>
      <pageSetup scale="69" orientation="portrait" r:id="rId4"/>
      <headerFooter alignWithMargins="0"/>
    </customSheetView>
    <customSheetView guid="{044CF00C-469F-44B3-B2C4-9B4049CE70CB}" scale="75" colorId="22" showRuler="0">
      <selection activeCell="D52" sqref="D52"/>
      <colBreaks count="1" manualBreakCount="1">
        <brk id="6" max="1048575" man="1"/>
      </colBreaks>
      <pageMargins left="0.75" right="0.4" top="0.3" bottom="0.3" header="0" footer="0"/>
      <printOptions horizontalCentered="1" verticalCentered="1"/>
      <pageSetup scale="69" orientation="portrait" r:id="rId5"/>
      <headerFooter alignWithMargins="0"/>
    </customSheetView>
    <customSheetView guid="{4826FCC0-BDD6-4B2C-ACC6-ACE271DDF0E3}" scale="75" colorId="22" fitToPage="1" showRuler="0" topLeftCell="A10">
      <selection activeCell="E57" sqref="E57"/>
      <pageMargins left="0.75" right="0.4" top="0" bottom="0" header="0" footer="0"/>
      <printOptions horizontalCentered="1" verticalCentered="1"/>
      <pageSetup scale="69" orientation="portrait" r:id="rId6"/>
      <headerFooter alignWithMargins="0"/>
    </customSheetView>
    <customSheetView guid="{EF376D10-23D6-4FE2-AB5B-4460D52CC93F}" scale="75" colorId="22" fitToPage="1" showRuler="0" topLeftCell="A10">
      <selection activeCell="E57" sqref="E57"/>
      <pageMargins left="0.75" right="0.4" top="0" bottom="0" header="0" footer="0"/>
      <printOptions horizontalCentered="1" verticalCentered="1"/>
      <pageSetup scale="69" orientation="portrait" r:id="rId7"/>
      <headerFooter alignWithMargins="0"/>
    </customSheetView>
    <customSheetView guid="{1C046605-15CE-44F1-BFCD-2CA8588E7ACF}" colorId="22" fitToPage="1" showRuler="0" topLeftCell="A16">
      <selection activeCell="D26" sqref="D26"/>
      <pageMargins left="0.75" right="0.4" top="0" bottom="0" header="0" footer="0"/>
      <printOptions horizontalCentered="1" verticalCentered="1"/>
      <pageSetup scale="69" orientation="portrait" r:id="rId8"/>
      <headerFooter alignWithMargins="0"/>
    </customSheetView>
    <customSheetView guid="{3911D713-188C-46A1-A299-F21DD3B7A146}" colorId="22" fitToPage="1" showRuler="0" topLeftCell="A16">
      <selection activeCell="D26" sqref="D26"/>
      <pageMargins left="0.75" right="0.4" top="0" bottom="0" header="0" footer="0"/>
      <printOptions horizontalCentered="1" verticalCentered="1"/>
      <pageSetup scale="69" orientation="portrait" r:id="rId9"/>
      <headerFooter alignWithMargins="0"/>
    </customSheetView>
    <customSheetView guid="{78BB1E60-60BE-4F56-9763-075185EFEFAB}" scale="70" colorId="22" showPageBreaks="1" fitToPage="1" printArea="1" view="pageBreakPreview">
      <selection activeCell="D33" sqref="D33"/>
      <pageMargins left="0.75" right="0.4" top="0" bottom="0" header="0" footer="0"/>
      <printOptions horizontalCentered="1" verticalCentered="1"/>
      <pageSetup scale="69" orientation="portrait" r:id="rId10"/>
      <headerFooter alignWithMargins="0"/>
    </customSheetView>
    <customSheetView guid="{9C30803E-1E2D-4850-B0A5-591CA6F246A1}" scale="70" colorId="22" showPageBreaks="1" fitToPage="1" printArea="1" view="pageBreakPreview">
      <selection activeCell="D46" sqref="D46"/>
      <pageMargins left="0.75" right="0.4" top="0" bottom="0" header="0" footer="0"/>
      <printOptions horizontalCentered="1" verticalCentered="1"/>
      <pageSetup scale="69" orientation="portrait" r:id="rId11"/>
      <headerFooter alignWithMargins="0"/>
    </customSheetView>
    <customSheetView guid="{3B1006FF-A2CA-49E7-9B25-DAC8815279AF}" scale="70" colorId="22" showPageBreaks="1" fitToPage="1" printArea="1" view="pageBreakPreview">
      <selection activeCell="D46" sqref="D46"/>
      <pageMargins left="0.75" right="0.4" top="0" bottom="0" header="0" footer="0"/>
      <printOptions horizontalCentered="1" verticalCentered="1"/>
      <pageSetup scale="69" orientation="portrait" r:id="rId12"/>
      <headerFooter alignWithMargins="0"/>
    </customSheetView>
    <customSheetView guid="{FB1A60C8-E1F9-4DF0-8E0E-1C965F86027F}" scale="70" colorId="22" showPageBreaks="1" fitToPage="1" printArea="1" view="pageBreakPreview">
      <selection activeCell="D46" sqref="D46"/>
      <pageMargins left="0.75" right="0.4" top="0" bottom="0" header="0" footer="0"/>
      <printOptions horizontalCentered="1" verticalCentered="1"/>
      <pageSetup scale="69" orientation="portrait" r:id="rId13"/>
      <headerFooter alignWithMargins="0"/>
    </customSheetView>
    <customSheetView guid="{C5B6D812-CBE6-46AA-99F7-02494E9802B4}" scale="70" colorId="22" showPageBreaks="1" fitToPage="1" printArea="1" view="pageBreakPreview" topLeftCell="A4">
      <selection activeCell="C10" sqref="C10"/>
      <pageMargins left="0.75" right="0.4" top="0" bottom="0" header="0" footer="0"/>
      <printOptions horizontalCentered="1" verticalCentered="1"/>
      <pageSetup scale="69" orientation="portrait" r:id="rId14"/>
      <headerFooter alignWithMargins="0"/>
    </customSheetView>
  </customSheetViews>
  <phoneticPr fontId="0" type="noConversion"/>
  <printOptions horizontalCentered="1" verticalCentered="1"/>
  <pageMargins left="0.75" right="0.4" top="0" bottom="0" header="0" footer="0"/>
  <pageSetup scale="69" orientation="portrait" r:id="rId15"/>
  <headerFooter alignWithMargins="0"/>
  <customProperties>
    <customPr name="_pios_id" r:id="rId16"/>
  </customProperties>
</worksheet>
</file>

<file path=xl/worksheets/sheet64.xml><?xml version="1.0" encoding="utf-8"?>
<worksheet xmlns="http://schemas.openxmlformats.org/spreadsheetml/2006/main" xmlns:r="http://schemas.openxmlformats.org/officeDocument/2006/relationships">
  <sheetPr transitionEvaluation="1" codeName="Sheet63" enableFormatConditionsCalculation="0"/>
  <dimension ref="A1:I327"/>
  <sheetViews>
    <sheetView zoomScale="80" zoomScaleNormal="80" zoomScaleSheetLayoutView="70" workbookViewId="0"/>
  </sheetViews>
  <sheetFormatPr defaultColWidth="9.77734375" defaultRowHeight="15"/>
  <cols>
    <col min="1" max="1" width="4.77734375" style="2098" customWidth="1"/>
    <col min="2" max="2" width="34.21875" style="2098" customWidth="1"/>
    <col min="3" max="3" width="43" style="2098" customWidth="1"/>
    <col min="4" max="4" width="20.77734375" style="2098" customWidth="1"/>
    <col min="5" max="5" width="20.88671875" style="2098" customWidth="1"/>
    <col min="6" max="6" width="5.44140625" style="2098" customWidth="1"/>
    <col min="7" max="7" width="9.77734375" style="2098"/>
    <col min="8" max="8" width="21.109375" style="2098" bestFit="1" customWidth="1"/>
    <col min="9" max="16384" width="9.77734375" style="2098"/>
  </cols>
  <sheetData>
    <row r="1" spans="1:6" ht="15.75" thickBot="1">
      <c r="A1" s="2094" t="str">
        <f>'Data sheet'!$A$59</f>
        <v>Annual Report of New York American Water Company, Inc. (f/k/a Long Island Water Corp)                                   Year Ended  December 31, 2013</v>
      </c>
      <c r="B1" s="2095"/>
      <c r="C1" s="2095"/>
      <c r="D1" s="2096"/>
      <c r="E1" s="2097"/>
      <c r="F1" s="2097"/>
    </row>
    <row r="2" spans="1:6">
      <c r="A2" s="2099"/>
      <c r="B2" s="2100"/>
      <c r="C2" s="2100"/>
      <c r="D2" s="2100"/>
      <c r="E2" s="2101"/>
      <c r="F2" s="2102"/>
    </row>
    <row r="3" spans="1:6" ht="15.75">
      <c r="A3" s="2103" t="s">
        <v>199</v>
      </c>
      <c r="B3" s="2104"/>
      <c r="C3" s="2104"/>
      <c r="D3" s="2104"/>
      <c r="E3" s="2106"/>
      <c r="F3" s="2104"/>
    </row>
    <row r="4" spans="1:6">
      <c r="A4" s="2105"/>
      <c r="B4" s="2102"/>
      <c r="C4" s="2102"/>
      <c r="D4" s="2102"/>
      <c r="E4" s="2106"/>
      <c r="F4" s="2102"/>
    </row>
    <row r="5" spans="1:6">
      <c r="A5" s="2107" t="s">
        <v>479</v>
      </c>
      <c r="B5" s="2108" t="s">
        <v>245</v>
      </c>
      <c r="C5" s="2102"/>
      <c r="D5" s="2102"/>
      <c r="E5" s="2109"/>
      <c r="F5" s="2110"/>
    </row>
    <row r="6" spans="1:6">
      <c r="A6" s="2105"/>
      <c r="B6" s="2108" t="s">
        <v>4026</v>
      </c>
      <c r="C6" s="2102"/>
      <c r="D6" s="2102"/>
      <c r="E6" s="2106"/>
      <c r="F6" s="2102"/>
    </row>
    <row r="7" spans="1:6">
      <c r="A7" s="2105"/>
      <c r="B7" s="2108" t="s">
        <v>1218</v>
      </c>
      <c r="C7" s="2102"/>
      <c r="D7" s="2102"/>
      <c r="E7" s="2106"/>
      <c r="F7" s="2102"/>
    </row>
    <row r="8" spans="1:6">
      <c r="A8" s="2105"/>
      <c r="B8" s="2108" t="s">
        <v>4129</v>
      </c>
      <c r="C8" s="2102"/>
      <c r="D8" s="2102"/>
      <c r="E8" s="2106"/>
      <c r="F8" s="2102"/>
    </row>
    <row r="9" spans="1:6">
      <c r="A9" s="2105"/>
      <c r="B9" s="2108" t="s">
        <v>2856</v>
      </c>
      <c r="C9" s="2102"/>
      <c r="D9" s="2102"/>
      <c r="E9" s="2106"/>
      <c r="F9" s="2102"/>
    </row>
    <row r="10" spans="1:6">
      <c r="A10" s="2105"/>
      <c r="B10" s="2108" t="s">
        <v>1523</v>
      </c>
      <c r="C10" s="2102"/>
      <c r="D10" s="2102"/>
      <c r="E10" s="2106"/>
      <c r="F10" s="2102"/>
    </row>
    <row r="11" spans="1:6">
      <c r="A11" s="2105"/>
      <c r="B11" s="2108" t="s">
        <v>4337</v>
      </c>
      <c r="C11" s="2102"/>
      <c r="D11" s="2102"/>
      <c r="E11" s="2106"/>
      <c r="F11" s="2102"/>
    </row>
    <row r="12" spans="1:6">
      <c r="A12" s="2105"/>
      <c r="B12" s="2111" t="s">
        <v>3179</v>
      </c>
      <c r="C12" s="2102"/>
      <c r="D12" s="2102"/>
      <c r="E12" s="2106"/>
      <c r="F12" s="2102"/>
    </row>
    <row r="13" spans="1:6">
      <c r="A13" s="2105"/>
      <c r="B13" s="2111" t="s">
        <v>2007</v>
      </c>
      <c r="C13" s="2102"/>
      <c r="D13" s="2102"/>
      <c r="E13" s="2106"/>
      <c r="F13" s="2102"/>
    </row>
    <row r="14" spans="1:6">
      <c r="A14" s="2105"/>
      <c r="B14" s="2111" t="s">
        <v>2008</v>
      </c>
      <c r="C14" s="2102"/>
      <c r="D14" s="2102"/>
      <c r="E14" s="2106"/>
      <c r="F14" s="2102"/>
    </row>
    <row r="15" spans="1:6">
      <c r="A15" s="2105"/>
      <c r="B15" s="2111" t="s">
        <v>2009</v>
      </c>
      <c r="C15" s="2102"/>
      <c r="D15" s="2102"/>
      <c r="E15" s="2106"/>
      <c r="F15" s="2102"/>
    </row>
    <row r="16" spans="1:6">
      <c r="A16" s="2105"/>
      <c r="B16" s="2111"/>
      <c r="C16" s="2102"/>
      <c r="D16" s="2102"/>
      <c r="E16" s="2112"/>
      <c r="F16" s="2113"/>
    </row>
    <row r="17" spans="1:7">
      <c r="A17" s="2107" t="s">
        <v>2916</v>
      </c>
      <c r="B17" s="2111" t="s">
        <v>2010</v>
      </c>
      <c r="C17" s="2102"/>
      <c r="D17" s="2102"/>
      <c r="E17" s="1616"/>
      <c r="F17" s="2016"/>
    </row>
    <row r="18" spans="1:7">
      <c r="A18" s="2105"/>
      <c r="B18" s="2102"/>
      <c r="C18" s="2102"/>
      <c r="D18" s="2102"/>
      <c r="E18" s="2112"/>
      <c r="F18" s="2113"/>
    </row>
    <row r="19" spans="1:7" ht="15.75" thickBot="1">
      <c r="A19" s="2105"/>
      <c r="B19" s="2102"/>
      <c r="C19" s="2102"/>
      <c r="D19" s="2102"/>
      <c r="E19" s="1615"/>
      <c r="F19" s="2017"/>
    </row>
    <row r="20" spans="1:7">
      <c r="A20" s="2114" t="s">
        <v>1129</v>
      </c>
      <c r="B20" s="2115"/>
      <c r="C20" s="2115"/>
      <c r="D20" s="2115"/>
      <c r="E20" s="2116"/>
      <c r="F20" s="2110"/>
    </row>
    <row r="21" spans="1:7" ht="15.75" thickBot="1">
      <c r="A21" s="2117" t="s">
        <v>3324</v>
      </c>
      <c r="B21" s="2118" t="s">
        <v>2011</v>
      </c>
      <c r="C21" s="2118" t="s">
        <v>1957</v>
      </c>
      <c r="D21" s="2118" t="s">
        <v>1958</v>
      </c>
      <c r="E21" s="2119" t="s">
        <v>1959</v>
      </c>
      <c r="F21" s="2110"/>
      <c r="G21" s="2120"/>
    </row>
    <row r="22" spans="1:7">
      <c r="A22" s="2114">
        <v>1</v>
      </c>
      <c r="B22" s="2050" t="s">
        <v>5179</v>
      </c>
      <c r="C22" s="2951" t="s">
        <v>2590</v>
      </c>
      <c r="D22" s="2952" t="s">
        <v>2852</v>
      </c>
      <c r="E22" s="2948">
        <v>11948.75</v>
      </c>
      <c r="F22" s="2123"/>
    </row>
    <row r="23" spans="1:7">
      <c r="A23" s="2121">
        <f t="shared" ref="A23:A65" si="0">A22+1</f>
        <v>2</v>
      </c>
      <c r="B23" s="2050" t="s">
        <v>5180</v>
      </c>
      <c r="C23" s="2951" t="s">
        <v>2590</v>
      </c>
      <c r="D23" s="2951" t="s">
        <v>2852</v>
      </c>
      <c r="E23" s="2949">
        <v>43375.08</v>
      </c>
      <c r="F23" s="2123"/>
    </row>
    <row r="24" spans="1:7">
      <c r="A24" s="2121">
        <f t="shared" si="0"/>
        <v>3</v>
      </c>
      <c r="B24" s="2050" t="s">
        <v>5181</v>
      </c>
      <c r="C24" s="2951" t="s">
        <v>2590</v>
      </c>
      <c r="D24" s="2951" t="s">
        <v>2852</v>
      </c>
      <c r="E24" s="2950">
        <v>13125.659999999996</v>
      </c>
      <c r="F24" s="2123"/>
    </row>
    <row r="25" spans="1:7">
      <c r="A25" s="2121">
        <f t="shared" si="0"/>
        <v>4</v>
      </c>
      <c r="B25" s="2050" t="s">
        <v>4899</v>
      </c>
      <c r="C25" s="2951" t="s">
        <v>2590</v>
      </c>
      <c r="D25" s="2951" t="s">
        <v>2852</v>
      </c>
      <c r="E25" s="2950">
        <v>9306.9900000000016</v>
      </c>
      <c r="F25" s="2123"/>
    </row>
    <row r="26" spans="1:7">
      <c r="A26" s="2121">
        <f t="shared" si="0"/>
        <v>5</v>
      </c>
      <c r="B26" s="2050" t="s">
        <v>5182</v>
      </c>
      <c r="C26" s="2951" t="s">
        <v>1960</v>
      </c>
      <c r="D26" s="2951" t="s">
        <v>2852</v>
      </c>
      <c r="E26" s="2950">
        <v>7607727</v>
      </c>
      <c r="F26" s="2124"/>
    </row>
    <row r="27" spans="1:7">
      <c r="A27" s="2121">
        <f t="shared" si="0"/>
        <v>6</v>
      </c>
      <c r="B27" s="2050" t="s">
        <v>5183</v>
      </c>
      <c r="C27" s="2951" t="s">
        <v>2590</v>
      </c>
      <c r="D27" s="2951" t="s">
        <v>2852</v>
      </c>
      <c r="E27" s="2950">
        <v>617150.38</v>
      </c>
      <c r="F27" s="2123"/>
    </row>
    <row r="28" spans="1:7">
      <c r="A28" s="2121">
        <f t="shared" si="0"/>
        <v>7</v>
      </c>
      <c r="B28" s="2050" t="s">
        <v>5184</v>
      </c>
      <c r="C28" s="2951" t="s">
        <v>2590</v>
      </c>
      <c r="D28" s="2951" t="s">
        <v>2852</v>
      </c>
      <c r="E28" s="2950">
        <v>133203.73000000001</v>
      </c>
      <c r="F28" s="2123"/>
    </row>
    <row r="29" spans="1:7">
      <c r="A29" s="2121">
        <f t="shared" si="0"/>
        <v>8</v>
      </c>
      <c r="B29" s="2050" t="s">
        <v>5185</v>
      </c>
      <c r="C29" s="2951" t="s">
        <v>2590</v>
      </c>
      <c r="D29" s="2951" t="s">
        <v>2852</v>
      </c>
      <c r="E29" s="2950">
        <v>40976.589999999997</v>
      </c>
    </row>
    <row r="30" spans="1:7">
      <c r="A30" s="2121">
        <f t="shared" si="0"/>
        <v>9</v>
      </c>
      <c r="B30" s="2050" t="s">
        <v>5186</v>
      </c>
      <c r="C30" s="2951" t="s">
        <v>5205</v>
      </c>
      <c r="D30" s="2951" t="s">
        <v>2852</v>
      </c>
      <c r="E30" s="2950">
        <v>225777.2</v>
      </c>
      <c r="F30" s="2123"/>
    </row>
    <row r="31" spans="1:7">
      <c r="A31" s="2121">
        <f t="shared" si="0"/>
        <v>10</v>
      </c>
      <c r="B31" s="2050" t="s">
        <v>5187</v>
      </c>
      <c r="C31" s="2951" t="s">
        <v>2590</v>
      </c>
      <c r="D31" s="2951" t="s">
        <v>2852</v>
      </c>
      <c r="E31" s="2950">
        <v>4687.25</v>
      </c>
      <c r="F31" s="2123"/>
    </row>
    <row r="32" spans="1:7">
      <c r="A32" s="2121">
        <f t="shared" si="0"/>
        <v>11</v>
      </c>
      <c r="B32" s="2050" t="s">
        <v>5188</v>
      </c>
      <c r="C32" s="2951" t="s">
        <v>2590</v>
      </c>
      <c r="D32" s="2951" t="s">
        <v>2852</v>
      </c>
      <c r="E32" s="2950">
        <v>6725.85</v>
      </c>
    </row>
    <row r="33" spans="1:6">
      <c r="A33" s="2121">
        <f t="shared" si="0"/>
        <v>12</v>
      </c>
      <c r="B33" s="2050" t="s">
        <v>5189</v>
      </c>
      <c r="C33" s="2951" t="s">
        <v>2590</v>
      </c>
      <c r="D33" s="2951" t="s">
        <v>2852</v>
      </c>
      <c r="E33" s="2950">
        <v>6951.82</v>
      </c>
      <c r="F33" s="2123"/>
    </row>
    <row r="34" spans="1:6">
      <c r="A34" s="2121">
        <f t="shared" si="0"/>
        <v>13</v>
      </c>
      <c r="B34" s="2050" t="s">
        <v>5190</v>
      </c>
      <c r="C34" s="2951" t="s">
        <v>2590</v>
      </c>
      <c r="D34" s="2951" t="s">
        <v>2852</v>
      </c>
      <c r="E34" s="2950">
        <v>11253.55</v>
      </c>
      <c r="F34" s="2123"/>
    </row>
    <row r="35" spans="1:6">
      <c r="A35" s="2121">
        <f t="shared" si="0"/>
        <v>14</v>
      </c>
      <c r="B35" s="2050" t="s">
        <v>5191</v>
      </c>
      <c r="C35" s="2951" t="s">
        <v>2590</v>
      </c>
      <c r="D35" s="2951" t="s">
        <v>2852</v>
      </c>
      <c r="E35" s="2950">
        <v>10644.06</v>
      </c>
      <c r="F35" s="2123"/>
    </row>
    <row r="36" spans="1:6">
      <c r="A36" s="2121">
        <f t="shared" si="0"/>
        <v>15</v>
      </c>
      <c r="B36" s="2050" t="s">
        <v>5192</v>
      </c>
      <c r="C36" s="2951" t="s">
        <v>2590</v>
      </c>
      <c r="D36" s="2951" t="s">
        <v>2852</v>
      </c>
      <c r="E36" s="2950">
        <v>96141.769999999975</v>
      </c>
      <c r="F36" s="2123"/>
    </row>
    <row r="37" spans="1:6">
      <c r="A37" s="2121">
        <f t="shared" si="0"/>
        <v>16</v>
      </c>
      <c r="B37" s="2050" t="s">
        <v>5193</v>
      </c>
      <c r="C37" s="2951" t="s">
        <v>2590</v>
      </c>
      <c r="D37" s="2951" t="s">
        <v>2852</v>
      </c>
      <c r="E37" s="2950">
        <v>64945.19</v>
      </c>
      <c r="F37" s="2123"/>
    </row>
    <row r="38" spans="1:6">
      <c r="A38" s="2121">
        <f t="shared" si="0"/>
        <v>17</v>
      </c>
      <c r="B38" s="2050" t="s">
        <v>5194</v>
      </c>
      <c r="C38" s="2951" t="s">
        <v>5205</v>
      </c>
      <c r="D38" s="2951" t="s">
        <v>2852</v>
      </c>
      <c r="E38" s="2950">
        <v>41130</v>
      </c>
      <c r="F38" s="2123"/>
    </row>
    <row r="39" spans="1:6">
      <c r="A39" s="2121">
        <f t="shared" si="0"/>
        <v>18</v>
      </c>
      <c r="B39" s="2050" t="s">
        <v>5195</v>
      </c>
      <c r="C39" s="2951" t="s">
        <v>2590</v>
      </c>
      <c r="D39" s="2951" t="s">
        <v>2852</v>
      </c>
      <c r="E39" s="2950">
        <v>7702.81</v>
      </c>
    </row>
    <row r="40" spans="1:6">
      <c r="A40" s="2121">
        <f t="shared" si="0"/>
        <v>19</v>
      </c>
      <c r="B40" s="2050" t="s">
        <v>5196</v>
      </c>
      <c r="C40" s="2951" t="s">
        <v>2590</v>
      </c>
      <c r="D40" s="2951" t="s">
        <v>2852</v>
      </c>
      <c r="E40" s="2950">
        <v>10782.64</v>
      </c>
      <c r="F40" s="2123"/>
    </row>
    <row r="41" spans="1:6">
      <c r="A41" s="2121">
        <f t="shared" si="0"/>
        <v>20</v>
      </c>
      <c r="B41" s="2050" t="s">
        <v>5197</v>
      </c>
      <c r="C41" s="2951" t="s">
        <v>2590</v>
      </c>
      <c r="D41" s="2951" t="s">
        <v>2852</v>
      </c>
      <c r="E41" s="2950">
        <v>29102.620000000006</v>
      </c>
    </row>
    <row r="42" spans="1:6">
      <c r="A42" s="2121">
        <f t="shared" si="0"/>
        <v>21</v>
      </c>
      <c r="B42" s="2050" t="s">
        <v>5198</v>
      </c>
      <c r="C42" s="2951" t="s">
        <v>5205</v>
      </c>
      <c r="D42" s="2951" t="s">
        <v>2852</v>
      </c>
      <c r="E42" s="2950">
        <v>83274.3</v>
      </c>
      <c r="F42" s="2124"/>
    </row>
    <row r="43" spans="1:6">
      <c r="A43" s="2121">
        <f t="shared" si="0"/>
        <v>22</v>
      </c>
      <c r="B43" s="2050" t="s">
        <v>5206</v>
      </c>
      <c r="C43" s="2951" t="s">
        <v>2590</v>
      </c>
      <c r="D43" s="2951" t="s">
        <v>2852</v>
      </c>
      <c r="E43" s="2950">
        <v>69308.78</v>
      </c>
      <c r="F43" s="2123"/>
    </row>
    <row r="44" spans="1:6">
      <c r="A44" s="2121">
        <f t="shared" si="0"/>
        <v>23</v>
      </c>
      <c r="B44" s="2050" t="s">
        <v>5199</v>
      </c>
      <c r="C44" s="2951" t="s">
        <v>2590</v>
      </c>
      <c r="D44" s="2953" t="s">
        <v>2852</v>
      </c>
      <c r="E44" s="2950">
        <v>10073.58</v>
      </c>
      <c r="F44" s="2125"/>
    </row>
    <row r="45" spans="1:6">
      <c r="A45" s="2121">
        <f t="shared" si="0"/>
        <v>24</v>
      </c>
      <c r="B45" s="2050" t="s">
        <v>5200</v>
      </c>
      <c r="C45" s="2951" t="s">
        <v>2590</v>
      </c>
      <c r="D45" s="2953" t="s">
        <v>2852</v>
      </c>
      <c r="E45" s="2950">
        <v>9820</v>
      </c>
      <c r="F45" s="2018"/>
    </row>
    <row r="46" spans="1:6">
      <c r="A46" s="2121">
        <f t="shared" si="0"/>
        <v>25</v>
      </c>
      <c r="B46" s="2050" t="s">
        <v>5201</v>
      </c>
      <c r="C46" s="2951" t="s">
        <v>2590</v>
      </c>
      <c r="D46" s="2953" t="s">
        <v>2852</v>
      </c>
      <c r="E46" s="2950">
        <v>565397.26000000013</v>
      </c>
      <c r="F46" s="2123"/>
    </row>
    <row r="47" spans="1:6">
      <c r="A47" s="2121">
        <f t="shared" si="0"/>
        <v>26</v>
      </c>
      <c r="B47" s="2050" t="s">
        <v>5202</v>
      </c>
      <c r="C47" s="2951" t="s">
        <v>2590</v>
      </c>
      <c r="D47" s="2953" t="s">
        <v>2852</v>
      </c>
      <c r="E47" s="2950">
        <v>8412.130000000001</v>
      </c>
      <c r="F47" s="2123"/>
    </row>
    <row r="48" spans="1:6">
      <c r="A48" s="2121">
        <f t="shared" si="0"/>
        <v>27</v>
      </c>
      <c r="B48" s="2050" t="s">
        <v>5203</v>
      </c>
      <c r="C48" s="2951" t="s">
        <v>2590</v>
      </c>
      <c r="D48" s="2953" t="s">
        <v>2852</v>
      </c>
      <c r="E48" s="2950">
        <v>46692.610000000008</v>
      </c>
      <c r="F48" s="2123"/>
    </row>
    <row r="49" spans="1:9">
      <c r="A49" s="2121">
        <f t="shared" si="0"/>
        <v>28</v>
      </c>
      <c r="B49" s="2050" t="s">
        <v>5204</v>
      </c>
      <c r="C49" s="2951" t="s">
        <v>2590</v>
      </c>
      <c r="D49" s="2953" t="s">
        <v>2852</v>
      </c>
      <c r="E49" s="2950">
        <v>33832</v>
      </c>
      <c r="F49" s="2124"/>
    </row>
    <row r="50" spans="1:9">
      <c r="A50" s="2121">
        <f t="shared" si="0"/>
        <v>29</v>
      </c>
      <c r="B50" s="2122"/>
      <c r="C50" s="2122"/>
      <c r="D50" s="2122"/>
      <c r="E50" s="2356"/>
      <c r="F50" s="2123"/>
    </row>
    <row r="51" spans="1:9">
      <c r="A51" s="2121">
        <f t="shared" si="0"/>
        <v>30</v>
      </c>
      <c r="B51" s="2122"/>
      <c r="C51" s="2122"/>
      <c r="D51" s="2122"/>
      <c r="E51" s="2356"/>
    </row>
    <row r="52" spans="1:9">
      <c r="A52" s="2121">
        <f t="shared" si="0"/>
        <v>31</v>
      </c>
      <c r="B52" s="2122"/>
      <c r="C52" s="2122"/>
      <c r="D52" s="2122"/>
      <c r="E52" s="2356"/>
    </row>
    <row r="53" spans="1:9">
      <c r="A53" s="2121">
        <f t="shared" si="0"/>
        <v>32</v>
      </c>
      <c r="B53" s="2718"/>
      <c r="C53" s="2718"/>
      <c r="D53" s="2718"/>
      <c r="E53" s="2356"/>
      <c r="F53" s="2123"/>
    </row>
    <row r="54" spans="1:9">
      <c r="A54" s="2121">
        <f t="shared" si="0"/>
        <v>33</v>
      </c>
      <c r="B54" s="2355"/>
      <c r="C54" s="2355"/>
      <c r="D54" s="2355"/>
      <c r="E54" s="2356"/>
      <c r="F54" s="2124"/>
    </row>
    <row r="55" spans="1:9">
      <c r="A55" s="2121">
        <f t="shared" si="0"/>
        <v>34</v>
      </c>
      <c r="B55" s="2126"/>
      <c r="C55" s="2122"/>
      <c r="D55" s="2122"/>
      <c r="E55" s="2356"/>
      <c r="F55" s="2123"/>
    </row>
    <row r="56" spans="1:9" customFormat="1">
      <c r="A56" s="2121">
        <f t="shared" si="0"/>
        <v>35</v>
      </c>
      <c r="B56" s="2355"/>
      <c r="C56" s="2355"/>
      <c r="D56" s="2355"/>
      <c r="E56" s="2357"/>
      <c r="F56" s="2123"/>
      <c r="G56" s="2098"/>
      <c r="H56" s="2719"/>
      <c r="I56" s="2098"/>
    </row>
    <row r="57" spans="1:9">
      <c r="A57" s="2121">
        <f t="shared" si="0"/>
        <v>36</v>
      </c>
      <c r="B57" s="2355"/>
      <c r="C57" s="2355"/>
      <c r="D57" s="2355"/>
      <c r="E57" s="2357"/>
      <c r="H57" s="2720"/>
      <c r="I57"/>
    </row>
    <row r="58" spans="1:9">
      <c r="A58" s="2121">
        <f t="shared" si="0"/>
        <v>37</v>
      </c>
      <c r="B58" s="2355"/>
      <c r="C58" s="2355"/>
      <c r="D58" s="2355"/>
      <c r="E58" s="2357"/>
      <c r="F58" s="2124"/>
      <c r="H58" s="2720"/>
    </row>
    <row r="59" spans="1:9">
      <c r="A59" s="2121">
        <f t="shared" si="0"/>
        <v>38</v>
      </c>
      <c r="B59" s="2122"/>
      <c r="C59" s="2122"/>
      <c r="D59" s="2122"/>
      <c r="E59" s="2356"/>
      <c r="F59" s="2123"/>
      <c r="H59" s="2721"/>
    </row>
    <row r="60" spans="1:9">
      <c r="A60" s="2121">
        <f t="shared" si="0"/>
        <v>39</v>
      </c>
      <c r="B60" s="2122"/>
      <c r="C60" s="2122"/>
      <c r="D60" s="2122"/>
      <c r="E60" s="2356"/>
      <c r="F60" s="2123"/>
      <c r="H60" s="2720"/>
    </row>
    <row r="61" spans="1:9">
      <c r="A61" s="2121">
        <f t="shared" si="0"/>
        <v>40</v>
      </c>
      <c r="B61" s="2122"/>
      <c r="C61" s="2122"/>
      <c r="D61" s="2122"/>
      <c r="E61" s="2356"/>
      <c r="F61" s="2124"/>
    </row>
    <row r="62" spans="1:9">
      <c r="A62" s="2121">
        <f t="shared" si="0"/>
        <v>41</v>
      </c>
      <c r="B62" s="2122"/>
      <c r="C62" s="2122"/>
      <c r="D62" s="2122"/>
      <c r="E62" s="2356"/>
      <c r="F62" s="2124"/>
    </row>
    <row r="63" spans="1:9">
      <c r="A63" s="2121">
        <f t="shared" si="0"/>
        <v>42</v>
      </c>
      <c r="B63" s="2122"/>
      <c r="C63" s="2122"/>
      <c r="D63" s="2122"/>
      <c r="E63" s="2356"/>
      <c r="F63" s="2124"/>
    </row>
    <row r="64" spans="1:9">
      <c r="A64" s="2121">
        <f t="shared" si="0"/>
        <v>43</v>
      </c>
      <c r="B64" s="2122"/>
      <c r="C64" s="2122"/>
      <c r="D64" s="2122"/>
      <c r="E64" s="2356"/>
      <c r="F64" s="2123"/>
    </row>
    <row r="65" spans="1:6">
      <c r="A65" s="2121">
        <f t="shared" si="0"/>
        <v>44</v>
      </c>
      <c r="B65" s="2122"/>
      <c r="C65" s="2122"/>
      <c r="D65" s="2122"/>
      <c r="E65" s="2358"/>
      <c r="F65" s="2123"/>
    </row>
    <row r="66" spans="1:6">
      <c r="A66" s="2121">
        <v>45</v>
      </c>
      <c r="B66" s="2122"/>
      <c r="C66" s="2122"/>
      <c r="D66" s="2122"/>
      <c r="E66" s="2358"/>
      <c r="F66" s="2125"/>
    </row>
    <row r="67" spans="1:6">
      <c r="A67" s="2121">
        <v>46</v>
      </c>
      <c r="B67" s="2122"/>
      <c r="C67" s="2122"/>
      <c r="D67" s="2122"/>
      <c r="E67" s="2358"/>
      <c r="F67" s="2125"/>
    </row>
    <row r="68" spans="1:6">
      <c r="A68" s="2121">
        <v>47</v>
      </c>
      <c r="B68" s="2122"/>
      <c r="C68" s="2122"/>
      <c r="D68" s="2122"/>
      <c r="E68" s="2358"/>
      <c r="F68" s="2125"/>
    </row>
    <row r="69" spans="1:6">
      <c r="A69" s="2121">
        <v>48</v>
      </c>
      <c r="B69" s="2122"/>
      <c r="C69" s="2122"/>
      <c r="D69" s="2122"/>
      <c r="E69" s="2358"/>
      <c r="F69" s="2125"/>
    </row>
    <row r="70" spans="1:6">
      <c r="A70" s="2121">
        <v>49</v>
      </c>
      <c r="B70" s="2122"/>
      <c r="C70" s="2122"/>
      <c r="D70" s="2122"/>
      <c r="E70" s="2358"/>
      <c r="F70" s="2125"/>
    </row>
    <row r="71" spans="1:6">
      <c r="A71" s="2121">
        <v>50</v>
      </c>
      <c r="B71" s="2122"/>
      <c r="C71" s="2122"/>
      <c r="D71" s="2122"/>
      <c r="E71" s="2358"/>
      <c r="F71" s="2125"/>
    </row>
    <row r="72" spans="1:6">
      <c r="A72" s="2121">
        <v>51</v>
      </c>
      <c r="B72" s="2122"/>
      <c r="C72" s="2122"/>
      <c r="D72" s="2122"/>
      <c r="E72" s="2358"/>
      <c r="F72" s="2125"/>
    </row>
    <row r="73" spans="1:6">
      <c r="A73" s="2121">
        <v>52</v>
      </c>
      <c r="B73" s="2122"/>
      <c r="C73" s="2102"/>
      <c r="D73" s="2122"/>
      <c r="E73" s="2146"/>
      <c r="F73" s="2125"/>
    </row>
    <row r="74" spans="1:6">
      <c r="A74" s="2121">
        <v>53</v>
      </c>
      <c r="B74" s="2122"/>
      <c r="C74" s="2102"/>
      <c r="D74" s="2122"/>
      <c r="E74" s="2146"/>
      <c r="F74" s="2125"/>
    </row>
    <row r="75" spans="1:6">
      <c r="A75" s="2121">
        <v>54</v>
      </c>
      <c r="B75" s="2122"/>
      <c r="C75" s="2102"/>
      <c r="D75" s="2122"/>
      <c r="E75" s="2146"/>
      <c r="F75" s="2125"/>
    </row>
    <row r="76" spans="1:6" ht="15.75" thickBot="1">
      <c r="A76" s="2121">
        <v>55</v>
      </c>
      <c r="B76" s="2128"/>
      <c r="C76" s="2129"/>
      <c r="D76" s="2128"/>
      <c r="E76" s="2130"/>
      <c r="F76" s="2125"/>
    </row>
    <row r="77" spans="1:6">
      <c r="A77" s="2131" t="s">
        <v>4066</v>
      </c>
      <c r="B77" s="2131"/>
      <c r="C77" s="2131"/>
      <c r="D77" s="2131"/>
      <c r="E77" s="2359"/>
      <c r="F77" s="2131"/>
    </row>
    <row r="78" spans="1:6">
      <c r="A78" s="2133" t="s">
        <v>332</v>
      </c>
      <c r="B78" s="2133"/>
      <c r="C78" s="2133"/>
      <c r="D78" s="2133"/>
      <c r="E78" s="2360"/>
      <c r="F78" s="2133"/>
    </row>
    <row r="79" spans="1:6">
      <c r="A79" s="2133"/>
      <c r="B79" s="2133"/>
      <c r="C79" s="2133"/>
      <c r="D79" s="2133"/>
      <c r="E79" s="2360"/>
      <c r="F79" s="2132"/>
    </row>
    <row r="80" spans="1:6" ht="15.75" thickBot="1">
      <c r="A80" s="2361" t="str">
        <f>'Data sheet'!$A$59</f>
        <v>Annual Report of New York American Water Company, Inc. (f/k/a Long Island Water Corp)                                   Year Ended  December 31, 2013</v>
      </c>
      <c r="B80" s="2131"/>
      <c r="C80" s="2131"/>
      <c r="D80" s="2131"/>
      <c r="E80" s="2359"/>
      <c r="F80" s="2095"/>
    </row>
    <row r="81" spans="1:6">
      <c r="A81" s="2099"/>
      <c r="B81" s="2100"/>
      <c r="C81" s="2100"/>
      <c r="D81" s="2100"/>
      <c r="E81" s="2101"/>
      <c r="F81" s="2102"/>
    </row>
    <row r="82" spans="1:6" ht="15.75">
      <c r="A82" s="3068" t="s">
        <v>199</v>
      </c>
      <c r="B82" s="3069"/>
      <c r="C82" s="3069"/>
      <c r="D82" s="3069"/>
      <c r="E82" s="3070"/>
      <c r="F82" s="2104"/>
    </row>
    <row r="83" spans="1:6">
      <c r="A83" s="2134"/>
      <c r="B83" s="2135"/>
      <c r="C83" s="2135"/>
      <c r="D83" s="2135"/>
      <c r="E83" s="2136"/>
      <c r="F83" s="2102"/>
    </row>
    <row r="84" spans="1:6">
      <c r="A84" s="2137" t="s">
        <v>1129</v>
      </c>
      <c r="B84" s="2138"/>
      <c r="C84" s="2139"/>
      <c r="D84" s="2139"/>
      <c r="E84" s="2140"/>
      <c r="F84" s="2102"/>
    </row>
    <row r="85" spans="1:6">
      <c r="A85" s="2141" t="s">
        <v>3324</v>
      </c>
      <c r="B85" s="2142" t="s">
        <v>2011</v>
      </c>
      <c r="C85" s="2143" t="s">
        <v>1957</v>
      </c>
      <c r="D85" s="2143" t="s">
        <v>1958</v>
      </c>
      <c r="E85" s="2144" t="s">
        <v>1959</v>
      </c>
      <c r="F85" s="2110"/>
    </row>
    <row r="86" spans="1:6">
      <c r="A86" s="2121">
        <v>1</v>
      </c>
      <c r="B86" s="2145"/>
      <c r="C86" s="2139"/>
      <c r="D86" s="2122"/>
      <c r="E86" s="2193"/>
      <c r="F86" s="2125"/>
    </row>
    <row r="87" spans="1:6">
      <c r="A87" s="2121">
        <v>2</v>
      </c>
      <c r="B87" s="2145"/>
      <c r="C87" s="2122"/>
      <c r="D87" s="2122"/>
      <c r="E87" s="2193"/>
      <c r="F87" s="2125"/>
    </row>
    <row r="88" spans="1:6">
      <c r="A88" s="2121">
        <v>3</v>
      </c>
      <c r="B88" s="2145"/>
      <c r="C88" s="2122"/>
      <c r="D88" s="2122"/>
      <c r="E88" s="2146"/>
      <c r="F88" s="2125"/>
    </row>
    <row r="89" spans="1:6">
      <c r="A89" s="2121">
        <v>4</v>
      </c>
      <c r="B89" s="2145"/>
      <c r="C89" s="2122"/>
      <c r="D89" s="2122"/>
      <c r="E89" s="2146"/>
      <c r="F89" s="2125"/>
    </row>
    <row r="90" spans="1:6">
      <c r="A90" s="2121">
        <v>5</v>
      </c>
      <c r="B90" s="2145"/>
      <c r="C90" s="2122"/>
      <c r="D90" s="2122"/>
      <c r="E90" s="2146"/>
      <c r="F90" s="2125"/>
    </row>
    <row r="91" spans="1:6">
      <c r="A91" s="2121">
        <v>6</v>
      </c>
      <c r="B91" s="2122"/>
      <c r="C91" s="2102"/>
      <c r="D91" s="2122"/>
      <c r="E91" s="2146"/>
      <c r="F91" s="2125"/>
    </row>
    <row r="92" spans="1:6">
      <c r="A92" s="2121">
        <v>7</v>
      </c>
      <c r="B92" s="2122"/>
      <c r="C92" s="2102"/>
      <c r="D92" s="2122"/>
      <c r="E92" s="2146"/>
      <c r="F92" s="2125"/>
    </row>
    <row r="93" spans="1:6">
      <c r="A93" s="2121">
        <v>8</v>
      </c>
      <c r="B93" s="2122"/>
      <c r="C93" s="2102"/>
      <c r="D93" s="2122"/>
      <c r="E93" s="2146"/>
      <c r="F93" s="2125"/>
    </row>
    <row r="94" spans="1:6">
      <c r="A94" s="2121">
        <v>9</v>
      </c>
      <c r="B94" s="2122"/>
      <c r="C94" s="2102"/>
      <c r="D94" s="2122"/>
      <c r="E94" s="2146"/>
      <c r="F94" s="2125"/>
    </row>
    <row r="95" spans="1:6">
      <c r="A95" s="2121">
        <v>10</v>
      </c>
      <c r="B95" s="2122"/>
      <c r="C95" s="2102"/>
      <c r="D95" s="2122"/>
      <c r="E95" s="2146"/>
      <c r="F95" s="2125"/>
    </row>
    <row r="96" spans="1:6">
      <c r="A96" s="2121">
        <v>11</v>
      </c>
      <c r="B96" s="2122"/>
      <c r="C96" s="2102"/>
      <c r="D96" s="2122"/>
      <c r="E96" s="2146"/>
      <c r="F96" s="2125"/>
    </row>
    <row r="97" spans="1:6">
      <c r="A97" s="2121">
        <v>12</v>
      </c>
      <c r="B97" s="2122"/>
      <c r="C97" s="2102"/>
      <c r="D97" s="2122"/>
      <c r="E97" s="2146"/>
      <c r="F97" s="2125"/>
    </row>
    <row r="98" spans="1:6">
      <c r="A98" s="2121">
        <v>13</v>
      </c>
      <c r="B98" s="2122"/>
      <c r="C98" s="2102"/>
      <c r="D98" s="2122"/>
      <c r="E98" s="2146"/>
      <c r="F98" s="2125"/>
    </row>
    <row r="99" spans="1:6">
      <c r="A99" s="2121">
        <v>14</v>
      </c>
      <c r="B99" s="2122"/>
      <c r="C99" s="2102"/>
      <c r="D99" s="2122"/>
      <c r="E99" s="2146"/>
      <c r="F99" s="2125"/>
    </row>
    <row r="100" spans="1:6">
      <c r="A100" s="2121">
        <v>15</v>
      </c>
      <c r="B100" s="2122"/>
      <c r="C100" s="2102"/>
      <c r="D100" s="2122"/>
      <c r="E100" s="2146"/>
      <c r="F100" s="2125"/>
    </row>
    <row r="101" spans="1:6">
      <c r="A101" s="2121">
        <v>16</v>
      </c>
      <c r="B101" s="2122"/>
      <c r="C101" s="2102"/>
      <c r="D101" s="2122"/>
      <c r="E101" s="2146"/>
      <c r="F101" s="2125"/>
    </row>
    <row r="102" spans="1:6">
      <c r="A102" s="2121">
        <v>17</v>
      </c>
      <c r="B102" s="2147"/>
      <c r="C102" s="2102"/>
      <c r="D102" s="2122"/>
      <c r="E102" s="2146"/>
      <c r="F102" s="2125"/>
    </row>
    <row r="103" spans="1:6">
      <c r="A103" s="2121">
        <v>18</v>
      </c>
      <c r="B103" s="2122"/>
      <c r="C103" s="2102"/>
      <c r="D103" s="2122"/>
      <c r="E103" s="2146"/>
      <c r="F103" s="2125"/>
    </row>
    <row r="104" spans="1:6">
      <c r="A104" s="2121">
        <v>19</v>
      </c>
      <c r="B104" s="2122"/>
      <c r="C104" s="2102"/>
      <c r="D104" s="2122"/>
      <c r="E104" s="2146"/>
      <c r="F104" s="2125"/>
    </row>
    <row r="105" spans="1:6">
      <c r="A105" s="2121">
        <v>20</v>
      </c>
      <c r="B105" s="2122"/>
      <c r="C105" s="2102"/>
      <c r="D105" s="2122"/>
      <c r="E105" s="2146"/>
      <c r="F105" s="2125"/>
    </row>
    <row r="106" spans="1:6">
      <c r="A106" s="2121">
        <v>21</v>
      </c>
      <c r="B106" s="2122"/>
      <c r="C106" s="2102"/>
      <c r="D106" s="2122"/>
      <c r="E106" s="2146"/>
      <c r="F106" s="2125"/>
    </row>
    <row r="107" spans="1:6">
      <c r="A107" s="2121">
        <v>22</v>
      </c>
      <c r="B107" s="2122"/>
      <c r="C107" s="2102"/>
      <c r="D107" s="2122"/>
      <c r="E107" s="2146"/>
      <c r="F107" s="2125"/>
    </row>
    <row r="108" spans="1:6">
      <c r="A108" s="2121">
        <v>23</v>
      </c>
      <c r="B108" s="2122"/>
      <c r="C108" s="2102"/>
      <c r="D108" s="2122"/>
      <c r="E108" s="2146"/>
      <c r="F108" s="2125"/>
    </row>
    <row r="109" spans="1:6">
      <c r="A109" s="2121">
        <v>24</v>
      </c>
      <c r="B109" s="2122"/>
      <c r="C109" s="2102"/>
      <c r="D109" s="2122"/>
      <c r="E109" s="2146"/>
      <c r="F109" s="2125"/>
    </row>
    <row r="110" spans="1:6">
      <c r="A110" s="2121">
        <v>25</v>
      </c>
      <c r="B110" s="2122"/>
      <c r="C110" s="2102"/>
      <c r="D110" s="2122"/>
      <c r="E110" s="2146"/>
      <c r="F110" s="2125"/>
    </row>
    <row r="111" spans="1:6">
      <c r="A111" s="2121">
        <v>26</v>
      </c>
      <c r="B111" s="2122"/>
      <c r="C111" s="2102"/>
      <c r="D111" s="2122"/>
      <c r="E111" s="2146"/>
      <c r="F111" s="2125"/>
    </row>
    <row r="112" spans="1:6">
      <c r="A112" s="2121">
        <v>27</v>
      </c>
      <c r="B112" s="2122"/>
      <c r="C112" s="2102"/>
      <c r="D112" s="2122"/>
      <c r="E112" s="2146"/>
      <c r="F112" s="2125"/>
    </row>
    <row r="113" spans="1:6">
      <c r="A113" s="2121">
        <v>28</v>
      </c>
      <c r="B113" s="2122"/>
      <c r="C113" s="2102"/>
      <c r="D113" s="2122"/>
      <c r="E113" s="2146"/>
      <c r="F113" s="2125"/>
    </row>
    <row r="114" spans="1:6">
      <c r="A114" s="2121">
        <v>29</v>
      </c>
      <c r="B114" s="2122"/>
      <c r="C114" s="2102"/>
      <c r="D114" s="2122"/>
      <c r="E114" s="2146"/>
      <c r="F114" s="2125"/>
    </row>
    <row r="115" spans="1:6">
      <c r="A115" s="2121">
        <v>30</v>
      </c>
      <c r="B115" s="2122"/>
      <c r="C115" s="2102"/>
      <c r="D115" s="2122"/>
      <c r="E115" s="2146"/>
      <c r="F115" s="2125"/>
    </row>
    <row r="116" spans="1:6">
      <c r="A116" s="2121">
        <v>31</v>
      </c>
      <c r="B116" s="2122"/>
      <c r="C116" s="2102"/>
      <c r="D116" s="2122"/>
      <c r="E116" s="2146"/>
      <c r="F116" s="2125"/>
    </row>
    <row r="117" spans="1:6">
      <c r="A117" s="2121">
        <v>32</v>
      </c>
      <c r="B117" s="2122"/>
      <c r="C117" s="2102"/>
      <c r="D117" s="2122"/>
      <c r="E117" s="2146"/>
      <c r="F117" s="2125"/>
    </row>
    <row r="118" spans="1:6">
      <c r="A118" s="2121">
        <v>33</v>
      </c>
      <c r="B118" s="2122"/>
      <c r="C118" s="2102"/>
      <c r="D118" s="2122"/>
      <c r="E118" s="2146"/>
      <c r="F118" s="2125"/>
    </row>
    <row r="119" spans="1:6">
      <c r="A119" s="2121">
        <v>34</v>
      </c>
      <c r="B119" s="2122"/>
      <c r="C119" s="2102"/>
      <c r="D119" s="2122"/>
      <c r="E119" s="2146"/>
      <c r="F119" s="2125"/>
    </row>
    <row r="120" spans="1:6">
      <c r="A120" s="2121">
        <v>35</v>
      </c>
      <c r="B120" s="2122"/>
      <c r="C120" s="2102"/>
      <c r="D120" s="2122"/>
      <c r="E120" s="2146"/>
      <c r="F120" s="2125"/>
    </row>
    <row r="121" spans="1:6">
      <c r="A121" s="2121">
        <v>36</v>
      </c>
      <c r="B121" s="2122"/>
      <c r="C121" s="2102"/>
      <c r="D121" s="2122"/>
      <c r="E121" s="2146"/>
      <c r="F121" s="2125"/>
    </row>
    <row r="122" spans="1:6">
      <c r="A122" s="2121">
        <v>37</v>
      </c>
      <c r="B122" s="2122"/>
      <c r="C122" s="2102"/>
      <c r="D122" s="2122"/>
      <c r="E122" s="2146"/>
      <c r="F122" s="2125"/>
    </row>
    <row r="123" spans="1:6">
      <c r="A123" s="2121">
        <v>38</v>
      </c>
      <c r="B123" s="2122"/>
      <c r="C123" s="2102"/>
      <c r="D123" s="2122"/>
      <c r="E123" s="2146"/>
      <c r="F123" s="2125"/>
    </row>
    <row r="124" spans="1:6">
      <c r="A124" s="2121">
        <v>39</v>
      </c>
      <c r="B124" s="2122"/>
      <c r="C124" s="2102"/>
      <c r="D124" s="2122"/>
      <c r="E124" s="2146"/>
      <c r="F124" s="2125"/>
    </row>
    <row r="125" spans="1:6">
      <c r="A125" s="2121">
        <v>40</v>
      </c>
      <c r="B125" s="2122"/>
      <c r="C125" s="2102"/>
      <c r="D125" s="2122"/>
      <c r="E125" s="2146"/>
      <c r="F125" s="2125"/>
    </row>
    <row r="126" spans="1:6">
      <c r="A126" s="2121">
        <v>41</v>
      </c>
      <c r="B126" s="2122"/>
      <c r="C126" s="2362"/>
      <c r="D126" s="2147"/>
      <c r="E126" s="2146"/>
      <c r="F126" s="2125"/>
    </row>
    <row r="127" spans="1:6">
      <c r="A127" s="2121">
        <v>42</v>
      </c>
      <c r="B127" s="2122"/>
      <c r="C127" s="2102"/>
      <c r="D127" s="2122"/>
      <c r="E127" s="2146"/>
      <c r="F127" s="2125"/>
    </row>
    <row r="128" spans="1:6">
      <c r="A128" s="2121">
        <v>43</v>
      </c>
      <c r="B128" s="2122"/>
      <c r="C128" s="2102"/>
      <c r="D128" s="2122"/>
      <c r="E128" s="2146"/>
      <c r="F128" s="2125"/>
    </row>
    <row r="129" spans="1:6">
      <c r="A129" s="2121">
        <v>44</v>
      </c>
      <c r="B129" s="2122"/>
      <c r="C129" s="2102"/>
      <c r="D129" s="2122"/>
      <c r="E129" s="2146"/>
      <c r="F129" s="2125"/>
    </row>
    <row r="130" spans="1:6">
      <c r="A130" s="2121">
        <v>45</v>
      </c>
      <c r="B130" s="2122"/>
      <c r="C130" s="2102"/>
      <c r="D130" s="2122"/>
      <c r="E130" s="2146"/>
      <c r="F130" s="2125"/>
    </row>
    <row r="131" spans="1:6">
      <c r="A131" s="2121">
        <v>46</v>
      </c>
      <c r="B131" s="2122"/>
      <c r="C131" s="2102"/>
      <c r="D131" s="2122"/>
      <c r="E131" s="2146"/>
      <c r="F131" s="2125"/>
    </row>
    <row r="132" spans="1:6">
      <c r="A132" s="2121">
        <v>47</v>
      </c>
      <c r="B132" s="2122"/>
      <c r="C132" s="2127"/>
      <c r="D132" s="2122"/>
      <c r="E132" s="2146"/>
      <c r="F132" s="2125"/>
    </row>
    <row r="133" spans="1:6">
      <c r="A133" s="2121">
        <v>48</v>
      </c>
      <c r="B133" s="2122"/>
      <c r="C133" s="2127"/>
      <c r="D133" s="2122"/>
      <c r="E133" s="2146"/>
      <c r="F133" s="2125"/>
    </row>
    <row r="134" spans="1:6">
      <c r="A134" s="2121">
        <v>49</v>
      </c>
      <c r="B134" s="2122"/>
      <c r="C134" s="2127"/>
      <c r="D134" s="2122"/>
      <c r="E134" s="2146"/>
      <c r="F134" s="2125"/>
    </row>
    <row r="135" spans="1:6">
      <c r="A135" s="2121">
        <v>50</v>
      </c>
      <c r="B135" s="2122"/>
      <c r="C135" s="2127"/>
      <c r="D135" s="2122"/>
      <c r="E135" s="2146"/>
      <c r="F135" s="2125"/>
    </row>
    <row r="136" spans="1:6">
      <c r="A136" s="2121">
        <v>51</v>
      </c>
      <c r="B136" s="2122"/>
      <c r="C136" s="2127"/>
      <c r="D136" s="2122"/>
      <c r="E136" s="2146"/>
      <c r="F136" s="2125"/>
    </row>
    <row r="137" spans="1:6">
      <c r="A137" s="2121">
        <v>52</v>
      </c>
      <c r="B137" s="2122"/>
      <c r="C137" s="2127"/>
      <c r="D137" s="2122"/>
      <c r="E137" s="2146"/>
      <c r="F137" s="2125"/>
    </row>
    <row r="138" spans="1:6">
      <c r="A138" s="2121">
        <v>53</v>
      </c>
      <c r="B138" s="2122"/>
      <c r="C138" s="2127"/>
      <c r="D138" s="2122"/>
      <c r="E138" s="2146"/>
      <c r="F138" s="2125"/>
    </row>
    <row r="139" spans="1:6">
      <c r="A139" s="2121">
        <v>54</v>
      </c>
      <c r="B139" s="2122"/>
      <c r="C139" s="2127"/>
      <c r="D139" s="2122"/>
      <c r="E139" s="2146"/>
      <c r="F139" s="2125"/>
    </row>
    <row r="140" spans="1:6" ht="15.75" thickBot="1">
      <c r="A140" s="2121">
        <v>55</v>
      </c>
      <c r="B140" s="2128"/>
      <c r="C140" s="2129"/>
      <c r="D140" s="2128"/>
      <c r="E140" s="2130"/>
      <c r="F140" s="2125"/>
    </row>
    <row r="141" spans="1:6">
      <c r="A141" s="2095" t="s">
        <v>4066</v>
      </c>
      <c r="B141" s="2095"/>
      <c r="C141" s="2095"/>
      <c r="D141" s="2095"/>
      <c r="E141" s="2095"/>
      <c r="F141" s="2095"/>
    </row>
    <row r="142" spans="1:6">
      <c r="A142" s="2132" t="s">
        <v>1337</v>
      </c>
      <c r="B142" s="2132"/>
      <c r="C142" s="2132"/>
      <c r="D142" s="2132"/>
      <c r="E142" s="2132"/>
      <c r="F142" s="2132"/>
    </row>
    <row r="143" spans="1:6">
      <c r="A143" s="2095"/>
      <c r="B143" s="2095"/>
      <c r="C143" s="2095"/>
      <c r="D143" s="2095"/>
      <c r="E143" s="2095"/>
      <c r="F143" s="2095"/>
    </row>
    <row r="144" spans="1:6">
      <c r="A144" s="2095"/>
      <c r="B144" s="2095"/>
      <c r="C144" s="2095"/>
      <c r="D144" s="2095"/>
      <c r="E144" s="2095"/>
      <c r="F144" s="2095"/>
    </row>
    <row r="145" spans="1:6">
      <c r="A145" s="2095"/>
      <c r="B145" s="2095"/>
      <c r="C145" s="2095"/>
      <c r="D145" s="2095"/>
      <c r="E145" s="2095"/>
      <c r="F145" s="2095"/>
    </row>
    <row r="146" spans="1:6">
      <c r="A146" s="2095"/>
      <c r="B146" s="2095"/>
      <c r="C146" s="2095"/>
      <c r="D146" s="2095"/>
      <c r="E146" s="2095"/>
      <c r="F146" s="2095"/>
    </row>
    <row r="147" spans="1:6">
      <c r="A147" s="2095"/>
      <c r="B147" s="2095"/>
      <c r="C147" s="2095"/>
      <c r="D147" s="2095"/>
      <c r="E147" s="2095"/>
      <c r="F147" s="2095"/>
    </row>
    <row r="148" spans="1:6">
      <c r="A148" s="2095"/>
      <c r="B148" s="2095"/>
      <c r="C148" s="2095"/>
      <c r="D148" s="2095"/>
      <c r="E148" s="2095"/>
      <c r="F148" s="2095"/>
    </row>
    <row r="149" spans="1:6">
      <c r="A149" s="2095"/>
      <c r="B149" s="2095"/>
      <c r="C149" s="2095"/>
      <c r="D149" s="2095"/>
      <c r="E149" s="2095"/>
      <c r="F149" s="2095"/>
    </row>
    <row r="150" spans="1:6">
      <c r="A150" s="2095"/>
      <c r="B150" s="2095"/>
      <c r="C150" s="2095"/>
      <c r="D150" s="2095"/>
      <c r="E150" s="2095"/>
      <c r="F150" s="2095"/>
    </row>
    <row r="151" spans="1:6">
      <c r="A151" s="2095"/>
      <c r="B151" s="2095"/>
      <c r="C151" s="2095"/>
      <c r="D151" s="2095"/>
      <c r="E151" s="2095"/>
      <c r="F151" s="2095"/>
    </row>
    <row r="152" spans="1:6">
      <c r="A152" s="2095"/>
      <c r="B152" s="2095"/>
      <c r="C152" s="2095"/>
      <c r="D152" s="2095"/>
      <c r="E152" s="2095"/>
      <c r="F152" s="2095"/>
    </row>
    <row r="153" spans="1:6">
      <c r="A153" s="2095"/>
      <c r="B153" s="2095"/>
      <c r="C153" s="2095"/>
      <c r="D153" s="2095"/>
      <c r="E153" s="2095"/>
      <c r="F153" s="2095"/>
    </row>
    <row r="154" spans="1:6">
      <c r="A154" s="2095"/>
      <c r="B154" s="2095"/>
      <c r="C154" s="2095"/>
      <c r="D154" s="2095"/>
      <c r="E154" s="2095"/>
      <c r="F154" s="2095"/>
    </row>
    <row r="155" spans="1:6">
      <c r="A155" s="2095"/>
      <c r="B155" s="2095"/>
      <c r="C155" s="2095"/>
      <c r="D155" s="2095"/>
      <c r="E155" s="2095"/>
      <c r="F155" s="2095"/>
    </row>
    <row r="156" spans="1:6">
      <c r="A156" s="2095"/>
      <c r="B156" s="2095"/>
      <c r="C156" s="2095"/>
      <c r="D156" s="2095"/>
      <c r="E156" s="2095"/>
      <c r="F156" s="2095"/>
    </row>
    <row r="157" spans="1:6">
      <c r="A157" s="2095"/>
      <c r="B157" s="2095"/>
      <c r="C157" s="2095"/>
      <c r="D157" s="2095"/>
      <c r="E157" s="2095"/>
      <c r="F157" s="2095"/>
    </row>
    <row r="158" spans="1:6">
      <c r="A158" s="2095"/>
      <c r="B158" s="2095"/>
      <c r="C158" s="2095"/>
      <c r="D158" s="2095"/>
      <c r="E158" s="2095"/>
      <c r="F158" s="2095"/>
    </row>
    <row r="159" spans="1:6">
      <c r="A159" s="2095"/>
      <c r="B159" s="2095"/>
      <c r="C159" s="2095"/>
      <c r="D159" s="2095"/>
      <c r="E159" s="2095"/>
      <c r="F159" s="2095"/>
    </row>
    <row r="160" spans="1:6">
      <c r="A160" s="2095"/>
      <c r="B160" s="2095"/>
      <c r="C160" s="2095"/>
      <c r="D160" s="2095"/>
      <c r="E160" s="2095"/>
      <c r="F160" s="2095"/>
    </row>
    <row r="161" spans="1:6">
      <c r="A161" s="2095"/>
      <c r="B161" s="2095"/>
      <c r="C161" s="2095"/>
      <c r="D161" s="2095"/>
      <c r="E161" s="2095"/>
      <c r="F161" s="2095"/>
    </row>
    <row r="162" spans="1:6">
      <c r="A162" s="2095"/>
      <c r="B162" s="2095"/>
      <c r="C162" s="2095"/>
      <c r="D162" s="2095"/>
      <c r="E162" s="2095"/>
      <c r="F162" s="2095"/>
    </row>
    <row r="163" spans="1:6">
      <c r="A163" s="2095"/>
      <c r="B163" s="2095"/>
      <c r="C163" s="2095"/>
      <c r="D163" s="2095"/>
      <c r="E163" s="2095"/>
      <c r="F163" s="2095"/>
    </row>
    <row r="164" spans="1:6">
      <c r="A164" s="2095"/>
      <c r="B164" s="2095"/>
      <c r="C164" s="2095"/>
      <c r="D164" s="2095"/>
      <c r="E164" s="2095"/>
      <c r="F164" s="2095"/>
    </row>
    <row r="165" spans="1:6">
      <c r="A165" s="2095"/>
      <c r="B165" s="2095"/>
      <c r="C165" s="2095"/>
      <c r="D165" s="2095"/>
      <c r="E165" s="2095"/>
      <c r="F165" s="2095"/>
    </row>
    <row r="166" spans="1:6">
      <c r="A166" s="2095"/>
      <c r="B166" s="2095"/>
      <c r="C166" s="2095"/>
      <c r="D166" s="2095"/>
      <c r="E166" s="2095"/>
      <c r="F166" s="2095"/>
    </row>
    <row r="167" spans="1:6">
      <c r="A167" s="2095"/>
      <c r="B167" s="2095"/>
      <c r="C167" s="2095"/>
      <c r="D167" s="2095"/>
      <c r="E167" s="2095"/>
      <c r="F167" s="2095"/>
    </row>
    <row r="168" spans="1:6">
      <c r="A168" s="2095"/>
      <c r="B168" s="2095"/>
      <c r="C168" s="2095"/>
      <c r="D168" s="2095"/>
      <c r="E168" s="2095"/>
      <c r="F168" s="2095"/>
    </row>
    <row r="169" spans="1:6">
      <c r="A169" s="2095"/>
      <c r="B169" s="2095"/>
      <c r="C169" s="2095"/>
      <c r="D169" s="2095"/>
      <c r="E169" s="2095"/>
      <c r="F169" s="2095"/>
    </row>
    <row r="170" spans="1:6">
      <c r="A170" s="2095"/>
      <c r="B170" s="2095"/>
      <c r="C170" s="2095"/>
      <c r="D170" s="2095"/>
      <c r="E170" s="2095"/>
      <c r="F170" s="2095"/>
    </row>
    <row r="171" spans="1:6">
      <c r="A171" s="2095"/>
      <c r="B171" s="2095"/>
      <c r="C171" s="2095"/>
      <c r="D171" s="2095"/>
      <c r="E171" s="2095"/>
      <c r="F171" s="2095"/>
    </row>
    <row r="172" spans="1:6">
      <c r="A172" s="2095"/>
      <c r="B172" s="2095"/>
      <c r="C172" s="2095"/>
      <c r="D172" s="2095"/>
      <c r="E172" s="2095"/>
      <c r="F172" s="2095"/>
    </row>
    <row r="173" spans="1:6">
      <c r="A173" s="2095"/>
      <c r="B173" s="2095"/>
      <c r="C173" s="2095"/>
      <c r="D173" s="2095"/>
      <c r="E173" s="2095"/>
      <c r="F173" s="2095"/>
    </row>
    <row r="174" spans="1:6">
      <c r="A174" s="2095"/>
      <c r="B174" s="2095"/>
      <c r="C174" s="2095"/>
      <c r="D174" s="2095"/>
      <c r="E174" s="2095"/>
      <c r="F174" s="2095"/>
    </row>
    <row r="175" spans="1:6">
      <c r="A175" s="2095"/>
      <c r="B175" s="2095"/>
      <c r="C175" s="2095"/>
      <c r="D175" s="2095"/>
      <c r="E175" s="2095"/>
      <c r="F175" s="2095"/>
    </row>
    <row r="176" spans="1:6">
      <c r="A176" s="2095"/>
      <c r="B176" s="2095"/>
      <c r="C176" s="2095"/>
      <c r="D176" s="2095"/>
      <c r="E176" s="2095"/>
      <c r="F176" s="2095"/>
    </row>
    <row r="177" spans="1:6">
      <c r="A177" s="2095"/>
      <c r="B177" s="2095"/>
      <c r="C177" s="2095"/>
      <c r="D177" s="2095"/>
      <c r="E177" s="2095"/>
      <c r="F177" s="2095"/>
    </row>
    <row r="178" spans="1:6">
      <c r="A178" s="2095"/>
      <c r="B178" s="2095"/>
      <c r="C178" s="2095"/>
      <c r="D178" s="2095"/>
      <c r="E178" s="2095"/>
      <c r="F178" s="2095"/>
    </row>
    <row r="179" spans="1:6">
      <c r="A179" s="2095"/>
      <c r="B179" s="2095"/>
      <c r="C179" s="2095"/>
      <c r="D179" s="2095"/>
      <c r="E179" s="2095"/>
      <c r="F179" s="2095"/>
    </row>
    <row r="180" spans="1:6">
      <c r="A180" s="2095"/>
      <c r="B180" s="2095"/>
      <c r="C180" s="2095"/>
      <c r="D180" s="2095"/>
      <c r="E180" s="2095"/>
      <c r="F180" s="2095"/>
    </row>
    <row r="181" spans="1:6">
      <c r="A181" s="2095"/>
      <c r="B181" s="2095"/>
      <c r="C181" s="2095"/>
      <c r="D181" s="2095"/>
      <c r="E181" s="2095"/>
      <c r="F181" s="2095"/>
    </row>
    <row r="182" spans="1:6">
      <c r="A182" s="2095"/>
      <c r="B182" s="2095"/>
      <c r="C182" s="2095"/>
      <c r="D182" s="2095"/>
      <c r="E182" s="2095"/>
      <c r="F182" s="2095"/>
    </row>
    <row r="183" spans="1:6">
      <c r="A183" s="2095"/>
      <c r="B183" s="2095"/>
      <c r="C183" s="2095"/>
      <c r="D183" s="2095"/>
      <c r="E183" s="2095"/>
      <c r="F183" s="2095"/>
    </row>
    <row r="184" spans="1:6">
      <c r="A184" s="2095"/>
      <c r="B184" s="2095"/>
      <c r="C184" s="2095"/>
      <c r="D184" s="2095"/>
      <c r="E184" s="2095"/>
      <c r="F184" s="2095"/>
    </row>
    <row r="185" spans="1:6">
      <c r="A185" s="2095"/>
      <c r="B185" s="2095"/>
      <c r="C185" s="2095"/>
      <c r="D185" s="2095"/>
      <c r="E185" s="2095"/>
      <c r="F185" s="2095"/>
    </row>
    <row r="186" spans="1:6">
      <c r="A186" s="2095"/>
      <c r="B186" s="2095"/>
      <c r="C186" s="2095"/>
      <c r="D186" s="2095"/>
      <c r="E186" s="2095"/>
      <c r="F186" s="2095"/>
    </row>
    <row r="187" spans="1:6">
      <c r="A187" s="2095"/>
      <c r="B187" s="2095"/>
      <c r="C187" s="2095"/>
      <c r="D187" s="2095"/>
      <c r="E187" s="2095"/>
      <c r="F187" s="2095"/>
    </row>
    <row r="188" spans="1:6">
      <c r="A188" s="2095"/>
      <c r="B188" s="2095"/>
      <c r="C188" s="2095"/>
      <c r="D188" s="2095"/>
      <c r="E188" s="2095"/>
      <c r="F188" s="2095"/>
    </row>
    <row r="189" spans="1:6">
      <c r="A189" s="2095"/>
      <c r="B189" s="2095"/>
      <c r="C189" s="2095"/>
      <c r="D189" s="2095"/>
      <c r="E189" s="2095"/>
      <c r="F189" s="2095"/>
    </row>
    <row r="190" spans="1:6">
      <c r="A190" s="2095"/>
      <c r="B190" s="2095"/>
      <c r="C190" s="2095"/>
      <c r="D190" s="2095"/>
      <c r="E190" s="2095"/>
      <c r="F190" s="2095"/>
    </row>
    <row r="191" spans="1:6">
      <c r="A191" s="2095"/>
      <c r="B191" s="2095"/>
      <c r="C191" s="2095"/>
      <c r="D191" s="2095"/>
      <c r="E191" s="2095"/>
      <c r="F191" s="2095"/>
    </row>
    <row r="192" spans="1:6">
      <c r="A192" s="2095"/>
      <c r="B192" s="2095"/>
      <c r="C192" s="2095"/>
      <c r="D192" s="2095"/>
      <c r="E192" s="2095"/>
      <c r="F192" s="2095"/>
    </row>
    <row r="193" spans="1:6">
      <c r="A193" s="2095"/>
      <c r="B193" s="2095"/>
      <c r="C193" s="2095"/>
      <c r="D193" s="2095"/>
      <c r="E193" s="2095"/>
      <c r="F193" s="2095"/>
    </row>
    <row r="194" spans="1:6">
      <c r="A194" s="2095"/>
      <c r="B194" s="2095"/>
      <c r="C194" s="2095"/>
      <c r="D194" s="2095"/>
      <c r="E194" s="2095"/>
      <c r="F194" s="2095"/>
    </row>
    <row r="195" spans="1:6">
      <c r="A195" s="2095"/>
      <c r="B195" s="2095"/>
      <c r="C195" s="2095"/>
      <c r="D195" s="2095"/>
      <c r="E195" s="2095"/>
      <c r="F195" s="2095"/>
    </row>
    <row r="196" spans="1:6">
      <c r="A196" s="2095"/>
      <c r="B196" s="2095"/>
      <c r="C196" s="2095"/>
      <c r="D196" s="2095"/>
      <c r="E196" s="2095"/>
      <c r="F196" s="2095"/>
    </row>
    <row r="197" spans="1:6">
      <c r="A197" s="2095"/>
      <c r="B197" s="2095"/>
      <c r="C197" s="2095"/>
      <c r="D197" s="2095"/>
      <c r="E197" s="2095"/>
      <c r="F197" s="2095"/>
    </row>
    <row r="198" spans="1:6">
      <c r="A198" s="2095"/>
      <c r="B198" s="2095"/>
      <c r="C198" s="2095"/>
      <c r="D198" s="2095"/>
      <c r="E198" s="2095"/>
      <c r="F198" s="2095"/>
    </row>
    <row r="199" spans="1:6">
      <c r="A199" s="2095"/>
      <c r="B199" s="2095"/>
      <c r="C199" s="2095"/>
      <c r="D199" s="2095"/>
      <c r="E199" s="2095"/>
      <c r="F199" s="2095"/>
    </row>
    <row r="200" spans="1:6">
      <c r="A200" s="2095"/>
      <c r="B200" s="2095"/>
      <c r="C200" s="2095"/>
      <c r="D200" s="2095"/>
      <c r="E200" s="2095"/>
      <c r="F200" s="2095"/>
    </row>
    <row r="201" spans="1:6">
      <c r="A201" s="2095"/>
      <c r="B201" s="2095"/>
      <c r="C201" s="2095"/>
      <c r="D201" s="2095"/>
      <c r="E201" s="2095"/>
      <c r="F201" s="2095"/>
    </row>
    <row r="202" spans="1:6">
      <c r="A202" s="2095"/>
      <c r="B202" s="2095"/>
      <c r="C202" s="2095"/>
      <c r="D202" s="2095"/>
      <c r="E202" s="2095"/>
      <c r="F202" s="2095"/>
    </row>
    <row r="203" spans="1:6">
      <c r="A203" s="2095"/>
      <c r="B203" s="2095"/>
      <c r="C203" s="2095"/>
      <c r="D203" s="2095"/>
      <c r="E203" s="2095"/>
      <c r="F203" s="2095"/>
    </row>
    <row r="204" spans="1:6">
      <c r="A204" s="2095"/>
      <c r="B204" s="2095"/>
      <c r="C204" s="2095"/>
      <c r="D204" s="2095"/>
      <c r="E204" s="2095"/>
      <c r="F204" s="2095"/>
    </row>
    <row r="205" spans="1:6">
      <c r="A205" s="2095"/>
      <c r="B205" s="2095"/>
      <c r="C205" s="2095"/>
      <c r="D205" s="2095"/>
      <c r="E205" s="2095"/>
      <c r="F205" s="2095"/>
    </row>
    <row r="206" spans="1:6">
      <c r="A206" s="2095"/>
      <c r="B206" s="2095"/>
      <c r="C206" s="2095"/>
      <c r="D206" s="2095"/>
      <c r="E206" s="2095"/>
      <c r="F206" s="2095"/>
    </row>
    <row r="207" spans="1:6">
      <c r="A207" s="2095"/>
      <c r="B207" s="2095"/>
      <c r="C207" s="2095"/>
      <c r="D207" s="2095"/>
      <c r="E207" s="2095"/>
      <c r="F207" s="2095"/>
    </row>
    <row r="208" spans="1:6">
      <c r="A208" s="2095"/>
      <c r="B208" s="2095"/>
      <c r="C208" s="2095"/>
      <c r="D208" s="2095"/>
      <c r="E208" s="2095"/>
      <c r="F208" s="2095"/>
    </row>
    <row r="209" spans="1:6">
      <c r="A209" s="2095"/>
      <c r="B209" s="2095"/>
      <c r="C209" s="2095"/>
      <c r="D209" s="2095"/>
      <c r="E209" s="2095"/>
      <c r="F209" s="2095"/>
    </row>
    <row r="210" spans="1:6">
      <c r="A210" s="2095"/>
      <c r="B210" s="2095"/>
      <c r="C210" s="2095"/>
      <c r="D210" s="2095"/>
      <c r="E210" s="2095"/>
      <c r="F210" s="2095"/>
    </row>
    <row r="211" spans="1:6">
      <c r="A211" s="2095"/>
      <c r="B211" s="2095"/>
      <c r="C211" s="2095"/>
      <c r="D211" s="2095"/>
      <c r="E211" s="2095"/>
      <c r="F211" s="2095"/>
    </row>
    <row r="212" spans="1:6">
      <c r="A212" s="2095"/>
      <c r="B212" s="2095"/>
      <c r="C212" s="2095"/>
      <c r="D212" s="2095"/>
      <c r="E212" s="2095"/>
      <c r="F212" s="2095"/>
    </row>
    <row r="213" spans="1:6">
      <c r="A213" s="2095"/>
      <c r="B213" s="2095"/>
      <c r="C213" s="2095"/>
      <c r="D213" s="2095"/>
      <c r="E213" s="2095"/>
      <c r="F213" s="2095"/>
    </row>
    <row r="214" spans="1:6">
      <c r="A214" s="2095"/>
      <c r="B214" s="2095"/>
      <c r="C214" s="2095"/>
      <c r="D214" s="2095"/>
      <c r="E214" s="2095"/>
      <c r="F214" s="2095"/>
    </row>
    <row r="215" spans="1:6">
      <c r="A215" s="2095"/>
      <c r="B215" s="2095"/>
      <c r="C215" s="2095"/>
      <c r="D215" s="2095"/>
      <c r="E215" s="2095"/>
      <c r="F215" s="2095"/>
    </row>
    <row r="216" spans="1:6">
      <c r="A216" s="2095"/>
      <c r="B216" s="2095"/>
      <c r="C216" s="2095"/>
      <c r="D216" s="2095"/>
      <c r="E216" s="2095"/>
      <c r="F216" s="2095"/>
    </row>
    <row r="217" spans="1:6">
      <c r="A217" s="2095"/>
      <c r="B217" s="2095"/>
      <c r="C217" s="2095"/>
      <c r="D217" s="2095"/>
      <c r="E217" s="2095"/>
      <c r="F217" s="2095"/>
    </row>
    <row r="218" spans="1:6">
      <c r="A218" s="2095"/>
      <c r="B218" s="2095"/>
      <c r="C218" s="2095"/>
      <c r="D218" s="2095"/>
      <c r="E218" s="2095"/>
      <c r="F218" s="2095"/>
    </row>
    <row r="219" spans="1:6">
      <c r="A219" s="2095"/>
      <c r="B219" s="2095"/>
      <c r="C219" s="2095"/>
      <c r="D219" s="2095"/>
      <c r="E219" s="2095"/>
      <c r="F219" s="2095"/>
    </row>
    <row r="220" spans="1:6">
      <c r="A220" s="2095"/>
      <c r="B220" s="2095"/>
      <c r="C220" s="2095"/>
      <c r="D220" s="2095"/>
      <c r="E220" s="2095"/>
      <c r="F220" s="2095"/>
    </row>
    <row r="221" spans="1:6">
      <c r="A221" s="2095"/>
      <c r="B221" s="2095"/>
      <c r="C221" s="2095"/>
      <c r="D221" s="2095"/>
      <c r="E221" s="2095"/>
      <c r="F221" s="2095"/>
    </row>
    <row r="222" spans="1:6">
      <c r="A222" s="2095"/>
      <c r="B222" s="2095"/>
      <c r="C222" s="2095"/>
      <c r="D222" s="2095"/>
      <c r="E222" s="2095"/>
      <c r="F222" s="2095"/>
    </row>
    <row r="223" spans="1:6">
      <c r="A223" s="2095"/>
      <c r="B223" s="2095"/>
      <c r="C223" s="2095"/>
      <c r="D223" s="2095"/>
      <c r="E223" s="2095"/>
      <c r="F223" s="2095"/>
    </row>
    <row r="224" spans="1:6">
      <c r="A224" s="2095"/>
      <c r="B224" s="2095"/>
      <c r="C224" s="2095"/>
      <c r="D224" s="2095"/>
      <c r="E224" s="2095"/>
      <c r="F224" s="2095"/>
    </row>
    <row r="225" spans="1:6">
      <c r="A225" s="2095"/>
      <c r="B225" s="2095"/>
      <c r="C225" s="2095"/>
      <c r="D225" s="2095"/>
      <c r="E225" s="2095"/>
      <c r="F225" s="2095"/>
    </row>
    <row r="226" spans="1:6">
      <c r="A226" s="2095"/>
      <c r="B226" s="2095"/>
      <c r="C226" s="2095"/>
      <c r="D226" s="2095"/>
      <c r="E226" s="2095"/>
      <c r="F226" s="2095"/>
    </row>
    <row r="227" spans="1:6">
      <c r="A227" s="2095"/>
      <c r="B227" s="2095"/>
      <c r="C227" s="2095"/>
      <c r="D227" s="2095"/>
      <c r="E227" s="2095"/>
      <c r="F227" s="2095"/>
    </row>
    <row r="228" spans="1:6">
      <c r="A228" s="2095"/>
      <c r="B228" s="2095"/>
      <c r="C228" s="2095"/>
      <c r="D228" s="2095"/>
      <c r="E228" s="2095"/>
      <c r="F228" s="2095"/>
    </row>
    <row r="229" spans="1:6">
      <c r="A229" s="2095"/>
      <c r="B229" s="2095"/>
      <c r="C229" s="2095"/>
      <c r="D229" s="2095"/>
      <c r="E229" s="2095"/>
      <c r="F229" s="2095"/>
    </row>
    <row r="230" spans="1:6">
      <c r="A230" s="2095"/>
      <c r="B230" s="2095"/>
      <c r="C230" s="2095"/>
      <c r="D230" s="2095"/>
      <c r="E230" s="2095"/>
      <c r="F230" s="2095"/>
    </row>
    <row r="231" spans="1:6">
      <c r="A231" s="2095"/>
      <c r="B231" s="2095"/>
      <c r="C231" s="2095"/>
      <c r="D231" s="2095"/>
      <c r="E231" s="2095"/>
      <c r="F231" s="2095"/>
    </row>
    <row r="232" spans="1:6">
      <c r="A232" s="2095"/>
      <c r="B232" s="2095"/>
      <c r="C232" s="2095"/>
      <c r="D232" s="2095"/>
      <c r="E232" s="2095"/>
      <c r="F232" s="2095"/>
    </row>
    <row r="233" spans="1:6">
      <c r="A233" s="2095"/>
      <c r="B233" s="2095"/>
      <c r="C233" s="2095"/>
      <c r="D233" s="2095"/>
      <c r="E233" s="2095"/>
      <c r="F233" s="2095"/>
    </row>
    <row r="234" spans="1:6">
      <c r="A234" s="2095"/>
      <c r="B234" s="2095"/>
      <c r="C234" s="2095"/>
      <c r="D234" s="2095"/>
      <c r="E234" s="2095"/>
      <c r="F234" s="2095"/>
    </row>
    <row r="235" spans="1:6">
      <c r="A235" s="2095"/>
      <c r="B235" s="2095"/>
      <c r="C235" s="2095"/>
      <c r="D235" s="2095"/>
      <c r="E235" s="2095"/>
      <c r="F235" s="2095"/>
    </row>
    <row r="236" spans="1:6">
      <c r="A236" s="2095"/>
      <c r="B236" s="2095"/>
      <c r="C236" s="2095"/>
      <c r="D236" s="2095"/>
      <c r="E236" s="2095"/>
      <c r="F236" s="2095"/>
    </row>
    <row r="237" spans="1:6">
      <c r="A237" s="2095"/>
      <c r="B237" s="2095"/>
      <c r="C237" s="2095"/>
      <c r="D237" s="2095"/>
      <c r="E237" s="2095"/>
      <c r="F237" s="2095"/>
    </row>
    <row r="238" spans="1:6">
      <c r="A238" s="2095"/>
      <c r="B238" s="2095"/>
      <c r="C238" s="2095"/>
      <c r="D238" s="2095"/>
      <c r="E238" s="2095"/>
      <c r="F238" s="2095"/>
    </row>
    <row r="239" spans="1:6">
      <c r="A239" s="2095"/>
      <c r="B239" s="2095"/>
      <c r="C239" s="2095"/>
      <c r="D239" s="2095"/>
      <c r="E239" s="2095"/>
      <c r="F239" s="2095"/>
    </row>
    <row r="240" spans="1:6">
      <c r="A240" s="2095"/>
      <c r="B240" s="2095"/>
      <c r="C240" s="2095"/>
      <c r="D240" s="2095"/>
      <c r="E240" s="2095"/>
      <c r="F240" s="2095"/>
    </row>
    <row r="241" spans="1:6">
      <c r="A241" s="2095"/>
      <c r="B241" s="2095"/>
      <c r="C241" s="2095"/>
      <c r="D241" s="2095"/>
      <c r="E241" s="2095"/>
      <c r="F241" s="2095"/>
    </row>
    <row r="242" spans="1:6">
      <c r="A242" s="2095"/>
      <c r="B242" s="2095"/>
      <c r="C242" s="2095"/>
      <c r="D242" s="2095"/>
      <c r="E242" s="2095"/>
      <c r="F242" s="2095"/>
    </row>
    <row r="243" spans="1:6">
      <c r="A243" s="2095"/>
      <c r="B243" s="2095"/>
      <c r="C243" s="2095"/>
      <c r="D243" s="2095"/>
      <c r="E243" s="2095"/>
      <c r="F243" s="2095"/>
    </row>
    <row r="244" spans="1:6">
      <c r="A244" s="2095"/>
      <c r="B244" s="2095"/>
      <c r="C244" s="2095"/>
      <c r="D244" s="2095"/>
      <c r="E244" s="2095"/>
      <c r="F244" s="2095"/>
    </row>
    <row r="245" spans="1:6">
      <c r="A245" s="2095"/>
      <c r="B245" s="2095"/>
      <c r="C245" s="2095"/>
      <c r="D245" s="2095"/>
      <c r="E245" s="2095"/>
      <c r="F245" s="2095"/>
    </row>
    <row r="246" spans="1:6">
      <c r="A246" s="2095"/>
      <c r="B246" s="2095"/>
      <c r="C246" s="2095"/>
      <c r="D246" s="2095"/>
      <c r="E246" s="2095"/>
      <c r="F246" s="2095"/>
    </row>
    <row r="247" spans="1:6">
      <c r="A247" s="2095"/>
      <c r="B247" s="2095"/>
      <c r="C247" s="2095"/>
      <c r="D247" s="2095"/>
      <c r="E247" s="2095"/>
      <c r="F247" s="2095"/>
    </row>
    <row r="248" spans="1:6">
      <c r="A248" s="2095"/>
      <c r="B248" s="2095"/>
      <c r="C248" s="2095"/>
      <c r="D248" s="2095"/>
      <c r="E248" s="2095"/>
      <c r="F248" s="2095"/>
    </row>
    <row r="249" spans="1:6">
      <c r="A249" s="2095"/>
      <c r="B249" s="2095"/>
      <c r="C249" s="2095"/>
      <c r="D249" s="2095"/>
      <c r="E249" s="2095"/>
      <c r="F249" s="2095"/>
    </row>
    <row r="250" spans="1:6">
      <c r="A250" s="2095"/>
      <c r="B250" s="2095"/>
      <c r="C250" s="2095"/>
      <c r="D250" s="2095"/>
      <c r="E250" s="2095"/>
      <c r="F250" s="2095"/>
    </row>
    <row r="251" spans="1:6">
      <c r="A251" s="2095"/>
      <c r="B251" s="2095"/>
      <c r="C251" s="2095"/>
      <c r="D251" s="2095"/>
      <c r="E251" s="2095"/>
      <c r="F251" s="2095"/>
    </row>
    <row r="252" spans="1:6">
      <c r="A252" s="2095"/>
      <c r="B252" s="2095"/>
      <c r="C252" s="2095"/>
      <c r="D252" s="2095"/>
      <c r="E252" s="2095"/>
      <c r="F252" s="2095"/>
    </row>
    <row r="253" spans="1:6">
      <c r="A253" s="2095"/>
      <c r="B253" s="2095"/>
      <c r="C253" s="2095"/>
      <c r="D253" s="2095"/>
      <c r="E253" s="2095"/>
      <c r="F253" s="2095"/>
    </row>
    <row r="254" spans="1:6">
      <c r="A254" s="2095"/>
      <c r="B254" s="2095"/>
      <c r="C254" s="2095"/>
      <c r="D254" s="2095"/>
      <c r="E254" s="2095"/>
      <c r="F254" s="2095"/>
    </row>
    <row r="255" spans="1:6">
      <c r="A255" s="2095"/>
      <c r="B255" s="2095"/>
      <c r="C255" s="2095"/>
      <c r="D255" s="2095"/>
      <c r="E255" s="2095"/>
      <c r="F255" s="2095"/>
    </row>
    <row r="256" spans="1:6">
      <c r="A256" s="2095"/>
      <c r="B256" s="2095"/>
      <c r="C256" s="2095"/>
      <c r="D256" s="2095"/>
      <c r="E256" s="2095"/>
      <c r="F256" s="2095"/>
    </row>
    <row r="257" spans="1:6">
      <c r="A257" s="2095"/>
      <c r="B257" s="2095"/>
      <c r="C257" s="2095"/>
      <c r="D257" s="2095"/>
      <c r="E257" s="2095"/>
      <c r="F257" s="2095"/>
    </row>
    <row r="258" spans="1:6">
      <c r="A258" s="2095"/>
      <c r="B258" s="2095"/>
      <c r="C258" s="2095"/>
      <c r="D258" s="2095"/>
      <c r="E258" s="2095"/>
      <c r="F258" s="2095"/>
    </row>
    <row r="259" spans="1:6">
      <c r="A259" s="2095"/>
      <c r="B259" s="2095"/>
      <c r="C259" s="2095"/>
      <c r="D259" s="2095"/>
      <c r="E259" s="2095"/>
      <c r="F259" s="2095"/>
    </row>
    <row r="260" spans="1:6">
      <c r="A260" s="2095"/>
      <c r="B260" s="2095"/>
      <c r="C260" s="2095"/>
      <c r="D260" s="2095"/>
      <c r="E260" s="2095"/>
      <c r="F260" s="2095"/>
    </row>
    <row r="261" spans="1:6">
      <c r="A261" s="2095"/>
      <c r="B261" s="2095"/>
      <c r="C261" s="2095"/>
      <c r="D261" s="2095"/>
      <c r="E261" s="2095"/>
      <c r="F261" s="2095"/>
    </row>
    <row r="262" spans="1:6">
      <c r="A262" s="2095"/>
      <c r="B262" s="2095"/>
      <c r="C262" s="2095"/>
      <c r="D262" s="2095"/>
      <c r="E262" s="2095"/>
      <c r="F262" s="2095"/>
    </row>
    <row r="263" spans="1:6">
      <c r="A263" s="2095"/>
      <c r="B263" s="2095"/>
      <c r="C263" s="2095"/>
      <c r="D263" s="2095"/>
      <c r="E263" s="2095"/>
      <c r="F263" s="2095"/>
    </row>
    <row r="264" spans="1:6">
      <c r="A264" s="2095"/>
      <c r="B264" s="2095"/>
      <c r="C264" s="2095"/>
      <c r="D264" s="2095"/>
      <c r="E264" s="2095"/>
      <c r="F264" s="2095"/>
    </row>
    <row r="265" spans="1:6">
      <c r="A265" s="2095"/>
      <c r="B265" s="2095"/>
      <c r="C265" s="2095"/>
      <c r="D265" s="2095"/>
      <c r="E265" s="2095"/>
      <c r="F265" s="2095"/>
    </row>
    <row r="266" spans="1:6">
      <c r="A266" s="2095"/>
      <c r="B266" s="2095"/>
      <c r="C266" s="2095"/>
      <c r="D266" s="2095"/>
      <c r="E266" s="2095"/>
      <c r="F266" s="2095"/>
    </row>
    <row r="267" spans="1:6">
      <c r="A267" s="2095"/>
      <c r="B267" s="2095"/>
      <c r="C267" s="2095"/>
      <c r="D267" s="2095"/>
      <c r="E267" s="2095"/>
      <c r="F267" s="2095"/>
    </row>
    <row r="268" spans="1:6">
      <c r="A268" s="2095"/>
      <c r="B268" s="2095"/>
      <c r="C268" s="2095"/>
      <c r="D268" s="2095"/>
      <c r="E268" s="2095"/>
      <c r="F268" s="2095"/>
    </row>
    <row r="269" spans="1:6">
      <c r="A269" s="2095"/>
      <c r="B269" s="2095"/>
      <c r="C269" s="2095"/>
      <c r="D269" s="2095"/>
      <c r="E269" s="2095"/>
      <c r="F269" s="2095"/>
    </row>
    <row r="270" spans="1:6">
      <c r="A270" s="2095"/>
      <c r="B270" s="2095"/>
      <c r="C270" s="2095"/>
      <c r="D270" s="2095"/>
      <c r="E270" s="2095"/>
      <c r="F270" s="2095"/>
    </row>
    <row r="271" spans="1:6">
      <c r="A271" s="2095"/>
      <c r="B271" s="2095"/>
      <c r="C271" s="2095"/>
      <c r="D271" s="2095"/>
      <c r="E271" s="2095"/>
      <c r="F271" s="2095"/>
    </row>
    <row r="272" spans="1:6">
      <c r="A272" s="2095"/>
      <c r="B272" s="2095"/>
      <c r="C272" s="2095"/>
      <c r="D272" s="2095"/>
      <c r="E272" s="2095"/>
      <c r="F272" s="2095"/>
    </row>
    <row r="273" spans="1:6">
      <c r="A273" s="2095"/>
      <c r="B273" s="2095"/>
      <c r="C273" s="2095"/>
      <c r="D273" s="2095"/>
      <c r="E273" s="2095"/>
      <c r="F273" s="2095"/>
    </row>
    <row r="274" spans="1:6">
      <c r="A274" s="2095"/>
      <c r="B274" s="2095"/>
      <c r="C274" s="2095"/>
      <c r="D274" s="2095"/>
      <c r="E274" s="2095"/>
      <c r="F274" s="2095"/>
    </row>
    <row r="275" spans="1:6">
      <c r="A275" s="2095"/>
      <c r="B275" s="2095"/>
      <c r="C275" s="2095"/>
      <c r="D275" s="2095"/>
      <c r="E275" s="2095"/>
      <c r="F275" s="2095"/>
    </row>
    <row r="276" spans="1:6">
      <c r="A276" s="2095"/>
      <c r="B276" s="2095"/>
      <c r="C276" s="2095"/>
      <c r="D276" s="2095"/>
      <c r="E276" s="2095"/>
      <c r="F276" s="2095"/>
    </row>
    <row r="277" spans="1:6">
      <c r="A277" s="2095"/>
      <c r="B277" s="2095"/>
      <c r="C277" s="2095"/>
      <c r="D277" s="2095"/>
      <c r="E277" s="2095"/>
      <c r="F277" s="2095"/>
    </row>
    <row r="278" spans="1:6">
      <c r="A278" s="2095"/>
      <c r="B278" s="2095"/>
      <c r="C278" s="2095"/>
      <c r="D278" s="2095"/>
      <c r="E278" s="2095"/>
      <c r="F278" s="2095"/>
    </row>
    <row r="279" spans="1:6">
      <c r="A279" s="2095"/>
      <c r="B279" s="2095"/>
      <c r="C279" s="2095"/>
      <c r="D279" s="2095"/>
      <c r="E279" s="2095"/>
      <c r="F279" s="2095"/>
    </row>
    <row r="280" spans="1:6">
      <c r="A280" s="2095"/>
      <c r="B280" s="2095"/>
      <c r="C280" s="2095"/>
      <c r="D280" s="2095"/>
      <c r="E280" s="2095"/>
      <c r="F280" s="2095"/>
    </row>
    <row r="281" spans="1:6">
      <c r="A281" s="2095"/>
      <c r="B281" s="2095"/>
      <c r="C281" s="2095"/>
      <c r="D281" s="2095"/>
      <c r="E281" s="2095"/>
      <c r="F281" s="2095"/>
    </row>
    <row r="282" spans="1:6">
      <c r="A282" s="2095"/>
      <c r="B282" s="2095"/>
      <c r="C282" s="2095"/>
      <c r="D282" s="2095"/>
      <c r="E282" s="2095"/>
      <c r="F282" s="2095"/>
    </row>
    <row r="283" spans="1:6">
      <c r="A283" s="2095"/>
      <c r="B283" s="2095"/>
      <c r="C283" s="2095"/>
      <c r="D283" s="2095"/>
      <c r="E283" s="2095"/>
      <c r="F283" s="2095"/>
    </row>
    <row r="284" spans="1:6">
      <c r="A284" s="2095"/>
      <c r="B284" s="2095"/>
      <c r="C284" s="2095"/>
      <c r="D284" s="2095"/>
      <c r="E284" s="2095"/>
      <c r="F284" s="2095"/>
    </row>
    <row r="285" spans="1:6">
      <c r="A285" s="2095"/>
      <c r="B285" s="2095"/>
      <c r="C285" s="2095"/>
      <c r="D285" s="2095"/>
      <c r="E285" s="2095"/>
      <c r="F285" s="2095"/>
    </row>
    <row r="286" spans="1:6">
      <c r="A286" s="2095"/>
      <c r="B286" s="2095"/>
      <c r="C286" s="2095"/>
      <c r="D286" s="2095"/>
      <c r="E286" s="2095"/>
      <c r="F286" s="2095"/>
    </row>
    <row r="287" spans="1:6">
      <c r="A287" s="2095"/>
      <c r="B287" s="2095"/>
      <c r="C287" s="2095"/>
      <c r="D287" s="2095"/>
      <c r="E287" s="2095"/>
      <c r="F287" s="2095"/>
    </row>
    <row r="288" spans="1:6">
      <c r="A288" s="2095"/>
      <c r="B288" s="2095"/>
      <c r="C288" s="2095"/>
      <c r="D288" s="2095"/>
      <c r="E288" s="2095"/>
      <c r="F288" s="2095"/>
    </row>
    <row r="289" spans="1:6">
      <c r="A289" s="2095"/>
      <c r="B289" s="2095"/>
      <c r="C289" s="2095"/>
      <c r="D289" s="2095"/>
      <c r="E289" s="2095"/>
      <c r="F289" s="2095"/>
    </row>
    <row r="290" spans="1:6">
      <c r="A290" s="2095"/>
      <c r="B290" s="2095"/>
      <c r="C290" s="2095"/>
      <c r="D290" s="2095"/>
      <c r="E290" s="2095"/>
      <c r="F290" s="2095"/>
    </row>
    <row r="291" spans="1:6">
      <c r="A291" s="2095"/>
      <c r="B291" s="2095"/>
      <c r="C291" s="2095"/>
      <c r="D291" s="2095"/>
      <c r="E291" s="2095"/>
      <c r="F291" s="2095"/>
    </row>
    <row r="292" spans="1:6">
      <c r="A292" s="2095"/>
      <c r="B292" s="2095"/>
      <c r="C292" s="2095"/>
      <c r="D292" s="2095"/>
      <c r="E292" s="2095"/>
      <c r="F292" s="2095"/>
    </row>
    <row r="293" spans="1:6">
      <c r="A293" s="2095"/>
      <c r="B293" s="2095"/>
      <c r="C293" s="2095"/>
      <c r="D293" s="2095"/>
      <c r="E293" s="2095"/>
      <c r="F293" s="2095"/>
    </row>
    <row r="294" spans="1:6">
      <c r="A294" s="2095"/>
      <c r="B294" s="2095"/>
      <c r="C294" s="2095"/>
      <c r="D294" s="2095"/>
      <c r="E294" s="2095"/>
      <c r="F294" s="2095"/>
    </row>
    <row r="295" spans="1:6">
      <c r="A295" s="2095"/>
      <c r="B295" s="2095"/>
      <c r="C295" s="2095"/>
      <c r="D295" s="2095"/>
      <c r="E295" s="2095"/>
      <c r="F295" s="2095"/>
    </row>
    <row r="296" spans="1:6">
      <c r="A296" s="2095"/>
      <c r="B296" s="2095"/>
      <c r="C296" s="2095"/>
      <c r="D296" s="2095"/>
      <c r="E296" s="2095"/>
      <c r="F296" s="2095"/>
    </row>
    <row r="297" spans="1:6">
      <c r="A297" s="2095"/>
      <c r="B297" s="2095"/>
      <c r="C297" s="2095"/>
      <c r="D297" s="2095"/>
      <c r="E297" s="2095"/>
      <c r="F297" s="2095"/>
    </row>
    <row r="298" spans="1:6">
      <c r="A298" s="2095"/>
      <c r="B298" s="2095"/>
      <c r="C298" s="2095"/>
      <c r="D298" s="2095"/>
      <c r="E298" s="2095"/>
      <c r="F298" s="2095"/>
    </row>
    <row r="299" spans="1:6">
      <c r="A299" s="2095"/>
      <c r="B299" s="2095"/>
      <c r="C299" s="2095"/>
      <c r="D299" s="2095"/>
      <c r="E299" s="2095"/>
      <c r="F299" s="2095"/>
    </row>
    <row r="300" spans="1:6">
      <c r="A300" s="2095"/>
      <c r="B300" s="2095"/>
      <c r="C300" s="2095"/>
      <c r="D300" s="2095"/>
      <c r="E300" s="2095"/>
      <c r="F300" s="2095"/>
    </row>
    <row r="301" spans="1:6">
      <c r="A301" s="2095"/>
      <c r="B301" s="2095"/>
      <c r="C301" s="2095"/>
      <c r="D301" s="2095"/>
      <c r="E301" s="2095"/>
      <c r="F301" s="2095"/>
    </row>
    <row r="302" spans="1:6">
      <c r="A302" s="2095"/>
      <c r="B302" s="2095"/>
      <c r="C302" s="2095"/>
      <c r="D302" s="2095"/>
      <c r="E302" s="2095"/>
      <c r="F302" s="2095"/>
    </row>
    <row r="303" spans="1:6">
      <c r="A303" s="2095"/>
      <c r="B303" s="2095"/>
      <c r="C303" s="2095"/>
      <c r="D303" s="2095"/>
      <c r="E303" s="2095"/>
      <c r="F303" s="2095"/>
    </row>
    <row r="304" spans="1:6">
      <c r="A304" s="2095"/>
      <c r="B304" s="2095"/>
      <c r="C304" s="2095"/>
      <c r="D304" s="2095"/>
      <c r="E304" s="2095"/>
      <c r="F304" s="2095"/>
    </row>
    <row r="305" spans="1:6">
      <c r="A305" s="2095"/>
      <c r="B305" s="2095"/>
      <c r="C305" s="2095"/>
      <c r="D305" s="2095"/>
      <c r="E305" s="2095"/>
      <c r="F305" s="2095"/>
    </row>
    <row r="306" spans="1:6">
      <c r="A306" s="2095"/>
      <c r="B306" s="2095"/>
      <c r="C306" s="2095"/>
      <c r="D306" s="2095"/>
      <c r="E306" s="2095"/>
      <c r="F306" s="2095"/>
    </row>
    <row r="307" spans="1:6">
      <c r="A307" s="2095"/>
      <c r="B307" s="2095"/>
      <c r="C307" s="2095"/>
      <c r="D307" s="2095"/>
      <c r="E307" s="2095"/>
      <c r="F307" s="2095"/>
    </row>
    <row r="308" spans="1:6">
      <c r="A308" s="2095"/>
      <c r="B308" s="2095"/>
      <c r="C308" s="2095"/>
      <c r="D308" s="2095"/>
      <c r="E308" s="2095"/>
      <c r="F308" s="2095"/>
    </row>
    <row r="309" spans="1:6">
      <c r="A309" s="2095"/>
      <c r="B309" s="2095"/>
      <c r="C309" s="2095"/>
      <c r="D309" s="2095"/>
      <c r="E309" s="2095"/>
      <c r="F309" s="2095"/>
    </row>
    <row r="310" spans="1:6">
      <c r="A310" s="2095"/>
      <c r="B310" s="2095"/>
      <c r="C310" s="2095"/>
      <c r="D310" s="2095"/>
      <c r="E310" s="2095"/>
      <c r="F310" s="2095"/>
    </row>
    <row r="311" spans="1:6">
      <c r="A311" s="2095"/>
      <c r="B311" s="2095"/>
      <c r="C311" s="2095"/>
      <c r="D311" s="2095"/>
      <c r="E311" s="2095"/>
      <c r="F311" s="2095"/>
    </row>
    <row r="312" spans="1:6">
      <c r="A312" s="2095"/>
      <c r="B312" s="2095"/>
      <c r="C312" s="2095"/>
      <c r="D312" s="2095"/>
      <c r="E312" s="2095"/>
      <c r="F312" s="2095"/>
    </row>
    <row r="313" spans="1:6">
      <c r="A313" s="2095"/>
      <c r="B313" s="2095"/>
      <c r="C313" s="2095"/>
      <c r="D313" s="2095"/>
      <c r="E313" s="2095"/>
      <c r="F313" s="2095"/>
    </row>
    <row r="314" spans="1:6">
      <c r="A314" s="2095"/>
      <c r="B314" s="2095"/>
      <c r="C314" s="2095"/>
      <c r="D314" s="2095"/>
      <c r="E314" s="2095"/>
      <c r="F314" s="2095"/>
    </row>
    <row r="315" spans="1:6">
      <c r="A315" s="2095"/>
      <c r="B315" s="2095"/>
      <c r="C315" s="2095"/>
      <c r="D315" s="2095"/>
      <c r="E315" s="2095"/>
      <c r="F315" s="2095"/>
    </row>
    <row r="316" spans="1:6">
      <c r="A316" s="2095"/>
      <c r="B316" s="2095"/>
      <c r="C316" s="2095"/>
      <c r="D316" s="2095"/>
      <c r="E316" s="2095"/>
      <c r="F316" s="2095"/>
    </row>
    <row r="317" spans="1:6">
      <c r="A317" s="2095"/>
      <c r="B317" s="2095"/>
      <c r="C317" s="2095"/>
      <c r="D317" s="2095"/>
      <c r="E317" s="2095"/>
      <c r="F317" s="2095"/>
    </row>
    <row r="318" spans="1:6">
      <c r="A318" s="2095"/>
      <c r="B318" s="2095"/>
      <c r="C318" s="2095"/>
      <c r="D318" s="2095"/>
      <c r="E318" s="2095"/>
      <c r="F318" s="2095"/>
    </row>
    <row r="319" spans="1:6">
      <c r="A319" s="2095"/>
      <c r="B319" s="2095"/>
      <c r="C319" s="2095"/>
      <c r="D319" s="2095"/>
      <c r="E319" s="2095"/>
      <c r="F319" s="2095"/>
    </row>
    <row r="320" spans="1:6">
      <c r="A320" s="2095"/>
      <c r="B320" s="2095"/>
      <c r="C320" s="2095"/>
      <c r="D320" s="2095"/>
      <c r="E320" s="2095"/>
      <c r="F320" s="2095"/>
    </row>
    <row r="321" spans="1:6">
      <c r="A321" s="2095"/>
      <c r="B321" s="2095"/>
      <c r="C321" s="2095"/>
      <c r="D321" s="2095"/>
      <c r="E321" s="2095"/>
      <c r="F321" s="2095"/>
    </row>
    <row r="322" spans="1:6">
      <c r="A322" s="2095"/>
      <c r="B322" s="2095"/>
      <c r="C322" s="2095"/>
      <c r="D322" s="2095"/>
      <c r="E322" s="2095"/>
      <c r="F322" s="2095"/>
    </row>
    <row r="323" spans="1:6">
      <c r="A323" s="2095"/>
      <c r="B323" s="2095"/>
      <c r="C323" s="2095"/>
      <c r="D323" s="2095"/>
      <c r="E323" s="2095"/>
      <c r="F323" s="2095"/>
    </row>
    <row r="324" spans="1:6">
      <c r="A324" s="2095"/>
      <c r="B324" s="2095"/>
      <c r="C324" s="2095"/>
      <c r="D324" s="2095"/>
      <c r="E324" s="2095"/>
      <c r="F324" s="2095"/>
    </row>
    <row r="325" spans="1:6">
      <c r="A325" s="2095"/>
      <c r="B325" s="2095"/>
      <c r="C325" s="2095"/>
      <c r="D325" s="2095"/>
      <c r="E325" s="2095"/>
      <c r="F325" s="2095"/>
    </row>
    <row r="326" spans="1:6">
      <c r="A326" s="2095"/>
      <c r="B326" s="2095"/>
      <c r="C326" s="2095"/>
      <c r="D326" s="2095"/>
      <c r="E326" s="2095"/>
      <c r="F326" s="2095"/>
    </row>
    <row r="327" spans="1:6">
      <c r="A327" s="2095"/>
      <c r="B327" s="2095"/>
      <c r="C327" s="2095"/>
      <c r="D327" s="2095"/>
      <c r="E327" s="2095"/>
      <c r="F327" s="2095"/>
    </row>
  </sheetData>
  <customSheetViews>
    <customSheetView guid="{1BA452AD-1A45-4D9C-9666-ADFFA6F2F567}" showPageBreaks="1" printArea="1" view="pageBreakPreview" topLeftCell="A12">
      <selection activeCell="A40" sqref="A40"/>
      <rowBreaks count="1" manualBreakCount="1">
        <brk id="78" max="5" man="1"/>
      </rowBreaks>
      <pageMargins left="0.5" right="0.15" top="0.3" bottom="0.3" header="0" footer="0"/>
      <printOptions horizontalCentered="1" verticalCentered="1"/>
      <pageSetup scale="64" fitToHeight="2" orientation="portrait" r:id="rId1"/>
      <headerFooter alignWithMargins="0"/>
    </customSheetView>
    <customSheetView guid="{EEF7ABD6-0F96-4791-B749-C06F707E7673}" colorId="22" showPageBreaks="1" printArea="1" view="pageBreakPreview" showRuler="0">
      <selection activeCell="C15" sqref="C15"/>
      <rowBreaks count="1" manualBreakCount="1">
        <brk id="64" max="5" man="1"/>
      </rowBreaks>
      <pageMargins left="0.5" right="0.15" top="0.3" bottom="0.3" header="0" footer="0"/>
      <printOptions horizontalCentered="1" verticalCentered="1"/>
      <pageSetup scale="64" fitToHeight="2" orientation="portrait" r:id="rId2"/>
      <headerFooter alignWithMargins="0"/>
    </customSheetView>
    <customSheetView guid="{A7D7DB3C-AFE6-468E-8C6B-9531F6711497}" scale="80" colorId="22" showRuler="0">
      <selection activeCell="C52" sqref="C52"/>
      <rowBreaks count="1" manualBreakCount="1">
        <brk id="60" max="4" man="1"/>
      </rowBreaks>
      <pageMargins left="0.75" right="0.4" top="0.3" bottom="0.3" header="0" footer="0"/>
      <printOptions horizontalCentered="1" verticalCentered="1"/>
      <pageSetup scale="63" fitToWidth="2" orientation="portrait" r:id="rId3"/>
      <headerFooter alignWithMargins="0"/>
    </customSheetView>
    <customSheetView guid="{4436FEB5-BFEC-4348-9286-CB706802873E}" scale="80" colorId="22" showRuler="0" topLeftCell="A19">
      <rowBreaks count="1" manualBreakCount="1">
        <brk id="60" max="4" man="1"/>
      </rowBreaks>
      <pageMargins left="0.75" right="0.4" top="0.3" bottom="0.3" header="0" footer="0"/>
      <printOptions horizontalCentered="1" verticalCentered="1"/>
      <pageSetup scale="63" fitToWidth="2" orientation="portrait" r:id="rId4"/>
      <headerFooter alignWithMargins="0"/>
    </customSheetView>
    <customSheetView guid="{044CF00C-469F-44B3-B2C4-9B4049CE70CB}" scale="80" colorId="22" showRuler="0">
      <selection activeCell="E22" sqref="E22:E39"/>
      <rowBreaks count="1" manualBreakCount="1">
        <brk id="60" max="4" man="1"/>
      </rowBreaks>
      <pageMargins left="0.75" right="0.4" top="0.3" bottom="0.3" header="0" footer="0"/>
      <printOptions horizontalCentered="1" verticalCentered="1"/>
      <pageSetup scale="63" fitToWidth="2" orientation="portrait" r:id="rId5"/>
      <headerFooter alignWithMargins="0"/>
    </customSheetView>
    <customSheetView guid="{4826FCC0-BDD6-4B2C-ACC6-ACE271DDF0E3}" colorId="22" showPageBreaks="1" printArea="1" view="pageBreakPreview" showRuler="0">
      <selection activeCell="C15" sqref="C15"/>
      <rowBreaks count="1" manualBreakCount="1">
        <brk id="64" max="5" man="1"/>
      </rowBreaks>
      <pageMargins left="0.5" right="0.15" top="0.3" bottom="0.3" header="0" footer="0"/>
      <printOptions horizontalCentered="1" verticalCentered="1"/>
      <pageSetup scale="64" fitToHeight="2" orientation="portrait" r:id="rId6"/>
      <headerFooter alignWithMargins="0"/>
    </customSheetView>
    <customSheetView guid="{EF376D10-23D6-4FE2-AB5B-4460D52CC93F}" colorId="22" showPageBreaks="1" printArea="1" view="pageBreakPreview" showRuler="0">
      <selection activeCell="C15" sqref="C15"/>
      <rowBreaks count="1" manualBreakCount="1">
        <brk id="64" max="5" man="1"/>
      </rowBreaks>
      <pageMargins left="0.5" right="0.15" top="0.3" bottom="0.3" header="0" footer="0"/>
      <printOptions horizontalCentered="1" verticalCentered="1"/>
      <pageSetup scale="64" fitToHeight="2" orientation="portrait" r:id="rId7"/>
      <headerFooter alignWithMargins="0"/>
    </customSheetView>
    <customSheetView guid="{1C046605-15CE-44F1-BFCD-2CA8588E7ACF}" colorId="22" showPageBreaks="1" printArea="1" view="pageBreakPreview" showRuler="0" topLeftCell="A2">
      <selection activeCell="B26" sqref="B26"/>
      <rowBreaks count="1" manualBreakCount="1">
        <brk id="64" max="5" man="1"/>
      </rowBreaks>
      <pageMargins left="0.5" right="0.15" top="0.3" bottom="0.3" header="0" footer="0"/>
      <printOptions horizontalCentered="1" verticalCentered="1"/>
      <pageSetup scale="64" fitToHeight="2" orientation="portrait" r:id="rId8"/>
      <headerFooter alignWithMargins="0"/>
    </customSheetView>
    <customSheetView guid="{3911D713-188C-46A1-A299-F21DD3B7A146}" colorId="22" showPageBreaks="1" printArea="1" view="pageBreakPreview" showRuler="0" topLeftCell="A31">
      <selection activeCell="C72" sqref="C72"/>
      <rowBreaks count="1" manualBreakCount="1">
        <brk id="78" max="5" man="1"/>
      </rowBreaks>
      <pageMargins left="0.5" right="0.15" top="0.3" bottom="0.3" header="0" footer="0"/>
      <printOptions horizontalCentered="1" verticalCentered="1"/>
      <pageSetup scale="64" fitToHeight="2" orientation="portrait" r:id="rId9"/>
      <headerFooter alignWithMargins="0"/>
    </customSheetView>
    <customSheetView guid="{78BB1E60-60BE-4F56-9763-075185EFEFAB}" showPageBreaks="1" printArea="1" view="pageBreakPreview">
      <selection activeCell="A2" sqref="A2"/>
      <rowBreaks count="1" manualBreakCount="1">
        <brk id="78" max="5" man="1"/>
      </rowBreaks>
      <pageMargins left="0.5" right="0.15" top="0.3" bottom="0.3" header="0" footer="0"/>
      <printOptions horizontalCentered="1" verticalCentered="1"/>
      <pageSetup scale="64" fitToHeight="2" orientation="portrait" r:id="rId10"/>
      <headerFooter alignWithMargins="0"/>
    </customSheetView>
    <customSheetView guid="{9C30803E-1E2D-4850-B0A5-591CA6F246A1}" showPageBreaks="1" printArea="1" view="pageBreakPreview" topLeftCell="A13">
      <selection activeCell="B26" sqref="B26:H26"/>
      <rowBreaks count="1" manualBreakCount="1">
        <brk id="78" max="5" man="1"/>
      </rowBreaks>
      <pageMargins left="0.5" right="0.15" top="0.3" bottom="0.3" header="0" footer="0"/>
      <printOptions horizontalCentered="1" verticalCentered="1"/>
      <pageSetup scale="64" fitToHeight="2" orientation="portrait" r:id="rId11"/>
      <headerFooter alignWithMargins="0"/>
    </customSheetView>
    <customSheetView guid="{3B1006FF-A2CA-49E7-9B25-DAC8815279AF}" showPageBreaks="1" printArea="1" view="pageBreakPreview" topLeftCell="A13">
      <selection activeCell="B26" sqref="B26:H26"/>
      <rowBreaks count="1" manualBreakCount="1">
        <brk id="78" max="5" man="1"/>
      </rowBreaks>
      <pageMargins left="0.5" right="0.15" top="0.3" bottom="0.3" header="0" footer="0"/>
      <printOptions horizontalCentered="1" verticalCentered="1"/>
      <pageSetup scale="64" fitToHeight="2" orientation="portrait" r:id="rId12"/>
      <headerFooter alignWithMargins="0"/>
    </customSheetView>
    <customSheetView guid="{FB1A60C8-E1F9-4DF0-8E0E-1C965F86027F}" showPageBreaks="1" printArea="1" view="pageBreakPreview" topLeftCell="A13">
      <selection activeCell="B26" sqref="B26:H26"/>
      <rowBreaks count="1" manualBreakCount="1">
        <brk id="78" max="5" man="1"/>
      </rowBreaks>
      <pageMargins left="0.5" right="0.15" top="0.3" bottom="0.3" header="0" footer="0"/>
      <printOptions horizontalCentered="1" verticalCentered="1"/>
      <pageSetup scale="64" fitToHeight="2" orientation="portrait" r:id="rId13"/>
      <headerFooter alignWithMargins="0"/>
    </customSheetView>
    <customSheetView guid="{C5B6D812-CBE6-46AA-99F7-02494E9802B4}" scale="70" showPageBreaks="1" printArea="1" view="pageBreakPreview" topLeftCell="A4">
      <selection activeCell="C10" sqref="C10"/>
      <rowBreaks count="1" manualBreakCount="1">
        <brk id="78" max="5" man="1"/>
      </rowBreaks>
      <pageMargins left="0.5" right="0.15" top="0.3" bottom="0.3" header="0" footer="0"/>
      <printOptions horizontalCentered="1" verticalCentered="1"/>
      <pageSetup scale="64" fitToHeight="2" orientation="portrait" r:id="rId14"/>
      <headerFooter alignWithMargins="0"/>
    </customSheetView>
  </customSheetViews>
  <mergeCells count="1">
    <mergeCell ref="A82:E82"/>
  </mergeCells>
  <phoneticPr fontId="0" type="noConversion"/>
  <printOptions horizontalCentered="1" verticalCentered="1"/>
  <pageMargins left="0.5" right="0.15" top="0.3" bottom="0.3" header="0" footer="0"/>
  <pageSetup scale="64" fitToHeight="2" orientation="portrait" r:id="rId15"/>
  <headerFooter alignWithMargins="0"/>
  <rowBreaks count="1" manualBreakCount="1">
    <brk id="78" max="5" man="1"/>
  </rowBreaks>
  <customProperties>
    <customPr name="_pios_id" r:id="rId16"/>
  </customProperties>
</worksheet>
</file>

<file path=xl/worksheets/sheet65.xml><?xml version="1.0" encoding="utf-8"?>
<worksheet xmlns="http://schemas.openxmlformats.org/spreadsheetml/2006/main" xmlns:r="http://schemas.openxmlformats.org/officeDocument/2006/relationships">
  <sheetPr transitionEvaluation="1" codeName="Sheet64" enableFormatConditionsCalculation="0"/>
  <dimension ref="A1:C153"/>
  <sheetViews>
    <sheetView defaultGridColor="0" colorId="22" zoomScale="87" zoomScaleNormal="87" zoomScaleSheetLayoutView="70" workbookViewId="0"/>
  </sheetViews>
  <sheetFormatPr defaultColWidth="9.77734375" defaultRowHeight="15"/>
  <cols>
    <col min="1" max="1" width="5.77734375" customWidth="1"/>
    <col min="2" max="2" width="60.77734375" customWidth="1"/>
    <col min="3" max="3" width="33.5546875" customWidth="1"/>
    <col min="4" max="4" width="2.21875" customWidth="1"/>
  </cols>
  <sheetData>
    <row r="1" spans="1:3" ht="15.75" thickBot="1">
      <c r="A1" s="186" t="str">
        <f>'Data sheet'!$A$59</f>
        <v>Annual Report of New York American Water Company, Inc. (f/k/a Long Island Water Corp)                                   Year Ended  December 31, 2013</v>
      </c>
      <c r="B1" s="48"/>
      <c r="C1" s="851"/>
    </row>
    <row r="2" spans="1:3">
      <c r="A2" s="90"/>
      <c r="B2" s="91"/>
      <c r="C2" s="92"/>
    </row>
    <row r="3" spans="1:3" ht="15.75">
      <c r="A3" s="130" t="s">
        <v>2363</v>
      </c>
      <c r="B3" s="131"/>
      <c r="C3" s="132"/>
    </row>
    <row r="4" spans="1:3">
      <c r="A4" s="93"/>
      <c r="B4" s="11"/>
      <c r="C4" s="338"/>
    </row>
    <row r="5" spans="1:3">
      <c r="A5" s="93"/>
      <c r="B5" s="11" t="s">
        <v>3523</v>
      </c>
      <c r="C5" s="338"/>
    </row>
    <row r="6" spans="1:3">
      <c r="A6" s="93"/>
      <c r="B6" s="11" t="s">
        <v>3522</v>
      </c>
      <c r="C6" s="338"/>
    </row>
    <row r="7" spans="1:3">
      <c r="A7" s="93"/>
      <c r="B7" s="11" t="s">
        <v>3778</v>
      </c>
      <c r="C7" s="338"/>
    </row>
    <row r="8" spans="1:3">
      <c r="A8" s="93"/>
      <c r="B8" s="11" t="s">
        <v>3779</v>
      </c>
      <c r="C8" s="338"/>
    </row>
    <row r="9" spans="1:3">
      <c r="A9" s="93"/>
      <c r="B9" s="11"/>
      <c r="C9" s="338"/>
    </row>
    <row r="10" spans="1:3">
      <c r="A10" s="93"/>
      <c r="B10" s="11" t="s">
        <v>2524</v>
      </c>
      <c r="C10" s="338"/>
    </row>
    <row r="11" spans="1:3">
      <c r="A11" s="93"/>
      <c r="B11" s="11" t="s">
        <v>3724</v>
      </c>
      <c r="C11" s="338"/>
    </row>
    <row r="12" spans="1:3">
      <c r="A12" s="93"/>
      <c r="B12" s="11" t="s">
        <v>3725</v>
      </c>
      <c r="C12" s="338"/>
    </row>
    <row r="13" spans="1:3">
      <c r="A13" s="93"/>
      <c r="B13" s="11" t="s">
        <v>3726</v>
      </c>
      <c r="C13" s="338"/>
    </row>
    <row r="14" spans="1:3">
      <c r="A14" s="93"/>
      <c r="B14" s="11" t="s">
        <v>788</v>
      </c>
      <c r="C14" s="338"/>
    </row>
    <row r="15" spans="1:3">
      <c r="A15" s="93"/>
      <c r="B15" s="11"/>
      <c r="C15" s="338"/>
    </row>
    <row r="16" spans="1:3">
      <c r="A16" s="93"/>
      <c r="B16" s="11" t="s">
        <v>43</v>
      </c>
      <c r="C16" s="338"/>
    </row>
    <row r="17" spans="1:3" ht="15.75" thickBot="1">
      <c r="A17" s="137"/>
      <c r="B17" s="138"/>
      <c r="C17" s="339"/>
    </row>
    <row r="18" spans="1:3">
      <c r="A18" s="1359"/>
      <c r="B18" s="30"/>
      <c r="C18" s="1360"/>
    </row>
    <row r="19" spans="1:3">
      <c r="A19" s="1359"/>
      <c r="B19" s="1361" t="s">
        <v>44</v>
      </c>
      <c r="C19" s="1360"/>
    </row>
    <row r="20" spans="1:3">
      <c r="A20" s="1359"/>
      <c r="B20" s="30" t="s">
        <v>45</v>
      </c>
      <c r="C20" s="1360"/>
    </row>
    <row r="21" spans="1:3">
      <c r="A21" s="1359"/>
      <c r="B21" s="30" t="s">
        <v>5219</v>
      </c>
      <c r="C21" s="1360"/>
    </row>
    <row r="22" spans="1:3">
      <c r="A22" s="1359"/>
      <c r="B22" s="30" t="s">
        <v>5218</v>
      </c>
      <c r="C22" s="1360"/>
    </row>
    <row r="23" spans="1:3">
      <c r="A23" s="1359"/>
      <c r="B23" s="30"/>
      <c r="C23" s="1360"/>
    </row>
    <row r="24" spans="1:3">
      <c r="A24" s="1359"/>
      <c r="B24" s="1361" t="s">
        <v>46</v>
      </c>
      <c r="C24" s="1360"/>
    </row>
    <row r="25" spans="1:3">
      <c r="A25" s="1359"/>
      <c r="B25" s="30" t="s">
        <v>2109</v>
      </c>
      <c r="C25" s="1360"/>
    </row>
    <row r="26" spans="1:3">
      <c r="A26" s="1359"/>
      <c r="B26" s="30" t="s">
        <v>5220</v>
      </c>
      <c r="C26" s="1360"/>
    </row>
    <row r="27" spans="1:3">
      <c r="A27" s="1359"/>
      <c r="B27" s="30"/>
      <c r="C27" s="1360"/>
    </row>
    <row r="28" spans="1:3">
      <c r="A28" s="1359"/>
      <c r="B28" s="30"/>
      <c r="C28" s="1360"/>
    </row>
    <row r="29" spans="1:3">
      <c r="A29" s="1359"/>
      <c r="B29" s="1361" t="s">
        <v>2110</v>
      </c>
      <c r="C29" s="1360"/>
    </row>
    <row r="30" spans="1:3">
      <c r="A30" s="1359"/>
      <c r="B30" s="30" t="s">
        <v>1818</v>
      </c>
      <c r="C30" s="1360"/>
    </row>
    <row r="31" spans="1:3">
      <c r="A31" s="1359"/>
      <c r="B31" s="30" t="s">
        <v>1819</v>
      </c>
      <c r="C31" s="1360"/>
    </row>
    <row r="32" spans="1:3">
      <c r="A32" s="1359"/>
      <c r="B32" s="30" t="s">
        <v>1820</v>
      </c>
      <c r="C32" s="1360"/>
    </row>
    <row r="33" spans="1:3">
      <c r="A33" s="1359"/>
      <c r="B33" s="30"/>
      <c r="C33" s="1360"/>
    </row>
    <row r="34" spans="1:3">
      <c r="A34" s="1359"/>
      <c r="B34" s="1361" t="s">
        <v>1821</v>
      </c>
      <c r="C34" s="1360"/>
    </row>
    <row r="35" spans="1:3">
      <c r="A35" s="1359"/>
      <c r="B35" s="30" t="s">
        <v>2098</v>
      </c>
      <c r="C35" s="1360"/>
    </row>
    <row r="36" spans="1:3">
      <c r="A36" s="1359"/>
      <c r="B36" s="30" t="s">
        <v>2099</v>
      </c>
      <c r="C36" s="1360"/>
    </row>
    <row r="37" spans="1:3">
      <c r="A37" s="1359"/>
      <c r="B37" s="30"/>
      <c r="C37" s="1360"/>
    </row>
    <row r="38" spans="1:3">
      <c r="A38" s="1359"/>
      <c r="B38" s="30"/>
      <c r="C38" s="1360"/>
    </row>
    <row r="39" spans="1:3">
      <c r="A39" s="1359"/>
      <c r="B39" s="30"/>
      <c r="C39" s="1360"/>
    </row>
    <row r="40" spans="1:3">
      <c r="A40" s="1359"/>
      <c r="B40" s="1361" t="s">
        <v>2100</v>
      </c>
      <c r="C40" s="1360"/>
    </row>
    <row r="41" spans="1:3">
      <c r="A41" s="1359"/>
      <c r="B41" s="30" t="s">
        <v>162</v>
      </c>
      <c r="C41" s="1360"/>
    </row>
    <row r="42" spans="1:3">
      <c r="A42" s="1359"/>
      <c r="B42" s="30" t="s">
        <v>647</v>
      </c>
      <c r="C42" s="1360"/>
    </row>
    <row r="43" spans="1:3">
      <c r="A43" s="1359"/>
      <c r="B43" s="30" t="s">
        <v>648</v>
      </c>
      <c r="C43" s="1360"/>
    </row>
    <row r="44" spans="1:3">
      <c r="A44" s="1359"/>
      <c r="B44" s="30" t="s">
        <v>4341</v>
      </c>
      <c r="C44" s="1360"/>
    </row>
    <row r="45" spans="1:3">
      <c r="A45" s="1359"/>
      <c r="B45" s="1861"/>
      <c r="C45" s="1360"/>
    </row>
    <row r="46" spans="1:3">
      <c r="A46" s="1359"/>
      <c r="B46" s="1861" t="s">
        <v>5341</v>
      </c>
      <c r="C46" s="1360"/>
    </row>
    <row r="47" spans="1:3">
      <c r="A47" s="1359"/>
      <c r="B47" s="30"/>
      <c r="C47" s="1360"/>
    </row>
    <row r="48" spans="1:3">
      <c r="A48" s="1359"/>
      <c r="B48" s="30"/>
      <c r="C48" s="1360"/>
    </row>
    <row r="49" spans="1:3">
      <c r="A49" s="1359"/>
      <c r="B49" s="30"/>
      <c r="C49" s="1360"/>
    </row>
    <row r="50" spans="1:3">
      <c r="A50" s="1359"/>
      <c r="B50" s="30"/>
      <c r="C50" s="1360"/>
    </row>
    <row r="51" spans="1:3">
      <c r="A51" s="1359"/>
      <c r="B51" s="30"/>
      <c r="C51" s="1360"/>
    </row>
    <row r="52" spans="1:3">
      <c r="A52" s="1359"/>
      <c r="B52" s="30"/>
      <c r="C52" s="1360"/>
    </row>
    <row r="53" spans="1:3">
      <c r="A53" s="1359"/>
      <c r="B53" s="30"/>
      <c r="C53" s="1360"/>
    </row>
    <row r="54" spans="1:3">
      <c r="A54" s="1359"/>
      <c r="B54" s="30"/>
      <c r="C54" s="1360"/>
    </row>
    <row r="55" spans="1:3">
      <c r="A55" s="1359"/>
      <c r="B55" s="30"/>
      <c r="C55" s="1360"/>
    </row>
    <row r="56" spans="1:3">
      <c r="A56" s="1359"/>
      <c r="B56" s="30"/>
      <c r="C56" s="1360"/>
    </row>
    <row r="57" spans="1:3">
      <c r="A57" s="1359"/>
      <c r="B57" s="30"/>
      <c r="C57" s="1360"/>
    </row>
    <row r="58" spans="1:3">
      <c r="A58" s="1359"/>
      <c r="B58" s="30"/>
      <c r="C58" s="1360"/>
    </row>
    <row r="59" spans="1:3">
      <c r="A59" s="1359"/>
      <c r="B59" s="30"/>
      <c r="C59" s="1360"/>
    </row>
    <row r="60" spans="1:3">
      <c r="A60" s="1359"/>
      <c r="B60" s="30"/>
      <c r="C60" s="1360"/>
    </row>
    <row r="61" spans="1:3" ht="15.75" thickBot="1">
      <c r="A61" s="1362"/>
      <c r="B61" s="1363"/>
      <c r="C61" s="1364"/>
    </row>
    <row r="62" spans="1:3">
      <c r="C62" s="231" t="s">
        <v>4066</v>
      </c>
    </row>
    <row r="63" spans="1:3">
      <c r="A63" s="131" t="s">
        <v>4342</v>
      </c>
      <c r="B63" s="131"/>
      <c r="C63" s="131"/>
    </row>
    <row r="64" spans="1:3" ht="15.75" thickBot="1">
      <c r="A64" s="186" t="str">
        <f>'Data sheet'!$A$59</f>
        <v>Annual Report of New York American Water Company, Inc. (f/k/a Long Island Water Corp)                                   Year Ended  December 31, 2013</v>
      </c>
    </row>
    <row r="65" spans="1:3">
      <c r="A65" s="90"/>
      <c r="B65" s="91"/>
      <c r="C65" s="92"/>
    </row>
    <row r="66" spans="1:3" ht="15.75">
      <c r="A66" s="130" t="s">
        <v>4343</v>
      </c>
      <c r="B66" s="131"/>
      <c r="C66" s="132"/>
    </row>
    <row r="67" spans="1:3" ht="15.75" thickBot="1">
      <c r="A67" s="137"/>
      <c r="B67" s="138"/>
      <c r="C67" s="339"/>
    </row>
    <row r="68" spans="1:3">
      <c r="A68" s="1359"/>
      <c r="B68" s="30"/>
      <c r="C68" s="1360"/>
    </row>
    <row r="69" spans="1:3">
      <c r="A69" s="1359"/>
      <c r="B69" s="30"/>
      <c r="C69" s="1360"/>
    </row>
    <row r="70" spans="1:3">
      <c r="A70" s="1359"/>
      <c r="B70" s="30"/>
      <c r="C70" s="1360"/>
    </row>
    <row r="71" spans="1:3">
      <c r="A71" s="1359"/>
      <c r="B71" s="30"/>
      <c r="C71" s="1360"/>
    </row>
    <row r="72" spans="1:3">
      <c r="A72" s="1359"/>
      <c r="B72" s="30"/>
      <c r="C72" s="1360"/>
    </row>
    <row r="73" spans="1:3">
      <c r="A73" s="1359"/>
      <c r="B73" s="30"/>
      <c r="C73" s="1360"/>
    </row>
    <row r="74" spans="1:3">
      <c r="A74" s="1359"/>
      <c r="B74" s="30"/>
      <c r="C74" s="1360"/>
    </row>
    <row r="75" spans="1:3">
      <c r="A75" s="1359"/>
      <c r="B75" s="30"/>
      <c r="C75" s="1360"/>
    </row>
    <row r="76" spans="1:3">
      <c r="A76" s="1359"/>
      <c r="B76" s="30"/>
      <c r="C76" s="1360"/>
    </row>
    <row r="77" spans="1:3">
      <c r="A77" s="1359"/>
      <c r="B77" s="30"/>
      <c r="C77" s="1360"/>
    </row>
    <row r="78" spans="1:3">
      <c r="A78" s="1359"/>
      <c r="B78" s="30"/>
      <c r="C78" s="1360"/>
    </row>
    <row r="79" spans="1:3">
      <c r="A79" s="1359"/>
      <c r="B79" s="30"/>
      <c r="C79" s="1360"/>
    </row>
    <row r="80" spans="1:3">
      <c r="A80" s="1359"/>
      <c r="B80" s="30"/>
      <c r="C80" s="1360"/>
    </row>
    <row r="81" spans="1:3">
      <c r="A81" s="1359"/>
      <c r="B81" s="30"/>
      <c r="C81" s="1360"/>
    </row>
    <row r="82" spans="1:3">
      <c r="A82" s="1359"/>
      <c r="B82" s="30"/>
      <c r="C82" s="1360"/>
    </row>
    <row r="83" spans="1:3">
      <c r="A83" s="1359"/>
      <c r="B83" s="30"/>
      <c r="C83" s="1360"/>
    </row>
    <row r="84" spans="1:3">
      <c r="A84" s="1359"/>
      <c r="B84" s="30"/>
      <c r="C84" s="1360"/>
    </row>
    <row r="85" spans="1:3">
      <c r="A85" s="1359"/>
      <c r="B85" s="30"/>
      <c r="C85" s="1360"/>
    </row>
    <row r="86" spans="1:3">
      <c r="A86" s="1359"/>
      <c r="B86" s="30"/>
      <c r="C86" s="1360"/>
    </row>
    <row r="87" spans="1:3">
      <c r="A87" s="1359"/>
      <c r="B87" s="30"/>
      <c r="C87" s="1360"/>
    </row>
    <row r="88" spans="1:3">
      <c r="A88" s="1359"/>
      <c r="B88" s="30"/>
      <c r="C88" s="1360"/>
    </row>
    <row r="89" spans="1:3">
      <c r="A89" s="1359"/>
      <c r="B89" s="30"/>
      <c r="C89" s="1360"/>
    </row>
    <row r="90" spans="1:3">
      <c r="A90" s="1359"/>
      <c r="B90" s="30"/>
      <c r="C90" s="1360"/>
    </row>
    <row r="91" spans="1:3">
      <c r="A91" s="1359"/>
      <c r="B91" s="30"/>
      <c r="C91" s="1360"/>
    </row>
    <row r="92" spans="1:3">
      <c r="A92" s="1359"/>
      <c r="B92" s="30"/>
      <c r="C92" s="1360"/>
    </row>
    <row r="93" spans="1:3">
      <c r="A93" s="1359"/>
      <c r="B93" s="30"/>
      <c r="C93" s="1360"/>
    </row>
    <row r="94" spans="1:3">
      <c r="A94" s="1359"/>
      <c r="B94" s="30"/>
      <c r="C94" s="1360"/>
    </row>
    <row r="95" spans="1:3">
      <c r="A95" s="1359"/>
      <c r="B95" s="30"/>
      <c r="C95" s="1360"/>
    </row>
    <row r="96" spans="1:3">
      <c r="A96" s="1359"/>
      <c r="B96" s="30"/>
      <c r="C96" s="1360"/>
    </row>
    <row r="97" spans="1:3">
      <c r="A97" s="1359"/>
      <c r="B97" s="30"/>
      <c r="C97" s="1360"/>
    </row>
    <row r="98" spans="1:3">
      <c r="A98" s="1359"/>
      <c r="B98" s="30"/>
      <c r="C98" s="1360"/>
    </row>
    <row r="99" spans="1:3">
      <c r="A99" s="1359"/>
      <c r="B99" s="30"/>
      <c r="C99" s="1360"/>
    </row>
    <row r="100" spans="1:3">
      <c r="A100" s="1359"/>
      <c r="B100" s="30"/>
      <c r="C100" s="1360"/>
    </row>
    <row r="101" spans="1:3">
      <c r="A101" s="1359"/>
      <c r="B101" s="30"/>
      <c r="C101" s="1360"/>
    </row>
    <row r="102" spans="1:3">
      <c r="A102" s="1359"/>
      <c r="B102" s="30"/>
      <c r="C102" s="1360"/>
    </row>
    <row r="103" spans="1:3">
      <c r="A103" s="1359"/>
      <c r="B103" s="30"/>
      <c r="C103" s="1360"/>
    </row>
    <row r="104" spans="1:3">
      <c r="A104" s="1359"/>
      <c r="B104" s="30"/>
      <c r="C104" s="1360"/>
    </row>
    <row r="105" spans="1:3">
      <c r="A105" s="1359"/>
      <c r="B105" s="30"/>
      <c r="C105" s="1360"/>
    </row>
    <row r="106" spans="1:3">
      <c r="A106" s="1359"/>
      <c r="B106" s="30"/>
      <c r="C106" s="1360"/>
    </row>
    <row r="107" spans="1:3">
      <c r="A107" s="1359"/>
      <c r="B107" s="30"/>
      <c r="C107" s="1360"/>
    </row>
    <row r="108" spans="1:3">
      <c r="A108" s="1359"/>
      <c r="B108" s="30"/>
      <c r="C108" s="1360"/>
    </row>
    <row r="109" spans="1:3">
      <c r="A109" s="1359"/>
      <c r="B109" s="30"/>
      <c r="C109" s="1360"/>
    </row>
    <row r="110" spans="1:3">
      <c r="A110" s="1359"/>
      <c r="B110" s="30"/>
      <c r="C110" s="1360"/>
    </row>
    <row r="111" spans="1:3">
      <c r="A111" s="1359"/>
      <c r="B111" s="30"/>
      <c r="C111" s="1360"/>
    </row>
    <row r="112" spans="1:3">
      <c r="A112" s="1359"/>
      <c r="B112" s="30"/>
      <c r="C112" s="1360"/>
    </row>
    <row r="113" spans="1:3">
      <c r="A113" s="1359"/>
      <c r="B113" s="30"/>
      <c r="C113" s="1360"/>
    </row>
    <row r="114" spans="1:3">
      <c r="A114" s="1359"/>
      <c r="B114" s="30"/>
      <c r="C114" s="1360"/>
    </row>
    <row r="115" spans="1:3">
      <c r="A115" s="1359"/>
      <c r="B115" s="30"/>
      <c r="C115" s="1360"/>
    </row>
    <row r="116" spans="1:3">
      <c r="A116" s="1359"/>
      <c r="B116" s="30"/>
      <c r="C116" s="1360"/>
    </row>
    <row r="117" spans="1:3">
      <c r="A117" s="1359"/>
      <c r="B117" s="30"/>
      <c r="C117" s="1360"/>
    </row>
    <row r="118" spans="1:3">
      <c r="A118" s="1359"/>
      <c r="B118" s="30"/>
      <c r="C118" s="1360"/>
    </row>
    <row r="119" spans="1:3">
      <c r="A119" s="1359"/>
      <c r="B119" s="30"/>
      <c r="C119" s="1360"/>
    </row>
    <row r="120" spans="1:3">
      <c r="A120" s="1359"/>
      <c r="B120" s="30"/>
      <c r="C120" s="1360"/>
    </row>
    <row r="121" spans="1:3">
      <c r="A121" s="1359"/>
      <c r="B121" s="30"/>
      <c r="C121" s="1360"/>
    </row>
    <row r="122" spans="1:3">
      <c r="A122" s="1359"/>
      <c r="B122" s="30"/>
      <c r="C122" s="1360"/>
    </row>
    <row r="123" spans="1:3">
      <c r="A123" s="1359"/>
      <c r="B123" s="30"/>
      <c r="C123" s="1360"/>
    </row>
    <row r="124" spans="1:3">
      <c r="A124" s="1359"/>
      <c r="B124" s="30"/>
      <c r="C124" s="1360"/>
    </row>
    <row r="125" spans="1:3">
      <c r="A125" s="1359"/>
      <c r="B125" s="30"/>
      <c r="C125" s="1360"/>
    </row>
    <row r="126" spans="1:3">
      <c r="A126" s="1359"/>
      <c r="B126" s="30"/>
      <c r="C126" s="1360"/>
    </row>
    <row r="127" spans="1:3">
      <c r="A127" s="1359"/>
      <c r="B127" s="30"/>
      <c r="C127" s="1360"/>
    </row>
    <row r="128" spans="1:3" ht="15.75" thickBot="1">
      <c r="A128" s="1362"/>
      <c r="B128" s="1363"/>
      <c r="C128" s="1364"/>
    </row>
    <row r="129" spans="1:3">
      <c r="A129" t="s">
        <v>4066</v>
      </c>
      <c r="C129" t="s">
        <v>4373</v>
      </c>
    </row>
    <row r="130" spans="1:3">
      <c r="A130" s="131" t="s">
        <v>4344</v>
      </c>
      <c r="B130" s="131"/>
      <c r="C130" s="131"/>
    </row>
    <row r="132" spans="1:3">
      <c r="A132" s="11"/>
      <c r="B132" s="97"/>
    </row>
    <row r="137" spans="1:3">
      <c r="A137" s="11"/>
      <c r="B137" s="119"/>
    </row>
    <row r="140" spans="1:3">
      <c r="A140" s="11"/>
      <c r="B140" s="119"/>
    </row>
    <row r="141" spans="1:3">
      <c r="A141" s="11"/>
      <c r="B141" s="119"/>
    </row>
    <row r="142" spans="1:3">
      <c r="A142" s="11"/>
      <c r="B142" s="119"/>
    </row>
    <row r="143" spans="1:3">
      <c r="A143" s="11"/>
      <c r="B143" s="119"/>
    </row>
    <row r="148" spans="1:2">
      <c r="A148" s="11"/>
      <c r="B148" s="119"/>
    </row>
    <row r="149" spans="1:2">
      <c r="A149" s="11"/>
      <c r="B149" s="119"/>
    </row>
    <row r="150" spans="1:2">
      <c r="A150" s="11"/>
      <c r="B150" s="119"/>
    </row>
    <row r="151" spans="1:2">
      <c r="A151" s="11"/>
      <c r="B151" s="119"/>
    </row>
    <row r="152" spans="1:2">
      <c r="A152" s="11"/>
      <c r="B152" s="119"/>
    </row>
    <row r="153" spans="1:2">
      <c r="A153" s="11"/>
      <c r="B153" s="119"/>
    </row>
  </sheetData>
  <customSheetViews>
    <customSheetView guid="{1BA452AD-1A45-4D9C-9666-ADFFA6F2F567}" scale="75" colorId="22" showPageBreaks="1" fitToPage="1" printArea="1" view="pageBreakPreview">
      <selection activeCell="B27" sqref="B27"/>
      <rowBreaks count="2" manualBreakCount="2">
        <brk id="63" max="16383" man="1"/>
        <brk id="67" max="3" man="1"/>
      </rowBreaks>
      <pageMargins left="0.9" right="0.4" top="0.3" bottom="0.3" header="0" footer="0"/>
      <printOptions horizontalCentered="1" verticalCentered="1"/>
      <pageSetup scale="75" fitToHeight="2" orientation="portrait" r:id="rId1"/>
      <headerFooter alignWithMargins="0"/>
    </customSheetView>
    <customSheetView guid="{EEF7ABD6-0F96-4791-B749-C06F707E7673}" scale="75" colorId="22" showPageBreaks="1" fitToPage="1" printArea="1" view="pageBreakPreview" showRuler="0">
      <selection activeCell="B36" sqref="B36"/>
      <rowBreaks count="2" manualBreakCount="2">
        <brk id="63" max="16383" man="1"/>
        <brk id="67" max="3" man="1"/>
      </rowBreaks>
      <pageMargins left="0.9" right="0.4" top="0.3" bottom="0.3" header="0" footer="0"/>
      <printOptions horizontalCentered="1" verticalCentered="1"/>
      <pageSetup scale="75" fitToHeight="2" orientation="portrait" r:id="rId2"/>
      <headerFooter alignWithMargins="0"/>
    </customSheetView>
    <customSheetView guid="{A7D7DB3C-AFE6-468E-8C6B-9531F6711497}" scale="75" colorId="22" showPageBreaks="1" printArea="1" view="pageBreakPreview" showRuler="0">
      <selection activeCell="C26" sqref="C26"/>
      <rowBreaks count="1" manualBreakCount="1">
        <brk id="63" max="16383" man="1"/>
      </rowBreaks>
      <pageMargins left="0.9" right="0.4" top="0.3" bottom="0.3" header="0" footer="0"/>
      <printOptions horizontalCentered="1" verticalCentered="1"/>
      <pageSetup scale="70" fitToWidth="2" orientation="portrait" r:id="rId3"/>
      <headerFooter alignWithMargins="0"/>
    </customSheetView>
    <customSheetView guid="{4436FEB5-BFEC-4348-9286-CB706802873E}" scale="75" colorId="22" showPageBreaks="1" printArea="1" view="pageBreakPreview" showRuler="0">
      <selection activeCell="C26" sqref="C26"/>
      <rowBreaks count="1" manualBreakCount="1">
        <brk id="63" max="16383" man="1"/>
      </rowBreaks>
      <pageMargins left="0.9" right="0.4" top="0.3" bottom="0.3" header="0" footer="0"/>
      <printOptions horizontalCentered="1" verticalCentered="1"/>
      <pageSetup scale="70" fitToWidth="2" orientation="portrait" r:id="rId4"/>
      <headerFooter alignWithMargins="0"/>
    </customSheetView>
    <customSheetView guid="{044CF00C-469F-44B3-B2C4-9B4049CE70CB}" scale="60" colorId="22" showPageBreaks="1" printArea="1" view="pageBreakPreview" showRuler="0">
      <selection activeCell="G10" sqref="G10"/>
      <rowBreaks count="1" manualBreakCount="1">
        <brk id="63" max="16383" man="1"/>
      </rowBreaks>
      <pageMargins left="0.9" right="0.4" top="0.3" bottom="0.3" header="0" footer="0"/>
      <printOptions horizontalCentered="1" verticalCentered="1"/>
      <pageSetup scale="70" fitToWidth="2" orientation="portrait" r:id="rId5"/>
      <headerFooter alignWithMargins="0"/>
    </customSheetView>
    <customSheetView guid="{4826FCC0-BDD6-4B2C-ACC6-ACE271DDF0E3}" scale="75" colorId="22" showPageBreaks="1" fitToPage="1" printArea="1" view="pageBreakPreview" showRuler="0">
      <selection activeCell="B36" sqref="B36"/>
      <rowBreaks count="2" manualBreakCount="2">
        <brk id="63" max="16383" man="1"/>
        <brk id="67" max="3" man="1"/>
      </rowBreaks>
      <pageMargins left="0.9" right="0.4" top="0.3" bottom="0.3" header="0" footer="0"/>
      <printOptions horizontalCentered="1" verticalCentered="1"/>
      <pageSetup scale="75" fitToHeight="2" orientation="portrait" r:id="rId6"/>
      <headerFooter alignWithMargins="0"/>
    </customSheetView>
    <customSheetView guid="{EF376D10-23D6-4FE2-AB5B-4460D52CC93F}" scale="75" colorId="22" showPageBreaks="1" fitToPage="1" printArea="1" view="pageBreakPreview" showRuler="0">
      <selection activeCell="B36" sqref="B36"/>
      <rowBreaks count="2" manualBreakCount="2">
        <brk id="63" max="16383" man="1"/>
        <brk id="67" max="3" man="1"/>
      </rowBreaks>
      <pageMargins left="0.9" right="0.4" top="0.3" bottom="0.3" header="0" footer="0"/>
      <printOptions horizontalCentered="1" verticalCentered="1"/>
      <pageSetup scale="75" fitToHeight="2" orientation="portrait" r:id="rId7"/>
      <headerFooter alignWithMargins="0"/>
    </customSheetView>
    <customSheetView guid="{1C046605-15CE-44F1-BFCD-2CA8588E7ACF}" scale="75" colorId="22" showPageBreaks="1" fitToPage="1" printArea="1" view="pageBreakPreview" showRuler="0">
      <selection activeCell="B36" sqref="B36"/>
      <rowBreaks count="2" manualBreakCount="2">
        <brk id="63" max="16383" man="1"/>
        <brk id="67" max="3" man="1"/>
      </rowBreaks>
      <pageMargins left="0.9" right="0.4" top="0.3" bottom="0.3" header="0" footer="0"/>
      <printOptions horizontalCentered="1" verticalCentered="1"/>
      <pageSetup scale="75" fitToHeight="2" orientation="portrait" r:id="rId8"/>
      <headerFooter alignWithMargins="0"/>
    </customSheetView>
    <customSheetView guid="{3911D713-188C-46A1-A299-F21DD3B7A146}" scale="75" colorId="22" showPageBreaks="1" fitToPage="1" printArea="1" view="pageBreakPreview" showRuler="0">
      <selection activeCell="C38" sqref="C38"/>
      <rowBreaks count="2" manualBreakCount="2">
        <brk id="63" max="16383" man="1"/>
        <brk id="67" max="3" man="1"/>
      </rowBreaks>
      <pageMargins left="0.9" right="0.4" top="0.3" bottom="0.3" header="0" footer="0"/>
      <printOptions horizontalCentered="1" verticalCentered="1"/>
      <pageSetup scale="75" fitToHeight="2" orientation="portrait" r:id="rId9"/>
      <headerFooter alignWithMargins="0"/>
    </customSheetView>
    <customSheetView guid="{78BB1E60-60BE-4F56-9763-075185EFEFAB}" scale="75" colorId="22" showPageBreaks="1" printArea="1" view="pageBreakPreview">
      <rowBreaks count="1" manualBreakCount="1">
        <brk id="63" max="3" man="1"/>
      </rowBreaks>
      <pageMargins left="0.9" right="0.4" top="0.3" bottom="0.3" header="0" footer="0"/>
      <printOptions horizontalCentered="1" verticalCentered="1"/>
      <pageSetup scale="75" fitToHeight="2" orientation="portrait" r:id="rId10"/>
      <headerFooter alignWithMargins="0"/>
    </customSheetView>
    <customSheetView guid="{9C30803E-1E2D-4850-B0A5-591CA6F246A1}" scale="75" colorId="22" showPageBreaks="1" printArea="1" view="pageBreakPreview">
      <rowBreaks count="1" manualBreakCount="1">
        <brk id="63" max="3" man="1"/>
      </rowBreaks>
      <pageMargins left="0.9" right="0.4" top="0.3" bottom="0.3" header="0" footer="0"/>
      <printOptions horizontalCentered="1" verticalCentered="1"/>
      <pageSetup scale="75" fitToHeight="2" orientation="portrait" r:id="rId11"/>
      <headerFooter alignWithMargins="0"/>
    </customSheetView>
    <customSheetView guid="{3B1006FF-A2CA-49E7-9B25-DAC8815279AF}" scale="75" colorId="22" showPageBreaks="1" printArea="1" view="pageBreakPreview">
      <rowBreaks count="1" manualBreakCount="1">
        <brk id="63" max="3" man="1"/>
      </rowBreaks>
      <pageMargins left="0.9" right="0.4" top="0.3" bottom="0.3" header="0" footer="0"/>
      <printOptions horizontalCentered="1" verticalCentered="1"/>
      <pageSetup scale="75" fitToHeight="2" orientation="portrait" r:id="rId12"/>
      <headerFooter alignWithMargins="0"/>
    </customSheetView>
    <customSheetView guid="{FB1A60C8-E1F9-4DF0-8E0E-1C965F86027F}" scale="75" colorId="22" showPageBreaks="1" printArea="1" view="pageBreakPreview">
      <rowBreaks count="1" manualBreakCount="1">
        <brk id="63" max="3" man="1"/>
      </rowBreaks>
      <pageMargins left="0.9" right="0.4" top="0.3" bottom="0.3" header="0" footer="0"/>
      <printOptions horizontalCentered="1" verticalCentered="1"/>
      <pageSetup scale="75" fitToHeight="2" orientation="portrait" r:id="rId13"/>
      <headerFooter alignWithMargins="0"/>
    </customSheetView>
    <customSheetView guid="{C5B6D812-CBE6-46AA-99F7-02494E9802B4}" scale="70" colorId="22" showPageBreaks="1" printArea="1" view="pageBreakPreview" topLeftCell="A14">
      <selection activeCell="B22" sqref="B22"/>
      <rowBreaks count="1" manualBreakCount="1">
        <brk id="63" max="3" man="1"/>
      </rowBreaks>
      <pageMargins left="0.9" right="0.4" top="0.3" bottom="0.3" header="0" footer="0"/>
      <printOptions horizontalCentered="1" verticalCentered="1"/>
      <pageSetup scale="75" fitToHeight="2" orientation="portrait" r:id="rId14"/>
      <headerFooter alignWithMargins="0"/>
    </customSheetView>
  </customSheetViews>
  <phoneticPr fontId="0" type="noConversion"/>
  <printOptions horizontalCentered="1" verticalCentered="1"/>
  <pageMargins left="0.9" right="0.4" top="0.3" bottom="0.3" header="0" footer="0"/>
  <pageSetup scale="75" fitToHeight="2" orientation="portrait" r:id="rId15"/>
  <headerFooter alignWithMargins="0"/>
  <rowBreaks count="1" manualBreakCount="1">
    <brk id="63" max="3" man="1"/>
  </rowBreaks>
  <customProperties>
    <customPr name="_pios_id" r:id="rId16"/>
  </customProperties>
</worksheet>
</file>

<file path=xl/worksheets/sheet66.xml><?xml version="1.0" encoding="utf-8"?>
<worksheet xmlns="http://schemas.openxmlformats.org/spreadsheetml/2006/main" xmlns:r="http://schemas.openxmlformats.org/officeDocument/2006/relationships">
  <sheetPr transitionEvaluation="1" codeName="Sheet65" enableFormatConditionsCalculation="0"/>
  <dimension ref="A1:J128"/>
  <sheetViews>
    <sheetView defaultGridColor="0" colorId="22" zoomScale="75" zoomScaleNormal="75" zoomScaleSheetLayoutView="70" workbookViewId="0"/>
  </sheetViews>
  <sheetFormatPr defaultColWidth="9.77734375" defaultRowHeight="15"/>
  <cols>
    <col min="1" max="1" width="3.21875" customWidth="1"/>
    <col min="2" max="2" width="50.77734375" customWidth="1"/>
    <col min="3" max="3" width="52.5546875" customWidth="1"/>
    <col min="4" max="4" width="4.77734375" customWidth="1"/>
    <col min="5" max="5" width="2.109375" customWidth="1"/>
    <col min="6" max="6" width="71.44140625" customWidth="1"/>
    <col min="7" max="7" width="4.109375" customWidth="1"/>
    <col min="8" max="8" width="18.77734375" customWidth="1"/>
    <col min="9" max="9" width="0.88671875" customWidth="1"/>
  </cols>
  <sheetData>
    <row r="1" spans="1:9" ht="16.5" thickBot="1">
      <c r="A1" s="186" t="str">
        <f>'Data sheet'!$A$59</f>
        <v>Annual Report of New York American Water Company, Inc. (f/k/a Long Island Water Corp)                                   Year Ended  December 31, 2013</v>
      </c>
      <c r="B1" s="22"/>
      <c r="C1" s="22"/>
      <c r="D1" s="186" t="s">
        <v>5221</v>
      </c>
      <c r="E1" s="1365"/>
      <c r="F1" s="1365"/>
      <c r="G1" s="22"/>
      <c r="H1" s="22"/>
      <c r="I1" s="1365"/>
    </row>
    <row r="2" spans="1:9" ht="15.75">
      <c r="A2" s="1366" t="s">
        <v>4373</v>
      </c>
      <c r="B2" s="1367"/>
      <c r="C2" s="1368"/>
      <c r="D2" s="1366"/>
      <c r="E2" s="1367"/>
      <c r="F2" s="1367"/>
      <c r="G2" s="1367"/>
      <c r="H2" s="1367"/>
      <c r="I2" s="1368"/>
    </row>
    <row r="3" spans="1:9" ht="15.75">
      <c r="A3" s="1136" t="s">
        <v>734</v>
      </c>
      <c r="B3" s="1137"/>
      <c r="C3" s="1138"/>
      <c r="D3" s="1136" t="s">
        <v>735</v>
      </c>
      <c r="E3" s="1137"/>
      <c r="F3" s="1137"/>
      <c r="G3" s="1137"/>
      <c r="H3" s="1137"/>
      <c r="I3" s="1138"/>
    </row>
    <row r="4" spans="1:9">
      <c r="A4" s="240"/>
      <c r="C4" s="237"/>
      <c r="D4" s="240"/>
      <c r="I4" s="237"/>
    </row>
    <row r="5" spans="1:9">
      <c r="A5" s="635" t="s">
        <v>479</v>
      </c>
      <c r="B5" s="851" t="s">
        <v>736</v>
      </c>
      <c r="C5" s="236"/>
      <c r="D5" s="1369"/>
      <c r="E5" s="1370"/>
      <c r="F5" s="282" t="s">
        <v>4373</v>
      </c>
      <c r="G5" s="1370"/>
      <c r="H5" s="282"/>
      <c r="I5" s="283"/>
    </row>
    <row r="6" spans="1:9">
      <c r="A6" s="240"/>
      <c r="B6" s="851" t="s">
        <v>402</v>
      </c>
      <c r="C6" s="236"/>
      <c r="D6" s="240"/>
      <c r="E6" s="637"/>
      <c r="G6" s="637"/>
      <c r="H6" s="643" t="s">
        <v>403</v>
      </c>
      <c r="I6" s="237"/>
    </row>
    <row r="7" spans="1:9">
      <c r="A7" s="240"/>
      <c r="B7" s="851" t="s">
        <v>404</v>
      </c>
      <c r="C7" s="237"/>
      <c r="D7" s="635" t="s">
        <v>1129</v>
      </c>
      <c r="E7" s="637"/>
      <c r="F7" s="643" t="s">
        <v>429</v>
      </c>
      <c r="G7" s="637"/>
      <c r="H7" s="643" t="s">
        <v>2268</v>
      </c>
      <c r="I7" s="237"/>
    </row>
    <row r="8" spans="1:9">
      <c r="A8" s="635" t="s">
        <v>2916</v>
      </c>
      <c r="B8" s="3071" t="s">
        <v>3059</v>
      </c>
      <c r="C8" s="3072"/>
      <c r="D8" s="635" t="s">
        <v>3324</v>
      </c>
      <c r="E8" s="637"/>
      <c r="F8" s="643" t="s">
        <v>4032</v>
      </c>
      <c r="G8" s="637"/>
      <c r="H8" s="643" t="s">
        <v>4033</v>
      </c>
      <c r="I8" s="237"/>
    </row>
    <row r="9" spans="1:9">
      <c r="A9" s="240"/>
      <c r="B9" s="3071" t="s">
        <v>3060</v>
      </c>
      <c r="C9" s="3072"/>
      <c r="D9" s="748"/>
      <c r="E9" s="1371"/>
      <c r="F9" s="249"/>
      <c r="G9" s="1371"/>
      <c r="H9" s="249"/>
      <c r="I9" s="250"/>
    </row>
    <row r="10" spans="1:9">
      <c r="A10" s="240"/>
      <c r="B10" s="851" t="s">
        <v>3526</v>
      </c>
      <c r="C10" s="236"/>
      <c r="D10" s="240"/>
      <c r="E10" s="637"/>
      <c r="F10" s="753" t="s">
        <v>3527</v>
      </c>
      <c r="G10" s="637"/>
      <c r="I10" s="237"/>
    </row>
    <row r="11" spans="1:9">
      <c r="A11" s="635" t="s">
        <v>3164</v>
      </c>
      <c r="B11" s="3071" t="s">
        <v>2483</v>
      </c>
      <c r="C11" s="3072"/>
      <c r="D11" s="635" t="s">
        <v>2699</v>
      </c>
      <c r="E11" s="637"/>
      <c r="F11" t="s">
        <v>2484</v>
      </c>
      <c r="G11" s="1372" t="s">
        <v>2485</v>
      </c>
      <c r="H11" s="1868">
        <v>0</v>
      </c>
      <c r="I11" s="237"/>
    </row>
    <row r="12" spans="1:9">
      <c r="A12" s="240"/>
      <c r="B12" s="3071" t="s">
        <v>2486</v>
      </c>
      <c r="C12" s="3072"/>
      <c r="D12" s="635" t="s">
        <v>2700</v>
      </c>
      <c r="E12" s="637"/>
      <c r="F12" t="s">
        <v>2487</v>
      </c>
      <c r="G12" s="1372" t="s">
        <v>2485</v>
      </c>
      <c r="H12" s="1868">
        <v>0</v>
      </c>
      <c r="I12" s="237"/>
    </row>
    <row r="13" spans="1:9">
      <c r="A13" s="635" t="s">
        <v>2630</v>
      </c>
      <c r="B13" s="851" t="s">
        <v>2488</v>
      </c>
      <c r="C13" s="236"/>
      <c r="D13" s="635" t="s">
        <v>2701</v>
      </c>
      <c r="E13" s="637"/>
      <c r="F13" s="149" t="s">
        <v>2489</v>
      </c>
      <c r="G13" s="1372" t="s">
        <v>2485</v>
      </c>
      <c r="H13" s="1868">
        <v>0</v>
      </c>
      <c r="I13" s="237"/>
    </row>
    <row r="14" spans="1:9">
      <c r="A14" s="240" t="s">
        <v>4373</v>
      </c>
      <c r="B14" s="851" t="s">
        <v>820</v>
      </c>
      <c r="C14" s="236"/>
      <c r="D14" s="635" t="s">
        <v>2702</v>
      </c>
      <c r="E14" s="637"/>
      <c r="F14" t="s">
        <v>2664</v>
      </c>
      <c r="G14" s="1372" t="s">
        <v>2485</v>
      </c>
      <c r="H14" s="1868">
        <v>0</v>
      </c>
      <c r="I14" s="237"/>
    </row>
    <row r="15" spans="1:9">
      <c r="A15" s="635" t="s">
        <v>1075</v>
      </c>
      <c r="B15" s="851" t="s">
        <v>2006</v>
      </c>
      <c r="C15" s="236"/>
      <c r="D15" s="635" t="s">
        <v>2703</v>
      </c>
      <c r="E15" s="637"/>
      <c r="F15" t="s">
        <v>2943</v>
      </c>
      <c r="G15" s="1372" t="s">
        <v>2485</v>
      </c>
      <c r="H15" s="1868">
        <v>0</v>
      </c>
      <c r="I15" s="237"/>
    </row>
    <row r="16" spans="1:9">
      <c r="A16" s="635" t="s">
        <v>520</v>
      </c>
      <c r="B16" s="851" t="s">
        <v>2944</v>
      </c>
      <c r="C16" s="236"/>
      <c r="D16" s="635" t="s">
        <v>2704</v>
      </c>
      <c r="E16" s="637"/>
      <c r="F16" t="s">
        <v>2945</v>
      </c>
      <c r="G16" s="1372" t="s">
        <v>2485</v>
      </c>
      <c r="H16" s="1868">
        <v>0</v>
      </c>
      <c r="I16" s="237"/>
    </row>
    <row r="17" spans="1:9">
      <c r="A17" s="635" t="s">
        <v>2946</v>
      </c>
      <c r="B17" s="851" t="s">
        <v>991</v>
      </c>
      <c r="C17" s="236"/>
      <c r="D17" s="635" t="s">
        <v>2705</v>
      </c>
      <c r="E17" s="637"/>
      <c r="F17" t="s">
        <v>992</v>
      </c>
      <c r="G17" s="637"/>
      <c r="H17" s="1873"/>
      <c r="I17" s="237"/>
    </row>
    <row r="18" spans="1:9">
      <c r="A18" s="240"/>
      <c r="B18" s="851" t="s">
        <v>3307</v>
      </c>
      <c r="C18" s="236"/>
      <c r="D18" s="635" t="s">
        <v>2706</v>
      </c>
      <c r="E18" s="637"/>
      <c r="F18" t="s">
        <v>3308</v>
      </c>
      <c r="G18" s="637"/>
      <c r="H18" s="1871">
        <v>0</v>
      </c>
      <c r="I18" s="237"/>
    </row>
    <row r="19" spans="1:9">
      <c r="A19" s="635" t="s">
        <v>3309</v>
      </c>
      <c r="B19" s="851" t="s">
        <v>1125</v>
      </c>
      <c r="C19" s="236"/>
      <c r="D19" s="635" t="s">
        <v>2024</v>
      </c>
      <c r="E19" s="637"/>
      <c r="F19" t="s">
        <v>1126</v>
      </c>
      <c r="G19" s="637"/>
      <c r="H19" s="1874">
        <v>0</v>
      </c>
      <c r="I19" s="237"/>
    </row>
    <row r="20" spans="1:9">
      <c r="A20" s="240" t="s">
        <v>4373</v>
      </c>
      <c r="B20" s="851" t="s">
        <v>1099</v>
      </c>
      <c r="C20" s="236"/>
      <c r="D20" s="635" t="s">
        <v>2025</v>
      </c>
      <c r="E20" s="637"/>
      <c r="F20" t="s">
        <v>3941</v>
      </c>
      <c r="G20" s="637"/>
      <c r="H20" s="1874">
        <v>0</v>
      </c>
      <c r="I20" s="237"/>
    </row>
    <row r="21" spans="1:9">
      <c r="A21" s="635" t="s">
        <v>3942</v>
      </c>
      <c r="B21" s="851" t="s">
        <v>3943</v>
      </c>
      <c r="C21" s="236"/>
      <c r="D21" s="240"/>
      <c r="E21" s="637"/>
      <c r="G21" s="637"/>
      <c r="H21" s="1875"/>
      <c r="I21" s="237"/>
    </row>
    <row r="22" spans="1:9">
      <c r="A22" s="240"/>
      <c r="B22" s="851" t="s">
        <v>3615</v>
      </c>
      <c r="C22" s="236"/>
      <c r="D22" s="240"/>
      <c r="E22" s="637"/>
      <c r="F22" s="753" t="s">
        <v>3638</v>
      </c>
      <c r="G22" s="637"/>
      <c r="H22" s="1876"/>
      <c r="I22" s="237"/>
    </row>
    <row r="23" spans="1:9">
      <c r="A23" s="635" t="s">
        <v>3639</v>
      </c>
      <c r="B23" s="851" t="s">
        <v>3877</v>
      </c>
      <c r="C23" s="237"/>
      <c r="D23" s="635" t="s">
        <v>2026</v>
      </c>
      <c r="E23" s="637"/>
      <c r="F23" t="s">
        <v>3878</v>
      </c>
      <c r="G23" s="1372" t="s">
        <v>2485</v>
      </c>
      <c r="H23" s="1869">
        <v>0</v>
      </c>
      <c r="I23" s="237"/>
    </row>
    <row r="24" spans="1:9">
      <c r="A24" s="240"/>
      <c r="B24" s="851" t="s">
        <v>3861</v>
      </c>
      <c r="C24" s="237"/>
      <c r="D24" s="635" t="s">
        <v>2027</v>
      </c>
      <c r="E24" s="637"/>
      <c r="F24" t="s">
        <v>3862</v>
      </c>
      <c r="G24" s="637"/>
      <c r="H24" s="1869">
        <v>0</v>
      </c>
      <c r="I24" s="237"/>
    </row>
    <row r="25" spans="1:9">
      <c r="A25" s="635" t="s">
        <v>3863</v>
      </c>
      <c r="B25" s="851" t="s">
        <v>4404</v>
      </c>
      <c r="C25" s="237"/>
      <c r="D25" s="635" t="s">
        <v>2028</v>
      </c>
      <c r="E25" s="637"/>
      <c r="F25" t="s">
        <v>4405</v>
      </c>
      <c r="G25" s="637"/>
      <c r="H25" s="1869">
        <v>0</v>
      </c>
      <c r="I25" s="237"/>
    </row>
    <row r="26" spans="1:9">
      <c r="A26" s="240"/>
      <c r="B26" s="851" t="s">
        <v>4406</v>
      </c>
      <c r="C26" s="237"/>
      <c r="D26" s="635" t="s">
        <v>2029</v>
      </c>
      <c r="E26" s="637"/>
      <c r="F26" t="s">
        <v>4407</v>
      </c>
      <c r="G26" s="637"/>
      <c r="H26" s="1869">
        <v>0</v>
      </c>
      <c r="I26" s="237"/>
    </row>
    <row r="27" spans="1:9">
      <c r="A27" s="635" t="s">
        <v>4408</v>
      </c>
      <c r="B27" s="851" t="s">
        <v>4409</v>
      </c>
      <c r="C27" s="237"/>
      <c r="D27" s="635" t="s">
        <v>2030</v>
      </c>
      <c r="E27" s="637"/>
      <c r="F27" t="s">
        <v>4410</v>
      </c>
      <c r="G27" s="637"/>
      <c r="H27" s="1869">
        <v>0</v>
      </c>
      <c r="I27" s="237"/>
    </row>
    <row r="28" spans="1:9">
      <c r="A28" s="635" t="s">
        <v>4411</v>
      </c>
      <c r="B28" s="851" t="s">
        <v>792</v>
      </c>
      <c r="C28" s="237"/>
      <c r="D28" s="635" t="s">
        <v>4121</v>
      </c>
      <c r="E28" s="637"/>
      <c r="F28" t="s">
        <v>793</v>
      </c>
      <c r="G28" s="637"/>
      <c r="H28" s="1869">
        <v>0</v>
      </c>
      <c r="I28" s="237"/>
    </row>
    <row r="29" spans="1:9">
      <c r="A29" s="748"/>
      <c r="B29" s="1374"/>
      <c r="C29" s="250"/>
      <c r="D29" s="635" t="s">
        <v>4122</v>
      </c>
      <c r="E29" s="637"/>
      <c r="F29" t="s">
        <v>1149</v>
      </c>
      <c r="G29" s="637" t="s">
        <v>4373</v>
      </c>
      <c r="H29" s="1868">
        <v>0</v>
      </c>
      <c r="I29" s="237"/>
    </row>
    <row r="30" spans="1:9">
      <c r="A30" s="1369"/>
      <c r="B30" s="2998" t="s">
        <v>794</v>
      </c>
      <c r="C30" s="1375"/>
      <c r="D30" s="635" t="s">
        <v>4123</v>
      </c>
      <c r="E30" s="637"/>
      <c r="F30" s="643" t="s">
        <v>795</v>
      </c>
      <c r="G30" s="1372" t="s">
        <v>2485</v>
      </c>
      <c r="H30" s="756">
        <v>1186047</v>
      </c>
      <c r="I30" s="237"/>
    </row>
    <row r="31" spans="1:9">
      <c r="A31" s="240"/>
      <c r="B31" s="2998" t="s">
        <v>796</v>
      </c>
      <c r="C31" s="236"/>
      <c r="D31" s="240"/>
      <c r="E31" s="637"/>
      <c r="G31" s="637"/>
      <c r="H31" s="1872"/>
      <c r="I31" s="237"/>
    </row>
    <row r="32" spans="1:9">
      <c r="A32" s="240"/>
      <c r="B32" s="2998" t="s">
        <v>1655</v>
      </c>
      <c r="C32" s="236"/>
      <c r="D32" s="635" t="s">
        <v>749</v>
      </c>
      <c r="E32" s="637"/>
      <c r="F32" t="s">
        <v>1656</v>
      </c>
      <c r="G32" s="637"/>
      <c r="H32" s="1869">
        <v>0</v>
      </c>
      <c r="I32" s="237"/>
    </row>
    <row r="33" spans="1:9">
      <c r="A33" s="240"/>
      <c r="C33" s="237"/>
      <c r="D33" s="635" t="s">
        <v>750</v>
      </c>
      <c r="E33" s="637"/>
      <c r="F33" t="s">
        <v>1657</v>
      </c>
      <c r="G33" s="637"/>
      <c r="H33" s="1869">
        <v>0</v>
      </c>
      <c r="I33" s="237"/>
    </row>
    <row r="34" spans="1:9">
      <c r="A34" s="240"/>
      <c r="C34" s="237"/>
      <c r="D34" s="636" t="s">
        <v>751</v>
      </c>
      <c r="E34" s="1371"/>
      <c r="F34" s="249" t="s">
        <v>4050</v>
      </c>
      <c r="G34" s="1371"/>
      <c r="H34" s="1868">
        <v>0</v>
      </c>
      <c r="I34" s="250"/>
    </row>
    <row r="35" spans="1:9">
      <c r="A35" s="240"/>
      <c r="B35" s="851" t="s">
        <v>3723</v>
      </c>
      <c r="C35" s="237"/>
      <c r="D35" s="240"/>
      <c r="E35" s="637"/>
      <c r="F35" s="753" t="s">
        <v>4051</v>
      </c>
      <c r="G35" s="637"/>
      <c r="H35" s="158"/>
      <c r="I35" s="237"/>
    </row>
    <row r="36" spans="1:9">
      <c r="A36" s="1359"/>
      <c r="B36" s="851"/>
      <c r="C36" s="1376"/>
      <c r="D36" s="635" t="s">
        <v>720</v>
      </c>
      <c r="E36" s="637"/>
      <c r="F36" t="s">
        <v>4052</v>
      </c>
      <c r="G36" s="1372" t="s">
        <v>2485</v>
      </c>
      <c r="H36" s="1869">
        <v>0</v>
      </c>
      <c r="I36" s="237"/>
    </row>
    <row r="37" spans="1:9">
      <c r="A37" s="1359"/>
      <c r="C37" s="1685"/>
      <c r="D37" s="635" t="s">
        <v>721</v>
      </c>
      <c r="E37" s="637"/>
      <c r="F37" t="s">
        <v>3518</v>
      </c>
      <c r="G37" s="1372" t="s">
        <v>2485</v>
      </c>
      <c r="H37" s="1869">
        <v>0</v>
      </c>
      <c r="I37" s="237"/>
    </row>
    <row r="38" spans="1:9">
      <c r="A38" s="1359"/>
      <c r="B38" s="2998" t="s">
        <v>5342</v>
      </c>
      <c r="C38" s="1685"/>
      <c r="D38" s="635" t="s">
        <v>722</v>
      </c>
      <c r="E38" s="637"/>
      <c r="F38" t="s">
        <v>3519</v>
      </c>
      <c r="G38" s="1372" t="s">
        <v>2485</v>
      </c>
      <c r="H38" s="1869">
        <v>0</v>
      </c>
      <c r="I38" s="237"/>
    </row>
    <row r="39" spans="1:9">
      <c r="A39" s="1359"/>
      <c r="B39" s="2998" t="s">
        <v>5339</v>
      </c>
      <c r="C39" s="1360"/>
      <c r="D39" s="635" t="s">
        <v>723</v>
      </c>
      <c r="E39" s="637"/>
      <c r="F39" t="s">
        <v>3520</v>
      </c>
      <c r="G39" s="1372" t="s">
        <v>2485</v>
      </c>
      <c r="H39" s="1869">
        <v>0</v>
      </c>
      <c r="I39" s="237"/>
    </row>
    <row r="40" spans="1:9">
      <c r="A40" s="1359"/>
      <c r="B40" s="30"/>
      <c r="C40" s="1360"/>
      <c r="D40" s="635" t="s">
        <v>2589</v>
      </c>
      <c r="E40" s="637"/>
      <c r="F40" t="s">
        <v>795</v>
      </c>
      <c r="G40" s="1372" t="s">
        <v>2485</v>
      </c>
      <c r="H40" s="1869">
        <f>H30</f>
        <v>1186047</v>
      </c>
      <c r="I40" s="237"/>
    </row>
    <row r="41" spans="1:9">
      <c r="A41" s="1359"/>
      <c r="C41" s="237"/>
      <c r="D41" s="752">
        <v>27</v>
      </c>
      <c r="F41" t="s">
        <v>2994</v>
      </c>
      <c r="G41" s="1372" t="s">
        <v>2485</v>
      </c>
      <c r="H41" s="1877">
        <v>169726</v>
      </c>
      <c r="I41" s="237"/>
    </row>
    <row r="42" spans="1:9">
      <c r="A42" s="1359"/>
      <c r="C42" s="237"/>
      <c r="D42" s="752">
        <v>28</v>
      </c>
      <c r="F42" t="s">
        <v>1083</v>
      </c>
      <c r="G42" s="1372" t="s">
        <v>2485</v>
      </c>
      <c r="H42" s="1869">
        <v>0</v>
      </c>
      <c r="I42" s="237"/>
    </row>
    <row r="43" spans="1:9">
      <c r="A43" s="1359"/>
      <c r="C43" s="237"/>
      <c r="D43" s="752">
        <v>29</v>
      </c>
      <c r="F43" t="s">
        <v>1084</v>
      </c>
      <c r="G43" s="637"/>
      <c r="H43" s="1877">
        <v>0</v>
      </c>
      <c r="I43" s="237"/>
    </row>
    <row r="44" spans="1:9">
      <c r="A44" s="1359"/>
      <c r="B44" s="30"/>
      <c r="C44" s="1360"/>
      <c r="D44" s="752" t="s">
        <v>1774</v>
      </c>
      <c r="E44" s="952"/>
      <c r="F44" t="s">
        <v>1656</v>
      </c>
      <c r="G44" s="637"/>
      <c r="H44" s="1869">
        <v>0</v>
      </c>
      <c r="I44" s="237"/>
    </row>
    <row r="45" spans="1:9">
      <c r="A45" s="1359"/>
      <c r="B45" s="30"/>
      <c r="C45" s="1360"/>
      <c r="D45" s="635" t="s">
        <v>1775</v>
      </c>
      <c r="E45" s="637"/>
      <c r="F45" t="s">
        <v>1657</v>
      </c>
      <c r="G45" s="637"/>
      <c r="H45" s="1869">
        <v>0</v>
      </c>
      <c r="I45" s="237"/>
    </row>
    <row r="46" spans="1:9">
      <c r="A46" s="1359"/>
      <c r="B46" s="30"/>
      <c r="C46" s="1360"/>
      <c r="D46" s="636" t="s">
        <v>1776</v>
      </c>
      <c r="E46" s="1371"/>
      <c r="F46" s="249" t="s">
        <v>4050</v>
      </c>
      <c r="G46" s="1371"/>
      <c r="H46" s="1868">
        <v>0</v>
      </c>
      <c r="I46" s="250"/>
    </row>
    <row r="47" spans="1:9">
      <c r="A47" s="1359"/>
      <c r="B47" s="30"/>
      <c r="C47" s="1360"/>
      <c r="D47" s="240"/>
      <c r="E47" s="8" t="s">
        <v>1085</v>
      </c>
      <c r="F47" s="8"/>
      <c r="G47" s="8"/>
      <c r="H47" s="8"/>
      <c r="I47" s="237"/>
    </row>
    <row r="48" spans="1:9">
      <c r="A48" s="1359"/>
      <c r="B48" s="30"/>
      <c r="C48" s="1360"/>
      <c r="D48" s="240"/>
      <c r="F48" s="851" t="s">
        <v>3961</v>
      </c>
      <c r="G48" s="8"/>
      <c r="H48" s="8"/>
      <c r="I48" s="237"/>
    </row>
    <row r="49" spans="1:10">
      <c r="A49" s="1359"/>
      <c r="B49" s="30"/>
      <c r="C49" s="1360"/>
      <c r="D49" s="240"/>
      <c r="I49" s="237"/>
    </row>
    <row r="50" spans="1:10">
      <c r="A50" s="1359"/>
      <c r="B50" s="30"/>
      <c r="C50" s="1360"/>
      <c r="D50" s="240"/>
      <c r="I50" s="237"/>
    </row>
    <row r="51" spans="1:10">
      <c r="A51" s="1359"/>
      <c r="B51" s="30"/>
      <c r="C51" s="1360"/>
      <c r="D51" s="240"/>
      <c r="F51" s="1704" t="s">
        <v>1616</v>
      </c>
      <c r="G51" s="1704"/>
      <c r="H51" s="1626"/>
      <c r="I51" s="1705"/>
      <c r="J51" s="1626"/>
    </row>
    <row r="52" spans="1:10">
      <c r="A52" s="1359"/>
      <c r="B52" s="30"/>
      <c r="C52" s="1360"/>
      <c r="D52" s="240"/>
      <c r="F52" s="1704" t="s">
        <v>1617</v>
      </c>
      <c r="G52" s="1704"/>
      <c r="H52" s="1626"/>
      <c r="I52" s="1705"/>
      <c r="J52" s="1626"/>
    </row>
    <row r="53" spans="1:10">
      <c r="A53" s="1359"/>
      <c r="B53" s="30"/>
      <c r="C53" s="1360"/>
      <c r="D53" s="240"/>
      <c r="F53" s="1704" t="s">
        <v>1618</v>
      </c>
      <c r="G53" s="1704"/>
      <c r="H53" s="1626"/>
      <c r="I53" s="1705"/>
      <c r="J53" s="1626"/>
    </row>
    <row r="54" spans="1:10">
      <c r="A54" s="1359"/>
      <c r="B54" s="30"/>
      <c r="C54" s="1360"/>
      <c r="D54" s="240"/>
      <c r="I54" s="237"/>
    </row>
    <row r="55" spans="1:10" ht="15.75" thickBot="1">
      <c r="A55" s="1362" t="s">
        <v>4373</v>
      </c>
      <c r="B55" s="1363" t="s">
        <v>4373</v>
      </c>
      <c r="C55" s="1364"/>
      <c r="D55" s="241"/>
      <c r="E55" s="285"/>
      <c r="F55" s="285"/>
      <c r="G55" s="285"/>
      <c r="H55" s="285"/>
      <c r="I55" s="243"/>
    </row>
    <row r="56" spans="1:10">
      <c r="A56" s="851" t="s">
        <v>4066</v>
      </c>
      <c r="D56" s="851" t="s">
        <v>4066</v>
      </c>
    </row>
    <row r="57" spans="1:10">
      <c r="A57" s="8" t="s">
        <v>3962</v>
      </c>
      <c r="B57" s="8"/>
      <c r="C57" s="8"/>
      <c r="D57" s="8" t="s">
        <v>3963</v>
      </c>
      <c r="E57" s="8"/>
      <c r="F57" s="8"/>
      <c r="G57" s="8"/>
      <c r="H57" s="8"/>
      <c r="I57" s="8"/>
    </row>
    <row r="59" spans="1:10" ht="15.75">
      <c r="A59" s="6" t="s">
        <v>2992</v>
      </c>
      <c r="B59" s="13"/>
      <c r="C59" s="13"/>
      <c r="F59" s="260"/>
    </row>
    <row r="60" spans="1:10">
      <c r="B60" s="260"/>
      <c r="C60" s="260"/>
    </row>
    <row r="61" spans="1:10" ht="15.75" thickBot="1">
      <c r="A61" s="244" t="s">
        <v>4373</v>
      </c>
      <c r="B61" s="22"/>
      <c r="C61" s="22"/>
    </row>
    <row r="62" spans="1:10" ht="15.75">
      <c r="A62" s="1366" t="s">
        <v>4373</v>
      </c>
      <c r="B62" s="1367"/>
      <c r="C62" s="1368"/>
    </row>
    <row r="63" spans="1:10" ht="15.75">
      <c r="A63" s="1136" t="s">
        <v>734</v>
      </c>
      <c r="B63" s="1137"/>
      <c r="C63" s="1138"/>
      <c r="D63" s="1365"/>
      <c r="E63" s="1365"/>
    </row>
    <row r="64" spans="1:10" ht="15.75">
      <c r="A64" s="240"/>
      <c r="C64" s="237"/>
      <c r="D64" s="1137"/>
      <c r="E64" s="1137"/>
    </row>
    <row r="65" spans="1:5">
      <c r="A65" s="240"/>
      <c r="B65" s="8"/>
      <c r="C65" s="236"/>
    </row>
    <row r="66" spans="1:5">
      <c r="A66" s="240"/>
      <c r="B66" s="8"/>
      <c r="C66" s="236"/>
      <c r="E66" s="8"/>
    </row>
    <row r="67" spans="1:5">
      <c r="A67" s="240"/>
      <c r="C67" s="237"/>
      <c r="E67" s="8"/>
    </row>
    <row r="68" spans="1:5">
      <c r="A68" s="1369"/>
      <c r="B68" s="1377"/>
      <c r="C68" s="1375"/>
    </row>
    <row r="69" spans="1:5">
      <c r="A69" s="240"/>
      <c r="B69" s="8"/>
      <c r="C69" s="236"/>
      <c r="E69" s="8"/>
    </row>
    <row r="70" spans="1:5">
      <c r="A70" s="240"/>
      <c r="B70" s="8"/>
      <c r="C70" s="236"/>
      <c r="E70" s="8"/>
    </row>
    <row r="71" spans="1:5">
      <c r="A71" s="240"/>
      <c r="B71" s="8"/>
      <c r="C71" s="236"/>
      <c r="E71" s="8"/>
    </row>
    <row r="72" spans="1:5">
      <c r="A72" s="240"/>
      <c r="B72" s="8"/>
      <c r="C72" s="236"/>
      <c r="E72" s="8"/>
    </row>
    <row r="73" spans="1:5">
      <c r="A73" s="240"/>
      <c r="B73" s="8"/>
      <c r="C73" s="236"/>
      <c r="E73" s="8"/>
    </row>
    <row r="74" spans="1:5">
      <c r="A74" s="240"/>
      <c r="B74" s="8"/>
      <c r="C74" s="236"/>
      <c r="E74" s="8"/>
    </row>
    <row r="75" spans="1:5">
      <c r="A75" s="240"/>
      <c r="B75" s="8"/>
      <c r="C75" s="236"/>
      <c r="E75" s="8"/>
    </row>
    <row r="76" spans="1:5">
      <c r="A76" s="240"/>
      <c r="B76" s="8"/>
      <c r="C76" s="236"/>
      <c r="E76" s="8"/>
    </row>
    <row r="77" spans="1:5">
      <c r="A77" s="240"/>
      <c r="B77" s="8"/>
      <c r="C77" s="236"/>
      <c r="E77" s="8"/>
    </row>
    <row r="78" spans="1:5">
      <c r="A78" s="240"/>
      <c r="B78" s="8"/>
      <c r="C78" s="236"/>
      <c r="E78" s="8"/>
    </row>
    <row r="79" spans="1:5">
      <c r="A79" s="240"/>
      <c r="B79" s="8"/>
      <c r="C79" s="236"/>
      <c r="E79" s="8"/>
    </row>
    <row r="80" spans="1:5">
      <c r="A80" s="240"/>
      <c r="B80" s="8"/>
      <c r="C80" s="236"/>
      <c r="E80" s="8"/>
    </row>
    <row r="81" spans="1:5">
      <c r="A81" s="240"/>
      <c r="B81" s="8"/>
      <c r="C81" s="236"/>
      <c r="E81" s="8"/>
    </row>
    <row r="82" spans="1:5">
      <c r="A82" s="240"/>
      <c r="B82" s="8"/>
      <c r="C82" s="236"/>
      <c r="E82" s="8"/>
    </row>
    <row r="83" spans="1:5">
      <c r="A83" s="240"/>
      <c r="B83" s="8"/>
      <c r="C83" s="236"/>
      <c r="E83" s="8"/>
    </row>
    <row r="84" spans="1:5">
      <c r="A84" s="240"/>
      <c r="B84" s="8"/>
      <c r="C84" s="236"/>
      <c r="E84" s="8"/>
    </row>
    <row r="85" spans="1:5">
      <c r="A85" s="240"/>
      <c r="B85" s="8"/>
      <c r="C85" s="236"/>
      <c r="E85" s="8"/>
    </row>
    <row r="86" spans="1:5">
      <c r="A86" s="240"/>
      <c r="B86" s="8"/>
      <c r="C86" s="236"/>
      <c r="E86" s="8"/>
    </row>
    <row r="87" spans="1:5">
      <c r="A87" s="240"/>
      <c r="B87" s="8"/>
      <c r="C87" s="236"/>
      <c r="E87" s="8"/>
    </row>
    <row r="88" spans="1:5">
      <c r="A88" s="240"/>
      <c r="B88" s="8"/>
      <c r="C88" s="236"/>
      <c r="E88" s="8"/>
    </row>
    <row r="89" spans="1:5">
      <c r="A89" s="240"/>
      <c r="B89" s="8"/>
      <c r="C89" s="236"/>
      <c r="E89" s="8"/>
    </row>
    <row r="90" spans="1:5">
      <c r="A90" s="240"/>
      <c r="C90" s="237"/>
      <c r="E90" s="8"/>
    </row>
    <row r="91" spans="1:5">
      <c r="A91" s="240"/>
      <c r="B91" s="8"/>
      <c r="C91" s="236"/>
    </row>
    <row r="92" spans="1:5">
      <c r="A92" s="240"/>
      <c r="B92" s="8"/>
      <c r="C92" s="236"/>
      <c r="E92" s="8"/>
    </row>
    <row r="93" spans="1:5">
      <c r="A93" s="240"/>
      <c r="B93" s="8"/>
      <c r="C93" s="236"/>
      <c r="E93" s="8"/>
    </row>
    <row r="94" spans="1:5">
      <c r="A94" s="240"/>
      <c r="B94" s="8"/>
      <c r="C94" s="236"/>
      <c r="E94" s="8"/>
    </row>
    <row r="95" spans="1:5">
      <c r="A95" s="240"/>
      <c r="C95" s="237"/>
      <c r="E95" s="8"/>
    </row>
    <row r="96" spans="1:5">
      <c r="A96" s="240"/>
      <c r="C96" s="237"/>
    </row>
    <row r="97" spans="1:3">
      <c r="A97" s="240"/>
      <c r="C97" s="237"/>
    </row>
    <row r="98" spans="1:3">
      <c r="A98" s="240"/>
      <c r="C98" s="237"/>
    </row>
    <row r="99" spans="1:3">
      <c r="A99" s="240"/>
      <c r="C99" s="237"/>
    </row>
    <row r="100" spans="1:3">
      <c r="A100" s="240"/>
      <c r="C100" s="237"/>
    </row>
    <row r="101" spans="1:3">
      <c r="A101" s="240"/>
      <c r="C101" s="237"/>
    </row>
    <row r="102" spans="1:3">
      <c r="A102" s="240"/>
      <c r="C102" s="237"/>
    </row>
    <row r="103" spans="1:3">
      <c r="A103" s="240"/>
      <c r="C103" s="237"/>
    </row>
    <row r="104" spans="1:3">
      <c r="A104" s="240"/>
      <c r="C104" s="237"/>
    </row>
    <row r="105" spans="1:3">
      <c r="A105" s="240"/>
      <c r="C105" s="237"/>
    </row>
    <row r="106" spans="1:3">
      <c r="A106" s="240"/>
      <c r="C106" s="237"/>
    </row>
    <row r="107" spans="1:3">
      <c r="A107" s="240"/>
      <c r="C107" s="237"/>
    </row>
    <row r="108" spans="1:3">
      <c r="A108" s="240"/>
      <c r="C108" s="237"/>
    </row>
    <row r="109" spans="1:3">
      <c r="A109" s="240"/>
      <c r="C109" s="237"/>
    </row>
    <row r="110" spans="1:3">
      <c r="A110" s="240"/>
      <c r="C110" s="237"/>
    </row>
    <row r="111" spans="1:3">
      <c r="A111" s="240"/>
      <c r="C111" s="237"/>
    </row>
    <row r="112" spans="1:3">
      <c r="A112" s="240"/>
      <c r="C112" s="237"/>
    </row>
    <row r="113" spans="1:3">
      <c r="A113" s="240"/>
      <c r="C113" s="237"/>
    </row>
    <row r="114" spans="1:3" ht="15.75" thickBot="1">
      <c r="A114" s="241"/>
      <c r="B114" s="285"/>
      <c r="C114" s="243"/>
    </row>
    <row r="115" spans="1:3">
      <c r="A115" t="s">
        <v>4066</v>
      </c>
    </row>
    <row r="116" spans="1:3">
      <c r="A116" s="8" t="s">
        <v>2993</v>
      </c>
      <c r="B116" s="8"/>
      <c r="C116" s="8"/>
    </row>
    <row r="120" spans="1:3">
      <c r="B120" s="260"/>
      <c r="C120" s="260"/>
    </row>
    <row r="123" spans="1:3">
      <c r="B123" s="260"/>
      <c r="C123" s="260"/>
    </row>
    <row r="124" spans="1:3">
      <c r="B124" s="260"/>
      <c r="C124" s="260"/>
    </row>
    <row r="125" spans="1:3">
      <c r="B125" s="260"/>
      <c r="C125" s="260"/>
    </row>
    <row r="126" spans="1:3">
      <c r="B126" s="260"/>
      <c r="C126" s="260"/>
    </row>
    <row r="127" spans="1:3">
      <c r="B127" s="260"/>
      <c r="C127" s="260"/>
    </row>
    <row r="128" spans="1:3">
      <c r="B128" s="260"/>
      <c r="C128" s="260"/>
    </row>
  </sheetData>
  <customSheetViews>
    <customSheetView guid="{1BA452AD-1A45-4D9C-9666-ADFFA6F2F567}" scale="60" colorId="22" showPageBreaks="1" fitToPage="1" printArea="1" view="pageBreakPreview">
      <selection activeCell="H42" sqref="H42"/>
      <rowBreaks count="1" manualBreakCount="1">
        <brk id="58" max="16383" man="1"/>
      </rowBreaks>
      <colBreaks count="1" manualBreakCount="1">
        <brk id="3" max="1048575" man="1"/>
      </colBreaks>
      <pageMargins left="0.75" right="0" top="0" bottom="0" header="0.25" footer="0.25"/>
      <printOptions horizontalCentered="1" verticalCentered="1"/>
      <pageSetup scale="73" fitToWidth="2" pageOrder="overThenDown" orientation="portrait" r:id="rId1"/>
      <headerFooter alignWithMargins="0"/>
    </customSheetView>
    <customSheetView guid="{EEF7ABD6-0F96-4791-B749-C06F707E7673}" scale="60" colorId="22" showPageBreaks="1" fitToPage="1" printArea="1" view="pageBreakPreview" showRuler="0">
      <selection activeCell="C36" sqref="C36:C44"/>
      <rowBreaks count="1" manualBreakCount="1">
        <brk id="58" max="16383" man="1"/>
      </rowBreaks>
      <colBreaks count="1" manualBreakCount="1">
        <brk id="3" max="1048575" man="1"/>
      </colBreaks>
      <pageMargins left="0.75" right="0" top="0" bottom="0" header="0.25" footer="0.25"/>
      <printOptions horizontalCentered="1" verticalCentered="1"/>
      <pageSetup scale="73" fitToWidth="2" pageOrder="overThenDown" orientation="portrait" r:id="rId2"/>
      <headerFooter alignWithMargins="0"/>
    </customSheetView>
    <customSheetView guid="{A7D7DB3C-AFE6-468E-8C6B-9531F6711497}" scale="60" colorId="22" showPageBreaks="1" printArea="1" view="pageBreakPreview" showRuler="0" topLeftCell="D1">
      <selection activeCell="C26" sqref="C26"/>
      <rowBreaks count="1" manualBreakCount="1">
        <brk id="58" max="16383" man="1"/>
      </rowBreaks>
      <colBreaks count="1" manualBreakCount="1">
        <brk id="3" max="1048575" man="1"/>
      </colBreaks>
      <pageMargins left="0.75" right="0" top="0" bottom="0" header="0.25" footer="0.25"/>
      <printOptions horizontalCentered="1" verticalCentered="1"/>
      <pageSetup scale="72" fitToWidth="2" pageOrder="overThenDown" orientation="portrait" r:id="rId3"/>
      <headerFooter alignWithMargins="0"/>
    </customSheetView>
    <customSheetView guid="{4436FEB5-BFEC-4348-9286-CB706802873E}" scale="60" colorId="22" showPageBreaks="1" printArea="1" view="pageBreakPreview" showRuler="0" topLeftCell="D1">
      <selection activeCell="C26" sqref="C26"/>
      <rowBreaks count="1" manualBreakCount="1">
        <brk id="58" max="16383" man="1"/>
      </rowBreaks>
      <colBreaks count="1" manualBreakCount="1">
        <brk id="3" max="1048575" man="1"/>
      </colBreaks>
      <pageMargins left="0.75" right="0" top="0" bottom="0" header="0.25" footer="0.25"/>
      <printOptions horizontalCentered="1" verticalCentered="1"/>
      <pageSetup scale="72" fitToWidth="2" pageOrder="overThenDown" orientation="portrait" r:id="rId4"/>
      <headerFooter alignWithMargins="0"/>
    </customSheetView>
    <customSheetView guid="{044CF00C-469F-44B3-B2C4-9B4049CE70CB}" scale="60" colorId="22" showPageBreaks="1" printArea="1" view="pageBreakPreview" showRuler="0">
      <rowBreaks count="1" manualBreakCount="1">
        <brk id="58" max="16383" man="1"/>
      </rowBreaks>
      <colBreaks count="1" manualBreakCount="1">
        <brk id="3" max="1048575" man="1"/>
      </colBreaks>
      <pageMargins left="0.75" right="0" top="0" bottom="0" header="0.25" footer="0.25"/>
      <printOptions horizontalCentered="1" verticalCentered="1"/>
      <pageSetup scale="72" fitToWidth="2" pageOrder="overThenDown" orientation="portrait" r:id="rId5"/>
      <headerFooter alignWithMargins="0"/>
    </customSheetView>
    <customSheetView guid="{4826FCC0-BDD6-4B2C-ACC6-ACE271DDF0E3}" scale="60" colorId="22" showPageBreaks="1" fitToPage="1" printArea="1" view="pageBreakPreview" showRuler="0">
      <selection activeCell="H30" sqref="H30"/>
      <rowBreaks count="1" manualBreakCount="1">
        <brk id="58" max="16383" man="1"/>
      </rowBreaks>
      <colBreaks count="1" manualBreakCount="1">
        <brk id="3" max="1048575" man="1"/>
      </colBreaks>
      <pageMargins left="0.75" right="0" top="0" bottom="0" header="0.25" footer="0.25"/>
      <printOptions horizontalCentered="1" verticalCentered="1"/>
      <pageSetup scale="73" fitToWidth="2" pageOrder="overThenDown" orientation="portrait" r:id="rId6"/>
      <headerFooter alignWithMargins="0"/>
    </customSheetView>
    <customSheetView guid="{EF376D10-23D6-4FE2-AB5B-4460D52CC93F}" scale="60" colorId="22" showPageBreaks="1" fitToPage="1" printArea="1" view="pageBreakPreview" showRuler="0">
      <selection activeCell="C36" sqref="C36:C44"/>
      <rowBreaks count="1" manualBreakCount="1">
        <brk id="58" max="16383" man="1"/>
      </rowBreaks>
      <colBreaks count="1" manualBreakCount="1">
        <brk id="3" max="1048575" man="1"/>
      </colBreaks>
      <pageMargins left="0.75" right="0" top="0" bottom="0" header="0.25" footer="0.25"/>
      <printOptions horizontalCentered="1" verticalCentered="1"/>
      <pageSetup scale="73" fitToWidth="2" pageOrder="overThenDown" orientation="portrait" r:id="rId7"/>
      <headerFooter alignWithMargins="0"/>
    </customSheetView>
    <customSheetView guid="{1C046605-15CE-44F1-BFCD-2CA8588E7ACF}" scale="60" colorId="22" showPageBreaks="1" fitToPage="1" printArea="1" view="pageBreakPreview" showRuler="0">
      <selection activeCell="C36" sqref="C36:C44"/>
      <rowBreaks count="1" manualBreakCount="1">
        <brk id="58" max="16383" man="1"/>
      </rowBreaks>
      <colBreaks count="1" manualBreakCount="1">
        <brk id="3" max="1048575" man="1"/>
      </colBreaks>
      <pageMargins left="0.75" right="0" top="0" bottom="0" header="0.25" footer="0.25"/>
      <printOptions horizontalCentered="1" verticalCentered="1"/>
      <pageSetup scale="73" fitToWidth="2" pageOrder="overThenDown" orientation="portrait" r:id="rId8"/>
      <headerFooter alignWithMargins="0"/>
    </customSheetView>
    <customSheetView guid="{3911D713-188C-46A1-A299-F21DD3B7A146}" scale="60" colorId="22" showPageBreaks="1" fitToPage="1" printArea="1" view="pageBreakPreview" showRuler="0">
      <selection activeCell="C36" sqref="C36:C44"/>
      <rowBreaks count="1" manualBreakCount="1">
        <brk id="58" max="16383" man="1"/>
      </rowBreaks>
      <colBreaks count="1" manualBreakCount="1">
        <brk id="3" max="1048575" man="1"/>
      </colBreaks>
      <pageMargins left="0.75" right="0" top="0" bottom="0" header="0.25" footer="0.25"/>
      <printOptions horizontalCentered="1" verticalCentered="1"/>
      <pageSetup scale="73" fitToWidth="2" pageOrder="overThenDown" orientation="portrait" r:id="rId9"/>
      <headerFooter alignWithMargins="0"/>
    </customSheetView>
    <customSheetView guid="{78BB1E60-60BE-4F56-9763-075185EFEFAB}" scale="60" colorId="22" showPageBreaks="1" printArea="1" view="pageBreakPreview">
      <selection activeCell="D2" sqref="D2"/>
      <colBreaks count="1" manualBreakCount="1">
        <brk id="3" max="56" man="1"/>
      </colBreaks>
      <pageMargins left="0.75" right="0" top="0" bottom="0" header="0.25" footer="0.25"/>
      <printOptions horizontalCentered="1" verticalCentered="1"/>
      <pageSetup scale="67" fitToWidth="2" pageOrder="overThenDown" orientation="portrait" r:id="rId10"/>
      <headerFooter alignWithMargins="0"/>
    </customSheetView>
    <customSheetView guid="{9C30803E-1E2D-4850-B0A5-591CA6F246A1}" scale="60" colorId="22" showPageBreaks="1" printArea="1" view="pageBreakPreview">
      <selection activeCell="D2" sqref="D2"/>
      <colBreaks count="1" manualBreakCount="1">
        <brk id="3" max="56" man="1"/>
      </colBreaks>
      <pageMargins left="0.75" right="0" top="0" bottom="0" header="0.25" footer="0.25"/>
      <printOptions horizontalCentered="1" verticalCentered="1"/>
      <pageSetup scale="67" fitToWidth="2" pageOrder="overThenDown" orientation="portrait" r:id="rId11"/>
      <headerFooter alignWithMargins="0"/>
    </customSheetView>
    <customSheetView guid="{3B1006FF-A2CA-49E7-9B25-DAC8815279AF}" scale="60" colorId="22" showPageBreaks="1" printArea="1" view="pageBreakPreview">
      <selection activeCell="D2" sqref="D2"/>
      <colBreaks count="1" manualBreakCount="1">
        <brk id="3" max="56" man="1"/>
      </colBreaks>
      <pageMargins left="0.75" right="0" top="0" bottom="0" header="0.25" footer="0.25"/>
      <printOptions horizontalCentered="1" verticalCentered="1"/>
      <pageSetup scale="67" fitToWidth="2" pageOrder="overThenDown" orientation="portrait" r:id="rId12"/>
      <headerFooter alignWithMargins="0"/>
    </customSheetView>
    <customSheetView guid="{FB1A60C8-E1F9-4DF0-8E0E-1C965F86027F}" scale="60" colorId="22" showPageBreaks="1" printArea="1" view="pageBreakPreview">
      <selection activeCell="D2" sqref="D2"/>
      <colBreaks count="1" manualBreakCount="1">
        <brk id="3" max="56" man="1"/>
      </colBreaks>
      <pageMargins left="0.75" right="0" top="0" bottom="0" header="0.25" footer="0.25"/>
      <printOptions horizontalCentered="1" verticalCentered="1"/>
      <pageSetup scale="67" fitToWidth="2" pageOrder="overThenDown" orientation="portrait" r:id="rId13"/>
      <headerFooter alignWithMargins="0"/>
    </customSheetView>
    <customSheetView guid="{C5B6D812-CBE6-46AA-99F7-02494E9802B4}" scale="70" colorId="22" showPageBreaks="1" printArea="1" view="pageBreakPreview" topLeftCell="C25">
      <selection activeCell="H41" sqref="H41"/>
      <colBreaks count="1" manualBreakCount="1">
        <brk id="3" max="56" man="1"/>
      </colBreaks>
      <pageMargins left="0.75" right="0" top="0" bottom="0" header="0.25" footer="0.25"/>
      <printOptions horizontalCentered="1" verticalCentered="1"/>
      <pageSetup scale="67" fitToWidth="2" pageOrder="overThenDown" orientation="portrait" r:id="rId14"/>
      <headerFooter alignWithMargins="0"/>
    </customSheetView>
  </customSheetViews>
  <mergeCells count="4">
    <mergeCell ref="B8:C8"/>
    <mergeCell ref="B9:C9"/>
    <mergeCell ref="B11:C11"/>
    <mergeCell ref="B12:C12"/>
  </mergeCells>
  <phoneticPr fontId="0" type="noConversion"/>
  <printOptions horizontalCentered="1" verticalCentered="1"/>
  <pageMargins left="0.75" right="0" top="0" bottom="0" header="0.25" footer="0.25"/>
  <pageSetup scale="67" fitToWidth="2" pageOrder="overThenDown" orientation="portrait" r:id="rId15"/>
  <headerFooter alignWithMargins="0"/>
  <colBreaks count="1" manualBreakCount="1">
    <brk id="3" max="56" man="1"/>
  </colBreaks>
  <customProperties>
    <customPr name="_pios_id" r:id="rId16"/>
  </customProperties>
</worksheet>
</file>

<file path=xl/worksheets/sheet67.xml><?xml version="1.0" encoding="utf-8"?>
<worksheet xmlns="http://schemas.openxmlformats.org/spreadsheetml/2006/main" xmlns:r="http://schemas.openxmlformats.org/officeDocument/2006/relationships">
  <sheetPr transitionEvaluation="1" codeName="Sheet66" enableFormatConditionsCalculation="0"/>
  <dimension ref="A1:L154"/>
  <sheetViews>
    <sheetView defaultGridColor="0" colorId="22" zoomScale="87" zoomScaleNormal="87" zoomScaleSheetLayoutView="70" workbookViewId="0"/>
  </sheetViews>
  <sheetFormatPr defaultColWidth="9.77734375" defaultRowHeight="15"/>
  <cols>
    <col min="1" max="1" width="4.77734375" customWidth="1"/>
    <col min="2" max="2" width="50.77734375" customWidth="1"/>
    <col min="3" max="3" width="55.33203125" customWidth="1"/>
    <col min="4" max="4" width="4.77734375" customWidth="1"/>
    <col min="5" max="5" width="1.77734375" customWidth="1"/>
    <col min="6" max="6" width="70.21875" customWidth="1"/>
    <col min="7" max="7" width="3.77734375" customWidth="1"/>
    <col min="8" max="8" width="13.77734375" customWidth="1"/>
    <col min="9" max="9" width="1.77734375" customWidth="1"/>
    <col min="10" max="10" width="3.77734375" customWidth="1"/>
    <col min="11" max="11" width="13.77734375" customWidth="1"/>
    <col min="12" max="12" width="1.77734375" customWidth="1"/>
  </cols>
  <sheetData>
    <row r="1" spans="1:12" ht="18.75" thickBot="1">
      <c r="A1" s="186" t="s">
        <v>5222</v>
      </c>
      <c r="B1" s="1378"/>
      <c r="D1" s="186" t="s">
        <v>5223</v>
      </c>
      <c r="E1" s="1365"/>
      <c r="F1" s="1365"/>
      <c r="G1" s="1365"/>
      <c r="I1" s="1365"/>
      <c r="J1" s="1365"/>
      <c r="K1" s="1365"/>
      <c r="L1" s="1365"/>
    </row>
    <row r="2" spans="1:12" ht="18">
      <c r="A2" s="1379"/>
      <c r="B2" s="1380"/>
      <c r="C2" s="234"/>
      <c r="D2" s="1366"/>
      <c r="E2" s="1367"/>
      <c r="F2" s="1367"/>
      <c r="G2" s="1367"/>
      <c r="H2" s="1367"/>
      <c r="I2" s="1367"/>
      <c r="J2" s="1367"/>
      <c r="K2" s="1367"/>
      <c r="L2" s="1368"/>
    </row>
    <row r="3" spans="1:12" ht="15.75">
      <c r="A3" s="235" t="s">
        <v>1165</v>
      </c>
      <c r="B3" s="8"/>
      <c r="C3" s="236"/>
      <c r="D3" s="235" t="s">
        <v>3524</v>
      </c>
      <c r="E3" s="1137"/>
      <c r="F3" s="1137"/>
      <c r="G3" s="1137"/>
      <c r="H3" s="1137"/>
      <c r="I3" s="1137"/>
      <c r="J3" s="1137"/>
      <c r="K3" s="1137"/>
      <c r="L3" s="1138"/>
    </row>
    <row r="4" spans="1:12">
      <c r="A4" s="240"/>
      <c r="C4" s="237"/>
      <c r="D4" s="240"/>
      <c r="L4" s="237"/>
    </row>
    <row r="5" spans="1:12">
      <c r="A5" s="635" t="s">
        <v>479</v>
      </c>
      <c r="B5" s="3071" t="s">
        <v>719</v>
      </c>
      <c r="C5" s="3074"/>
      <c r="D5" s="1369"/>
      <c r="E5" s="1370"/>
      <c r="F5" s="282"/>
      <c r="G5" s="1370"/>
      <c r="H5" s="282"/>
      <c r="I5" s="282"/>
      <c r="J5" s="1370"/>
      <c r="K5" s="282"/>
      <c r="L5" s="283"/>
    </row>
    <row r="6" spans="1:12">
      <c r="A6" s="240"/>
      <c r="B6" s="3071" t="s">
        <v>4151</v>
      </c>
      <c r="C6" s="3074"/>
      <c r="D6" s="635" t="s">
        <v>1129</v>
      </c>
      <c r="E6" s="637"/>
      <c r="F6" s="643" t="s">
        <v>3728</v>
      </c>
      <c r="G6" s="637"/>
      <c r="H6" t="s">
        <v>4373</v>
      </c>
      <c r="J6" s="637"/>
      <c r="K6" t="s">
        <v>4373</v>
      </c>
      <c r="L6" s="237"/>
    </row>
    <row r="7" spans="1:12">
      <c r="A7" s="240"/>
      <c r="B7" s="3071" t="s">
        <v>3729</v>
      </c>
      <c r="C7" s="3074"/>
      <c r="D7" s="635" t="s">
        <v>3324</v>
      </c>
      <c r="E7" s="637"/>
      <c r="F7" s="643" t="s">
        <v>4032</v>
      </c>
      <c r="G7" s="637"/>
      <c r="H7" s="643" t="s">
        <v>4033</v>
      </c>
      <c r="J7" s="637"/>
      <c r="K7" s="643" t="s">
        <v>4034</v>
      </c>
      <c r="L7" s="237"/>
    </row>
    <row r="8" spans="1:12">
      <c r="A8" s="240"/>
      <c r="B8" s="3071" t="s">
        <v>3730</v>
      </c>
      <c r="C8" s="3074"/>
      <c r="D8" s="748"/>
      <c r="E8" s="1371"/>
      <c r="F8" s="249"/>
      <c r="G8" s="1371"/>
      <c r="H8" s="249"/>
      <c r="I8" s="249"/>
      <c r="J8" s="1371"/>
      <c r="K8" s="249"/>
      <c r="L8" s="250"/>
    </row>
    <row r="9" spans="1:12">
      <c r="A9" s="240"/>
      <c r="B9" s="3071" t="s">
        <v>3731</v>
      </c>
      <c r="C9" s="3074"/>
      <c r="D9" s="240"/>
      <c r="E9" s="637"/>
      <c r="F9" s="643" t="s">
        <v>3527</v>
      </c>
      <c r="G9" s="637"/>
      <c r="J9" s="637"/>
      <c r="K9" s="158"/>
      <c r="L9" s="237"/>
    </row>
    <row r="10" spans="1:12">
      <c r="A10" s="240"/>
      <c r="B10" t="s">
        <v>3732</v>
      </c>
      <c r="C10" s="237"/>
      <c r="D10" s="635" t="s">
        <v>2699</v>
      </c>
      <c r="E10" s="637"/>
      <c r="F10" t="s">
        <v>3733</v>
      </c>
      <c r="G10" s="637"/>
      <c r="H10" s="1869" t="s">
        <v>3019</v>
      </c>
      <c r="J10" s="833" t="s">
        <v>479</v>
      </c>
      <c r="K10" s="1373"/>
      <c r="L10" s="237"/>
    </row>
    <row r="11" spans="1:12">
      <c r="A11" s="240"/>
      <c r="B11" t="s">
        <v>3734</v>
      </c>
      <c r="C11" s="237"/>
      <c r="D11" s="635" t="s">
        <v>2700</v>
      </c>
      <c r="E11" s="637"/>
      <c r="F11" t="s">
        <v>3491</v>
      </c>
      <c r="G11" s="637"/>
      <c r="H11" s="157"/>
      <c r="J11" s="833" t="s">
        <v>2916</v>
      </c>
      <c r="K11" s="1373"/>
      <c r="L11" s="237"/>
    </row>
    <row r="12" spans="1:12">
      <c r="A12" s="240"/>
      <c r="B12" s="3071" t="s">
        <v>3432</v>
      </c>
      <c r="C12" s="3074"/>
      <c r="D12" s="240"/>
      <c r="E12" s="637"/>
      <c r="F12" t="s">
        <v>3433</v>
      </c>
      <c r="G12" s="637"/>
      <c r="H12" s="30"/>
      <c r="J12" s="637"/>
      <c r="K12" s="30"/>
      <c r="L12" s="237"/>
    </row>
    <row r="13" spans="1:12">
      <c r="A13" s="240"/>
      <c r="B13" s="851" t="s">
        <v>1411</v>
      </c>
      <c r="C13" s="237"/>
      <c r="D13" s="635" t="s">
        <v>2701</v>
      </c>
      <c r="E13" s="637"/>
      <c r="F13" t="s">
        <v>1412</v>
      </c>
      <c r="G13" s="833" t="s">
        <v>3164</v>
      </c>
      <c r="H13" s="1373"/>
      <c r="J13" s="637"/>
      <c r="K13" s="30"/>
      <c r="L13" s="237"/>
    </row>
    <row r="14" spans="1:12">
      <c r="A14" s="240"/>
      <c r="B14" s="3071" t="s">
        <v>1604</v>
      </c>
      <c r="C14" s="3074"/>
      <c r="D14" s="635" t="s">
        <v>2702</v>
      </c>
      <c r="E14" s="637"/>
      <c r="F14" t="s">
        <v>1605</v>
      </c>
      <c r="G14" s="833" t="s">
        <v>2630</v>
      </c>
      <c r="H14" s="1373"/>
      <c r="J14" s="637"/>
      <c r="K14" s="30"/>
      <c r="L14" s="237"/>
    </row>
    <row r="15" spans="1:12">
      <c r="A15" s="240"/>
      <c r="B15" s="3071" t="s">
        <v>1606</v>
      </c>
      <c r="C15" s="3074"/>
      <c r="D15" s="635" t="s">
        <v>2703</v>
      </c>
      <c r="E15" s="637"/>
      <c r="F15" t="s">
        <v>3263</v>
      </c>
      <c r="G15" s="637"/>
      <c r="H15" s="157"/>
      <c r="J15" s="833" t="s">
        <v>1075</v>
      </c>
      <c r="K15" s="756">
        <f>H13-H14</f>
        <v>0</v>
      </c>
      <c r="L15" s="237"/>
    </row>
    <row r="16" spans="1:12">
      <c r="A16" s="1381"/>
      <c r="B16" s="851" t="s">
        <v>2377</v>
      </c>
      <c r="C16" s="237"/>
      <c r="D16" s="240"/>
      <c r="E16" s="637"/>
      <c r="F16" t="s">
        <v>2378</v>
      </c>
      <c r="G16" s="637"/>
      <c r="H16" s="30"/>
      <c r="J16" s="637"/>
      <c r="L16" s="237"/>
    </row>
    <row r="17" spans="1:12">
      <c r="A17" s="240"/>
      <c r="B17" s="3073" t="s">
        <v>1755</v>
      </c>
      <c r="C17" s="3072"/>
      <c r="D17" s="635" t="s">
        <v>2704</v>
      </c>
      <c r="E17" s="637"/>
      <c r="F17" t="s">
        <v>2678</v>
      </c>
      <c r="G17" s="833" t="s">
        <v>520</v>
      </c>
      <c r="H17" s="1373"/>
      <c r="J17" s="637"/>
      <c r="K17" s="30"/>
      <c r="L17" s="237"/>
    </row>
    <row r="18" spans="1:12">
      <c r="A18" s="240"/>
      <c r="B18" s="3073" t="s">
        <v>4248</v>
      </c>
      <c r="C18" s="3072"/>
      <c r="D18" s="635" t="s">
        <v>2705</v>
      </c>
      <c r="E18" s="637"/>
      <c r="F18" t="s">
        <v>4249</v>
      </c>
      <c r="G18" s="833" t="s">
        <v>2946</v>
      </c>
      <c r="H18" s="1373"/>
      <c r="J18" s="637" t="s">
        <v>4250</v>
      </c>
      <c r="K18" s="30"/>
      <c r="L18" s="237"/>
    </row>
    <row r="19" spans="1:12">
      <c r="A19" s="240"/>
      <c r="B19" s="851" t="s">
        <v>4251</v>
      </c>
      <c r="C19" s="237"/>
      <c r="D19" s="635" t="s">
        <v>2706</v>
      </c>
      <c r="E19" s="637"/>
      <c r="F19" t="s">
        <v>1740</v>
      </c>
      <c r="G19" s="833" t="s">
        <v>3309</v>
      </c>
      <c r="H19" s="1382"/>
      <c r="J19" s="637"/>
      <c r="K19" s="30"/>
      <c r="L19" s="237"/>
    </row>
    <row r="20" spans="1:12">
      <c r="A20" s="240"/>
      <c r="C20" s="237"/>
      <c r="D20" s="635" t="s">
        <v>2024</v>
      </c>
      <c r="E20" s="637"/>
      <c r="F20" t="s">
        <v>1741</v>
      </c>
      <c r="G20" s="637"/>
      <c r="H20" s="30"/>
      <c r="J20" s="833" t="s">
        <v>3942</v>
      </c>
      <c r="K20" s="756">
        <f>(+H17*(+H18/10000)*+H19)*100</f>
        <v>0</v>
      </c>
      <c r="L20" s="237"/>
    </row>
    <row r="21" spans="1:12">
      <c r="A21" s="635" t="s">
        <v>2916</v>
      </c>
      <c r="B21" s="3071" t="s">
        <v>3509</v>
      </c>
      <c r="C21" s="3074"/>
      <c r="D21" s="240"/>
      <c r="E21" s="637"/>
      <c r="F21" t="s">
        <v>3510</v>
      </c>
      <c r="G21" s="637"/>
      <c r="H21" s="30"/>
      <c r="J21" s="637"/>
      <c r="L21" s="237"/>
    </row>
    <row r="22" spans="1:12">
      <c r="A22" s="240"/>
      <c r="B22" s="851" t="s">
        <v>3511</v>
      </c>
      <c r="C22" s="237"/>
      <c r="D22" s="635" t="s">
        <v>2025</v>
      </c>
      <c r="E22" s="637"/>
      <c r="F22" t="s">
        <v>3512</v>
      </c>
      <c r="G22" s="833" t="s">
        <v>3639</v>
      </c>
      <c r="H22" s="1373"/>
      <c r="J22" s="637"/>
      <c r="K22" s="30"/>
      <c r="L22" s="237"/>
    </row>
    <row r="23" spans="1:12">
      <c r="A23" s="240"/>
      <c r="C23" s="237"/>
      <c r="D23" s="635" t="s">
        <v>2026</v>
      </c>
      <c r="E23" s="637"/>
      <c r="F23" t="s">
        <v>3513</v>
      </c>
      <c r="G23" s="833" t="s">
        <v>3863</v>
      </c>
      <c r="H23" s="1373"/>
      <c r="J23" s="637"/>
      <c r="K23" s="30"/>
      <c r="L23" s="237"/>
    </row>
    <row r="24" spans="1:12">
      <c r="A24" s="635" t="s">
        <v>3164</v>
      </c>
      <c r="B24" s="3071" t="s">
        <v>2919</v>
      </c>
      <c r="C24" s="3074"/>
      <c r="D24" s="635" t="s">
        <v>2027</v>
      </c>
      <c r="E24" s="637"/>
      <c r="F24" t="s">
        <v>2920</v>
      </c>
      <c r="G24" s="637"/>
      <c r="H24" s="30"/>
      <c r="J24" s="833" t="s">
        <v>4408</v>
      </c>
      <c r="K24" s="756">
        <f>H22-H23</f>
        <v>0</v>
      </c>
      <c r="L24" s="237"/>
    </row>
    <row r="25" spans="1:12">
      <c r="A25" s="240"/>
      <c r="B25" s="3071" t="s">
        <v>1745</v>
      </c>
      <c r="C25" s="3074"/>
      <c r="D25" s="635" t="s">
        <v>2028</v>
      </c>
      <c r="E25" s="637"/>
      <c r="F25" t="s">
        <v>3180</v>
      </c>
      <c r="G25" s="637"/>
      <c r="H25" s="30"/>
      <c r="J25" s="833" t="s">
        <v>4411</v>
      </c>
      <c r="K25" s="756">
        <f>K10+K11+K15+K20+K24</f>
        <v>0</v>
      </c>
      <c r="L25" s="237"/>
    </row>
    <row r="26" spans="1:12">
      <c r="A26" s="240"/>
      <c r="B26" s="851" t="s">
        <v>1724</v>
      </c>
      <c r="C26" s="237"/>
      <c r="D26" s="635" t="s">
        <v>2029</v>
      </c>
      <c r="E26" s="637"/>
      <c r="F26" t="s">
        <v>1725</v>
      </c>
      <c r="G26" s="637"/>
      <c r="H26" s="30"/>
      <c r="J26" s="833" t="s">
        <v>1726</v>
      </c>
      <c r="K26" s="1383">
        <f>IF(K25=0,0,+H22/+H17)</f>
        <v>0</v>
      </c>
      <c r="L26" s="237"/>
    </row>
    <row r="27" spans="1:12">
      <c r="A27" s="240"/>
      <c r="B27" s="8"/>
      <c r="C27" s="237"/>
      <c r="D27" s="636" t="s">
        <v>2030</v>
      </c>
      <c r="E27" s="1371"/>
      <c r="F27" s="249" t="s">
        <v>2345</v>
      </c>
      <c r="G27" s="1371"/>
      <c r="H27" s="1384"/>
      <c r="I27" s="249"/>
      <c r="J27" s="788" t="s">
        <v>2346</v>
      </c>
      <c r="K27" s="756">
        <f>K25*+K26</f>
        <v>0</v>
      </c>
      <c r="L27" s="250"/>
    </row>
    <row r="28" spans="1:12">
      <c r="A28" s="635" t="s">
        <v>2630</v>
      </c>
      <c r="B28" s="3075" t="s">
        <v>2338</v>
      </c>
      <c r="C28" s="3072"/>
      <c r="D28" s="747"/>
      <c r="E28" s="637"/>
      <c r="F28" s="643" t="s">
        <v>4051</v>
      </c>
      <c r="G28" s="637"/>
      <c r="H28" s="30"/>
      <c r="J28" s="637"/>
      <c r="L28" s="237"/>
    </row>
    <row r="29" spans="1:12">
      <c r="A29" s="240"/>
      <c r="B29" s="3075" t="s">
        <v>2339</v>
      </c>
      <c r="C29" s="3072"/>
      <c r="D29" s="635" t="s">
        <v>4121</v>
      </c>
      <c r="E29" s="637"/>
      <c r="F29" t="s">
        <v>2340</v>
      </c>
      <c r="G29" s="637"/>
      <c r="H29" s="30"/>
      <c r="J29" s="833" t="s">
        <v>3462</v>
      </c>
      <c r="K29" s="1373"/>
      <c r="L29" s="237"/>
    </row>
    <row r="30" spans="1:12">
      <c r="A30" s="240"/>
      <c r="B30" s="3075" t="s">
        <v>2797</v>
      </c>
      <c r="C30" s="3072"/>
      <c r="D30" s="240"/>
      <c r="E30" s="637"/>
      <c r="F30" t="s">
        <v>2798</v>
      </c>
      <c r="G30" s="637"/>
      <c r="H30" s="30"/>
      <c r="J30" s="637"/>
      <c r="K30" s="30"/>
      <c r="L30" s="237"/>
    </row>
    <row r="31" spans="1:12">
      <c r="A31" s="240"/>
      <c r="C31" s="237"/>
      <c r="D31" s="635" t="s">
        <v>4122</v>
      </c>
      <c r="E31" s="637"/>
      <c r="F31" t="s">
        <v>2799</v>
      </c>
      <c r="G31" s="833" t="s">
        <v>2800</v>
      </c>
      <c r="H31" s="1385"/>
      <c r="J31" s="637"/>
      <c r="K31" s="30"/>
      <c r="L31" s="237"/>
    </row>
    <row r="32" spans="1:12">
      <c r="A32" s="635" t="s">
        <v>1075</v>
      </c>
      <c r="B32" s="3071" t="s">
        <v>2680</v>
      </c>
      <c r="C32" s="3074"/>
      <c r="D32" s="636" t="s">
        <v>4123</v>
      </c>
      <c r="E32" s="1371"/>
      <c r="F32" s="249" t="s">
        <v>2681</v>
      </c>
      <c r="G32" s="1371"/>
      <c r="H32" s="1384"/>
      <c r="I32" s="249"/>
      <c r="J32" s="788" t="s">
        <v>2682</v>
      </c>
      <c r="K32" s="756">
        <f>K29*(1-H31)</f>
        <v>0</v>
      </c>
      <c r="L32" s="250"/>
    </row>
    <row r="33" spans="1:12">
      <c r="A33" s="240"/>
      <c r="B33" s="3071"/>
      <c r="C33" s="3074"/>
      <c r="D33" s="240"/>
      <c r="E33" s="3076" t="s">
        <v>2683</v>
      </c>
      <c r="F33" s="3076"/>
      <c r="G33" s="3076"/>
      <c r="H33" s="3076"/>
      <c r="I33" s="3076"/>
      <c r="J33" s="3076"/>
      <c r="K33" s="3076"/>
      <c r="L33" s="237"/>
    </row>
    <row r="34" spans="1:12">
      <c r="A34" s="635" t="s">
        <v>520</v>
      </c>
      <c r="B34" s="3071" t="s">
        <v>2684</v>
      </c>
      <c r="C34" s="3074"/>
      <c r="D34" s="240"/>
      <c r="L34" s="237"/>
    </row>
    <row r="35" spans="1:12">
      <c r="A35" s="240"/>
      <c r="B35" s="3071" t="s">
        <v>2685</v>
      </c>
      <c r="C35" s="3074"/>
      <c r="D35" s="240"/>
      <c r="G35" s="8"/>
      <c r="H35" s="8"/>
      <c r="I35" s="8"/>
      <c r="J35" s="8"/>
      <c r="K35" s="8"/>
      <c r="L35" s="237"/>
    </row>
    <row r="36" spans="1:12">
      <c r="A36" s="240"/>
      <c r="C36" s="237"/>
      <c r="D36" s="240"/>
      <c r="E36" t="s">
        <v>2686</v>
      </c>
      <c r="L36" s="237"/>
    </row>
    <row r="37" spans="1:12">
      <c r="A37" s="635" t="s">
        <v>2946</v>
      </c>
      <c r="B37" s="3071" t="s">
        <v>2213</v>
      </c>
      <c r="C37" s="3074"/>
      <c r="D37" s="240"/>
      <c r="F37" t="s">
        <v>2214</v>
      </c>
      <c r="K37" s="1386"/>
      <c r="L37" s="237"/>
    </row>
    <row r="38" spans="1:12">
      <c r="A38" s="240"/>
      <c r="B38" s="3071" t="s">
        <v>4397</v>
      </c>
      <c r="C38" s="3074"/>
      <c r="D38" s="240"/>
      <c r="F38" t="s">
        <v>3156</v>
      </c>
      <c r="K38" s="1386"/>
      <c r="L38" s="237"/>
    </row>
    <row r="39" spans="1:12">
      <c r="A39" s="240"/>
      <c r="B39" s="3071" t="s">
        <v>3157</v>
      </c>
      <c r="C39" s="3074"/>
      <c r="D39" s="240"/>
      <c r="F39" t="s">
        <v>1095</v>
      </c>
      <c r="K39" s="1386"/>
      <c r="L39" s="237"/>
    </row>
    <row r="40" spans="1:12">
      <c r="A40" s="240"/>
      <c r="B40" s="8"/>
      <c r="C40" s="237"/>
      <c r="D40" s="240"/>
      <c r="L40" s="237"/>
    </row>
    <row r="41" spans="1:12">
      <c r="A41" s="635" t="s">
        <v>3309</v>
      </c>
      <c r="B41" s="3071" t="s">
        <v>1096</v>
      </c>
      <c r="C41" s="3074"/>
      <c r="D41" s="240"/>
      <c r="E41" s="851" t="s">
        <v>3480</v>
      </c>
      <c r="F41" s="8"/>
      <c r="G41" s="8"/>
      <c r="H41" s="8"/>
      <c r="I41" s="8"/>
      <c r="J41" s="8"/>
      <c r="K41" s="8"/>
      <c r="L41" s="237"/>
    </row>
    <row r="42" spans="1:12">
      <c r="A42" s="240"/>
      <c r="B42" s="851" t="s">
        <v>3481</v>
      </c>
      <c r="C42" s="237"/>
      <c r="D42" s="240"/>
      <c r="E42" t="s">
        <v>3482</v>
      </c>
      <c r="L42" s="237"/>
    </row>
    <row r="43" spans="1:12">
      <c r="A43" s="240"/>
      <c r="C43" s="237"/>
      <c r="D43" s="240"/>
      <c r="E43" s="30"/>
      <c r="F43" s="30"/>
      <c r="G43" s="30"/>
      <c r="H43" s="30"/>
      <c r="I43" s="30"/>
      <c r="J43" s="30"/>
      <c r="K43" s="30"/>
      <c r="L43" s="237"/>
    </row>
    <row r="44" spans="1:12">
      <c r="A44" s="635" t="s">
        <v>3942</v>
      </c>
      <c r="B44" s="3071" t="s">
        <v>3483</v>
      </c>
      <c r="C44" s="3074"/>
      <c r="D44" s="240"/>
      <c r="E44" s="30"/>
      <c r="F44" s="30"/>
      <c r="G44" s="30"/>
      <c r="H44" s="30"/>
      <c r="I44" s="30"/>
      <c r="J44" s="30"/>
      <c r="K44" s="30"/>
      <c r="L44" s="237"/>
    </row>
    <row r="45" spans="1:12">
      <c r="A45" s="240"/>
      <c r="B45" s="3071" t="s">
        <v>3087</v>
      </c>
      <c r="C45" s="3074"/>
      <c r="D45" s="240"/>
      <c r="E45" s="30"/>
      <c r="F45" s="1190"/>
      <c r="G45" s="1190"/>
      <c r="H45" s="1190"/>
      <c r="I45" s="1190"/>
      <c r="J45" s="1190"/>
      <c r="K45" s="1190"/>
      <c r="L45" s="237"/>
    </row>
    <row r="46" spans="1:12">
      <c r="A46" s="240"/>
      <c r="B46" s="638"/>
      <c r="C46" s="237"/>
      <c r="D46" s="240"/>
      <c r="E46" s="3071" t="s">
        <v>3088</v>
      </c>
      <c r="F46" s="3071"/>
      <c r="G46" s="3071"/>
      <c r="H46" s="3071"/>
      <c r="I46" s="3071"/>
      <c r="J46" s="3071"/>
      <c r="K46" s="3071"/>
      <c r="L46" s="237"/>
    </row>
    <row r="47" spans="1:12">
      <c r="A47" s="1369"/>
      <c r="B47" s="3076" t="s">
        <v>2882</v>
      </c>
      <c r="C47" s="3077"/>
      <c r="D47" s="240"/>
      <c r="E47" s="3071" t="s">
        <v>649</v>
      </c>
      <c r="F47" s="3071"/>
      <c r="G47" s="3071"/>
      <c r="H47" s="3071"/>
      <c r="I47" s="3071"/>
      <c r="J47" s="3071"/>
      <c r="K47" s="3071"/>
      <c r="L47" s="237"/>
    </row>
    <row r="48" spans="1:12">
      <c r="A48" s="240"/>
      <c r="B48" s="3071" t="s">
        <v>2163</v>
      </c>
      <c r="C48" s="3074"/>
      <c r="D48" s="240"/>
      <c r="E48" s="3071" t="s">
        <v>1474</v>
      </c>
      <c r="F48" s="3071"/>
      <c r="G48" s="3071"/>
      <c r="H48" s="3071"/>
      <c r="I48" s="3071"/>
      <c r="J48" s="3071"/>
      <c r="K48" s="3071"/>
      <c r="L48" s="237"/>
    </row>
    <row r="49" spans="1:12">
      <c r="A49" s="240"/>
      <c r="B49" s="3071" t="s">
        <v>896</v>
      </c>
      <c r="C49" s="3074"/>
      <c r="D49" s="240"/>
      <c r="E49" s="30"/>
      <c r="F49" s="30"/>
      <c r="G49" s="30"/>
      <c r="H49" s="30"/>
      <c r="I49" s="30"/>
      <c r="J49" s="30"/>
      <c r="K49" s="30"/>
      <c r="L49" s="237"/>
    </row>
    <row r="50" spans="1:12">
      <c r="A50" s="240"/>
      <c r="B50" s="3071" t="s">
        <v>3672</v>
      </c>
      <c r="C50" s="3074"/>
      <c r="D50" s="240"/>
      <c r="E50" s="30"/>
      <c r="F50" s="30"/>
      <c r="G50" s="30"/>
      <c r="H50" s="30"/>
      <c r="I50" s="30"/>
      <c r="J50" s="30"/>
      <c r="K50" s="30"/>
      <c r="L50" s="237"/>
    </row>
    <row r="51" spans="1:12">
      <c r="A51" s="240"/>
      <c r="C51" s="237"/>
      <c r="D51" s="240"/>
      <c r="E51" s="30"/>
      <c r="F51" s="30"/>
      <c r="G51" s="30"/>
      <c r="H51" s="30"/>
      <c r="I51" s="30"/>
      <c r="J51" s="30"/>
      <c r="K51" s="30"/>
      <c r="L51" s="237"/>
    </row>
    <row r="52" spans="1:12">
      <c r="A52" s="240"/>
      <c r="B52" s="851" t="s">
        <v>4373</v>
      </c>
      <c r="C52" s="237"/>
      <c r="D52" s="240"/>
      <c r="E52" s="851" t="s">
        <v>134</v>
      </c>
      <c r="F52" s="8"/>
      <c r="G52" s="8"/>
      <c r="H52" s="8"/>
      <c r="I52" s="8"/>
      <c r="J52" s="8"/>
      <c r="K52" s="8"/>
      <c r="L52" s="237"/>
    </row>
    <row r="53" spans="1:12">
      <c r="A53" s="240"/>
      <c r="B53" s="851" t="s">
        <v>3019</v>
      </c>
      <c r="C53" s="237"/>
      <c r="D53" s="240"/>
      <c r="F53" t="s">
        <v>135</v>
      </c>
      <c r="K53" s="1373"/>
      <c r="L53" s="237"/>
    </row>
    <row r="54" spans="1:12">
      <c r="A54" s="240"/>
      <c r="C54" s="237"/>
      <c r="D54" s="240"/>
      <c r="F54" t="s">
        <v>136</v>
      </c>
      <c r="K54" s="1386"/>
      <c r="L54" s="237"/>
    </row>
    <row r="55" spans="1:12">
      <c r="A55" s="240"/>
      <c r="C55" s="237"/>
      <c r="D55" s="240"/>
      <c r="F55" t="s">
        <v>4315</v>
      </c>
      <c r="K55" s="1386"/>
      <c r="L55" s="237"/>
    </row>
    <row r="56" spans="1:12">
      <c r="A56" s="240"/>
      <c r="C56" s="237"/>
      <c r="D56" s="240"/>
      <c r="K56" s="30"/>
      <c r="L56" s="237"/>
    </row>
    <row r="57" spans="1:12">
      <c r="A57" s="240"/>
      <c r="C57" s="237"/>
      <c r="D57" s="240"/>
      <c r="L57" s="237"/>
    </row>
    <row r="58" spans="1:12">
      <c r="A58" s="240"/>
      <c r="C58" s="237"/>
      <c r="D58" s="240"/>
      <c r="F58" s="30"/>
      <c r="G58" s="30"/>
      <c r="H58" s="30"/>
      <c r="I58" s="30"/>
      <c r="J58" s="30"/>
      <c r="K58" s="30"/>
      <c r="L58" s="237"/>
    </row>
    <row r="59" spans="1:12" ht="15.75" thickBot="1">
      <c r="A59" s="241"/>
      <c r="B59" s="285"/>
      <c r="C59" s="243"/>
      <c r="D59" s="241"/>
      <c r="E59" s="285"/>
      <c r="F59" s="1363"/>
      <c r="G59" s="1363"/>
      <c r="H59" s="1363"/>
      <c r="I59" s="1363"/>
      <c r="J59" s="1363"/>
      <c r="K59" s="1363"/>
      <c r="L59" s="243"/>
    </row>
    <row r="60" spans="1:12">
      <c r="C60" s="231" t="s">
        <v>4066</v>
      </c>
      <c r="D60" t="s">
        <v>3463</v>
      </c>
      <c r="K60" t="s">
        <v>4373</v>
      </c>
    </row>
    <row r="61" spans="1:12">
      <c r="A61" s="8" t="s">
        <v>3464</v>
      </c>
      <c r="B61" s="8"/>
      <c r="C61" s="8"/>
      <c r="D61" s="8" t="s">
        <v>3465</v>
      </c>
      <c r="E61" s="8"/>
      <c r="F61" s="8"/>
      <c r="G61" s="8"/>
      <c r="H61" s="8"/>
      <c r="I61" s="8"/>
      <c r="J61" s="8"/>
      <c r="K61" s="8"/>
      <c r="L61" s="8"/>
    </row>
    <row r="62" spans="1:12">
      <c r="D62" s="643"/>
    </row>
    <row r="63" spans="1:12">
      <c r="B63" s="8"/>
      <c r="C63" s="8"/>
      <c r="D63" s="8"/>
    </row>
    <row r="65" spans="1:6">
      <c r="B65" s="260"/>
    </row>
    <row r="66" spans="1:6">
      <c r="F66" s="260"/>
    </row>
    <row r="68" spans="1:6">
      <c r="B68" s="260"/>
    </row>
    <row r="69" spans="1:6">
      <c r="B69" s="260"/>
      <c r="F69" s="260"/>
    </row>
    <row r="70" spans="1:6" ht="15.75">
      <c r="A70" s="6" t="s">
        <v>2992</v>
      </c>
      <c r="B70" s="13"/>
      <c r="C70" s="8"/>
      <c r="E70" s="643"/>
      <c r="F70" s="260"/>
    </row>
    <row r="71" spans="1:6">
      <c r="B71" s="260"/>
      <c r="F71" s="260"/>
    </row>
    <row r="72" spans="1:6">
      <c r="B72" s="260"/>
      <c r="F72" s="260"/>
    </row>
    <row r="73" spans="1:6">
      <c r="B73" s="260"/>
    </row>
    <row r="76" spans="1:6" ht="18.75" thickBot="1">
      <c r="A76" s="22" t="s">
        <v>4373</v>
      </c>
      <c r="B76" s="1378"/>
    </row>
    <row r="77" spans="1:6" ht="18">
      <c r="A77" s="1379"/>
      <c r="B77" s="1380"/>
      <c r="C77" s="234"/>
    </row>
    <row r="78" spans="1:6" ht="15.75">
      <c r="A78" s="235" t="s">
        <v>3524</v>
      </c>
      <c r="B78" s="8"/>
      <c r="C78" s="236"/>
    </row>
    <row r="79" spans="1:6">
      <c r="A79" s="240"/>
      <c r="C79" s="237"/>
    </row>
    <row r="80" spans="1:6">
      <c r="A80" s="240"/>
      <c r="B80" s="8"/>
      <c r="C80" s="237"/>
    </row>
    <row r="81" spans="1:3">
      <c r="A81" s="240"/>
      <c r="B81" s="8"/>
      <c r="C81" s="237"/>
    </row>
    <row r="82" spans="1:3">
      <c r="A82" s="240"/>
      <c r="B82" s="8"/>
      <c r="C82" s="237"/>
    </row>
    <row r="83" spans="1:3">
      <c r="A83" s="1369"/>
      <c r="B83" s="1377"/>
      <c r="C83" s="283"/>
    </row>
    <row r="84" spans="1:3">
      <c r="A84" s="240"/>
      <c r="B84" s="8"/>
      <c r="C84" s="237"/>
    </row>
    <row r="85" spans="1:3">
      <c r="A85" s="240"/>
      <c r="C85" s="237"/>
    </row>
    <row r="86" spans="1:3">
      <c r="A86" s="240"/>
      <c r="C86" s="237"/>
    </row>
    <row r="87" spans="1:3">
      <c r="A87" s="240"/>
      <c r="B87" s="8"/>
      <c r="C87" s="237"/>
    </row>
    <row r="88" spans="1:3">
      <c r="A88" s="240"/>
      <c r="B88" s="8"/>
      <c r="C88" s="237"/>
    </row>
    <row r="89" spans="1:3">
      <c r="A89" s="240"/>
      <c r="B89" s="8"/>
      <c r="C89" s="237"/>
    </row>
    <row r="90" spans="1:3">
      <c r="A90" s="240"/>
      <c r="B90" s="8"/>
      <c r="C90" s="237"/>
    </row>
    <row r="91" spans="1:3">
      <c r="A91" s="240"/>
      <c r="B91" s="8"/>
      <c r="C91" s="237"/>
    </row>
    <row r="92" spans="1:3">
      <c r="A92" s="240"/>
      <c r="B92" s="8"/>
      <c r="C92" s="237"/>
    </row>
    <row r="93" spans="1:3">
      <c r="A93" s="240"/>
      <c r="B93" s="8"/>
      <c r="C93" s="237"/>
    </row>
    <row r="94" spans="1:3">
      <c r="A94" s="240"/>
      <c r="B94" s="8"/>
      <c r="C94" s="237"/>
    </row>
    <row r="95" spans="1:3">
      <c r="A95" s="240"/>
      <c r="C95" s="237"/>
    </row>
    <row r="96" spans="1:3">
      <c r="A96" s="240"/>
      <c r="B96" s="8"/>
      <c r="C96" s="237"/>
    </row>
    <row r="97" spans="1:3">
      <c r="A97" s="240"/>
      <c r="B97" s="8"/>
      <c r="C97" s="237"/>
    </row>
    <row r="98" spans="1:3">
      <c r="A98" s="240"/>
      <c r="C98" s="237"/>
    </row>
    <row r="99" spans="1:3">
      <c r="A99" s="240"/>
      <c r="B99" s="8"/>
      <c r="C99" s="237"/>
    </row>
    <row r="100" spans="1:3">
      <c r="A100" s="240"/>
      <c r="B100" s="8"/>
      <c r="C100" s="237"/>
    </row>
    <row r="101" spans="1:3">
      <c r="A101" s="240"/>
      <c r="B101" s="8"/>
      <c r="C101" s="237"/>
    </row>
    <row r="102" spans="1:3">
      <c r="A102" s="240"/>
      <c r="B102" s="8"/>
      <c r="C102" s="237"/>
    </row>
    <row r="103" spans="1:3">
      <c r="A103" s="240"/>
      <c r="C103" s="237"/>
    </row>
    <row r="104" spans="1:3">
      <c r="A104" s="240"/>
      <c r="C104" s="237"/>
    </row>
    <row r="105" spans="1:3">
      <c r="A105" s="240"/>
      <c r="C105" s="237"/>
    </row>
    <row r="106" spans="1:3">
      <c r="A106" s="240"/>
      <c r="C106" s="237"/>
    </row>
    <row r="107" spans="1:3">
      <c r="A107" s="240"/>
      <c r="B107" s="8"/>
      <c r="C107" s="237"/>
    </row>
    <row r="108" spans="1:3">
      <c r="A108" s="240"/>
      <c r="C108" s="237"/>
    </row>
    <row r="109" spans="1:3">
      <c r="A109" s="240"/>
      <c r="B109" s="8"/>
      <c r="C109" s="237"/>
    </row>
    <row r="110" spans="1:3">
      <c r="A110" s="240"/>
      <c r="B110" s="8"/>
      <c r="C110" s="237"/>
    </row>
    <row r="111" spans="1:3">
      <c r="A111" s="240"/>
      <c r="C111" s="237"/>
    </row>
    <row r="112" spans="1:3">
      <c r="A112" s="240"/>
      <c r="B112" s="8"/>
      <c r="C112" s="237"/>
    </row>
    <row r="113" spans="1:3">
      <c r="A113" s="240"/>
      <c r="B113" s="8"/>
      <c r="C113" s="237"/>
    </row>
    <row r="114" spans="1:3">
      <c r="A114" s="240"/>
      <c r="B114" s="8"/>
      <c r="C114" s="237"/>
    </row>
    <row r="115" spans="1:3">
      <c r="A115" s="240"/>
      <c r="B115" s="8"/>
      <c r="C115" s="237"/>
    </row>
    <row r="116" spans="1:3">
      <c r="A116" s="240"/>
      <c r="B116" s="8"/>
      <c r="C116" s="237"/>
    </row>
    <row r="117" spans="1:3">
      <c r="A117" s="240"/>
      <c r="B117" s="8"/>
      <c r="C117" s="237"/>
    </row>
    <row r="118" spans="1:3">
      <c r="A118" s="240"/>
      <c r="C118" s="237"/>
    </row>
    <row r="119" spans="1:3">
      <c r="A119" s="240"/>
      <c r="B119" s="8"/>
      <c r="C119" s="237"/>
    </row>
    <row r="120" spans="1:3">
      <c r="A120" s="240"/>
      <c r="B120" s="8"/>
      <c r="C120" s="237"/>
    </row>
    <row r="121" spans="1:3">
      <c r="A121" s="240"/>
      <c r="B121" s="8"/>
      <c r="C121" s="237"/>
    </row>
    <row r="122" spans="1:3">
      <c r="A122" s="240"/>
      <c r="C122" s="237"/>
    </row>
    <row r="123" spans="1:3">
      <c r="A123" s="240"/>
      <c r="B123" s="8"/>
      <c r="C123" s="237"/>
    </row>
    <row r="124" spans="1:3">
      <c r="A124" s="240"/>
      <c r="B124" s="8"/>
      <c r="C124" s="237"/>
    </row>
    <row r="125" spans="1:3">
      <c r="A125" s="240"/>
      <c r="B125" s="8"/>
      <c r="C125" s="237"/>
    </row>
    <row r="126" spans="1:3">
      <c r="A126" s="240"/>
      <c r="B126" s="8"/>
      <c r="C126" s="237"/>
    </row>
    <row r="127" spans="1:3">
      <c r="A127" s="240"/>
      <c r="B127" s="8"/>
      <c r="C127" s="237"/>
    </row>
    <row r="128" spans="1:3">
      <c r="A128" s="240"/>
      <c r="B128" s="8"/>
      <c r="C128" s="237"/>
    </row>
    <row r="129" spans="1:3">
      <c r="A129" s="240"/>
      <c r="C129" s="237"/>
    </row>
    <row r="130" spans="1:3">
      <c r="A130" s="240"/>
      <c r="C130" s="237"/>
    </row>
    <row r="131" spans="1:3">
      <c r="A131" s="240"/>
      <c r="C131" s="237"/>
    </row>
    <row r="132" spans="1:3">
      <c r="A132" s="240"/>
      <c r="C132" s="237"/>
    </row>
    <row r="133" spans="1:3">
      <c r="A133" s="240"/>
      <c r="C133" s="237"/>
    </row>
    <row r="134" spans="1:3">
      <c r="A134" s="240"/>
      <c r="C134" s="237"/>
    </row>
    <row r="135" spans="1:3">
      <c r="A135" s="240"/>
      <c r="C135" s="237"/>
    </row>
    <row r="136" spans="1:3">
      <c r="A136" s="240"/>
      <c r="C136" s="237"/>
    </row>
    <row r="137" spans="1:3">
      <c r="A137" s="240"/>
      <c r="C137" s="237"/>
    </row>
    <row r="138" spans="1:3">
      <c r="A138" s="240"/>
      <c r="C138" s="237"/>
    </row>
    <row r="139" spans="1:3">
      <c r="A139" s="240"/>
      <c r="C139" s="237"/>
    </row>
    <row r="140" spans="1:3" ht="15.75" thickBot="1">
      <c r="A140" s="241"/>
      <c r="B140" s="285"/>
      <c r="C140" s="243"/>
    </row>
    <row r="141" spans="1:3">
      <c r="A141" t="s">
        <v>4066</v>
      </c>
      <c r="C141" s="8"/>
    </row>
    <row r="142" spans="1:3">
      <c r="A142" s="8" t="s">
        <v>3466</v>
      </c>
      <c r="B142" s="8"/>
      <c r="C142" s="8"/>
    </row>
    <row r="146" spans="2:2">
      <c r="B146" s="260"/>
    </row>
    <row r="149" spans="2:2">
      <c r="B149" s="260"/>
    </row>
    <row r="150" spans="2:2">
      <c r="B150" s="260"/>
    </row>
    <row r="151" spans="2:2">
      <c r="B151" s="260"/>
    </row>
    <row r="152" spans="2:2">
      <c r="B152" s="260"/>
    </row>
    <row r="153" spans="2:2">
      <c r="B153" s="260"/>
    </row>
    <row r="154" spans="2:2">
      <c r="B154" s="260"/>
    </row>
  </sheetData>
  <customSheetViews>
    <customSheetView guid="{1BA452AD-1A45-4D9C-9666-ADFFA6F2F567}" scale="60" colorId="22" showPageBreaks="1" printArea="1" view="pageBreakPreview">
      <selection activeCell="H42" sqref="H42"/>
      <colBreaks count="1" manualBreakCount="1">
        <brk id="3" max="60" man="1"/>
      </colBreaks>
      <pageMargins left="0.75" right="0.4" top="0.3" bottom="0.3" header="0" footer="0"/>
      <printOptions horizontalCentered="1" verticalCentered="1"/>
      <pageSetup scale="67" fitToWidth="2" orientation="portrait" r:id="rId1"/>
      <headerFooter alignWithMargins="0"/>
    </customSheetView>
    <customSheetView guid="{EEF7ABD6-0F96-4791-B749-C06F707E7673}" scale="60" colorId="22" showPageBreaks="1" printArea="1" view="pageBreakPreview" showRuler="0">
      <selection activeCell="C104" sqref="C104"/>
      <colBreaks count="1" manualBreakCount="1">
        <brk id="3" max="60" man="1"/>
      </colBreaks>
      <pageMargins left="0.75" right="0.4" top="0.3" bottom="0.3" header="0" footer="0"/>
      <printOptions horizontalCentered="1" verticalCentered="1"/>
      <pageSetup scale="67" fitToWidth="2" orientation="portrait" r:id="rId2"/>
      <headerFooter alignWithMargins="0"/>
    </customSheetView>
    <customSheetView guid="{A7D7DB3C-AFE6-468E-8C6B-9531F6711497}" scale="87" colorId="22" showRuler="0" topLeftCell="E28">
      <selection activeCell="C26" sqref="C26"/>
      <colBreaks count="1" manualBreakCount="1">
        <brk id="3" max="60" man="1"/>
      </colBreaks>
      <pageMargins left="0.75" right="0.4" top="0.3" bottom="0.3" header="0" footer="0"/>
      <printOptions horizontalCentered="1" verticalCentered="1"/>
      <pageSetup scale="67" fitToWidth="2" orientation="portrait" r:id="rId3"/>
      <headerFooter alignWithMargins="0"/>
    </customSheetView>
    <customSheetView guid="{4436FEB5-BFEC-4348-9286-CB706802873E}" scale="87" colorId="22" showRuler="0" topLeftCell="E28">
      <selection activeCell="C26" sqref="C26"/>
      <colBreaks count="1" manualBreakCount="1">
        <brk id="3" max="60" man="1"/>
      </colBreaks>
      <pageMargins left="0.75" right="0.4" top="0.3" bottom="0.3" header="0" footer="0"/>
      <printOptions horizontalCentered="1" verticalCentered="1"/>
      <pageSetup scale="67" fitToWidth="2" orientation="portrait" r:id="rId4"/>
      <headerFooter alignWithMargins="0"/>
    </customSheetView>
    <customSheetView guid="{044CF00C-469F-44B3-B2C4-9B4049CE70CB}" scale="87" colorId="22" showRuler="0" topLeftCell="D1">
      <selection activeCell="F11" sqref="F11"/>
      <colBreaks count="1" manualBreakCount="1">
        <brk id="3" max="60" man="1"/>
      </colBreaks>
      <pageMargins left="0.75" right="0.4" top="0.3" bottom="0.3" header="0" footer="0"/>
      <printOptions horizontalCentered="1" verticalCentered="1"/>
      <pageSetup scale="67" fitToWidth="2" orientation="portrait" r:id="rId5"/>
      <headerFooter alignWithMargins="0"/>
    </customSheetView>
    <customSheetView guid="{4826FCC0-BDD6-4B2C-ACC6-ACE271DDF0E3}" scale="60" colorId="22" showPageBreaks="1" printArea="1" view="pageBreakPreview" showRuler="0">
      <selection activeCell="C104" sqref="C104"/>
      <colBreaks count="1" manualBreakCount="1">
        <brk id="3" max="60" man="1"/>
      </colBreaks>
      <pageMargins left="0.75" right="0.4" top="0.3" bottom="0.3" header="0" footer="0"/>
      <printOptions horizontalCentered="1" verticalCentered="1"/>
      <pageSetup scale="67" fitToWidth="2" orientation="portrait" r:id="rId6"/>
      <headerFooter alignWithMargins="0"/>
    </customSheetView>
    <customSheetView guid="{EF376D10-23D6-4FE2-AB5B-4460D52CC93F}" scale="60" colorId="22" showPageBreaks="1" printArea="1" view="pageBreakPreview" showRuler="0">
      <selection activeCell="C104" sqref="C104"/>
      <colBreaks count="1" manualBreakCount="1">
        <brk id="3" max="60" man="1"/>
      </colBreaks>
      <pageMargins left="0.75" right="0.4" top="0.3" bottom="0.3" header="0" footer="0"/>
      <printOptions horizontalCentered="1" verticalCentered="1"/>
      <pageSetup scale="67" fitToWidth="2" orientation="portrait" r:id="rId7"/>
      <headerFooter alignWithMargins="0"/>
    </customSheetView>
    <customSheetView guid="{1C046605-15CE-44F1-BFCD-2CA8588E7ACF}" scale="60" colorId="22" showPageBreaks="1" printArea="1" view="pageBreakPreview" showRuler="0">
      <selection activeCell="C104" sqref="C104"/>
      <colBreaks count="1" manualBreakCount="1">
        <brk id="3" max="60" man="1"/>
      </colBreaks>
      <pageMargins left="0.75" right="0.4" top="0.3" bottom="0.3" header="0" footer="0"/>
      <printOptions horizontalCentered="1" verticalCentered="1"/>
      <pageSetup scale="67" fitToWidth="2" orientation="portrait" r:id="rId8"/>
      <headerFooter alignWithMargins="0"/>
    </customSheetView>
    <customSheetView guid="{3911D713-188C-46A1-A299-F21DD3B7A146}" scale="60" colorId="22" showPageBreaks="1" printArea="1" view="pageBreakPreview" showRuler="0">
      <selection activeCell="C104" sqref="C104"/>
      <colBreaks count="1" manualBreakCount="1">
        <brk id="3" max="60" man="1"/>
      </colBreaks>
      <pageMargins left="0.75" right="0.4" top="0.3" bottom="0.3" header="0" footer="0"/>
      <printOptions horizontalCentered="1" verticalCentered="1"/>
      <pageSetup scale="67" fitToWidth="2" orientation="portrait" r:id="rId9"/>
      <headerFooter alignWithMargins="0"/>
    </customSheetView>
    <customSheetView guid="{78BB1E60-60BE-4F56-9763-075185EFEFAB}" scale="60" colorId="22" showPageBreaks="1" printArea="1" view="pageBreakPreview">
      <selection activeCell="A2" sqref="A2"/>
      <colBreaks count="1" manualBreakCount="1">
        <brk id="3" max="60" man="1"/>
      </colBreaks>
      <pageMargins left="0.75" right="0.4" top="0.3" bottom="0.3" header="0" footer="0"/>
      <printOptions horizontalCentered="1" verticalCentered="1"/>
      <pageSetup scale="67" fitToWidth="2" orientation="portrait" r:id="rId10"/>
      <headerFooter alignWithMargins="0"/>
    </customSheetView>
    <customSheetView guid="{9C30803E-1E2D-4850-B0A5-591CA6F246A1}" scale="60" colorId="22" showPageBreaks="1" printArea="1" view="pageBreakPreview">
      <selection activeCell="A2" sqref="A2"/>
      <colBreaks count="1" manualBreakCount="1">
        <brk id="3" max="60" man="1"/>
      </colBreaks>
      <pageMargins left="0.75" right="0.4" top="0.3" bottom="0.3" header="0" footer="0"/>
      <printOptions horizontalCentered="1" verticalCentered="1"/>
      <pageSetup scale="67" fitToWidth="2" orientation="portrait" r:id="rId11"/>
      <headerFooter alignWithMargins="0"/>
    </customSheetView>
    <customSheetView guid="{3B1006FF-A2CA-49E7-9B25-DAC8815279AF}" scale="60" colorId="22" showPageBreaks="1" printArea="1" view="pageBreakPreview">
      <selection activeCell="A2" sqref="A2"/>
      <colBreaks count="1" manualBreakCount="1">
        <brk id="3" max="60" man="1"/>
      </colBreaks>
      <pageMargins left="0.75" right="0.4" top="0.3" bottom="0.3" header="0" footer="0"/>
      <printOptions horizontalCentered="1" verticalCentered="1"/>
      <pageSetup scale="67" fitToWidth="2" orientation="portrait" r:id="rId12"/>
      <headerFooter alignWithMargins="0"/>
    </customSheetView>
    <customSheetView guid="{FB1A60C8-E1F9-4DF0-8E0E-1C965F86027F}" scale="60" colorId="22" showPageBreaks="1" printArea="1" view="pageBreakPreview">
      <selection activeCell="A2" sqref="A2"/>
      <colBreaks count="1" manualBreakCount="1">
        <brk id="3" max="60" man="1"/>
      </colBreaks>
      <pageMargins left="0.75" right="0.4" top="0.3" bottom="0.3" header="0" footer="0"/>
      <printOptions horizontalCentered="1" verticalCentered="1"/>
      <pageSetup scale="67" fitToWidth="2" orientation="portrait" r:id="rId13"/>
      <headerFooter alignWithMargins="0"/>
    </customSheetView>
    <customSheetView guid="{C5B6D812-CBE6-46AA-99F7-02494E9802B4}" scale="70" colorId="22" showPageBreaks="1" printArea="1" view="pageBreakPreview">
      <selection activeCell="K10" sqref="K10"/>
      <colBreaks count="1" manualBreakCount="1">
        <brk id="3" max="60" man="1"/>
      </colBreaks>
      <pageMargins left="0.75" right="0.4" top="0.3" bottom="0.3" header="0" footer="0"/>
      <printOptions horizontalCentered="1" verticalCentered="1"/>
      <pageSetup scale="67" fitToWidth="2" orientation="portrait" r:id="rId14"/>
      <headerFooter alignWithMargins="0"/>
    </customSheetView>
  </customSheetViews>
  <mergeCells count="34">
    <mergeCell ref="B50:C50"/>
    <mergeCell ref="E33:K33"/>
    <mergeCell ref="E47:K47"/>
    <mergeCell ref="E48:K48"/>
    <mergeCell ref="B47:C47"/>
    <mergeCell ref="B48:C48"/>
    <mergeCell ref="B44:C44"/>
    <mergeCell ref="B45:C45"/>
    <mergeCell ref="E46:K46"/>
    <mergeCell ref="B49:C49"/>
    <mergeCell ref="B37:C37"/>
    <mergeCell ref="B38:C38"/>
    <mergeCell ref="B39:C39"/>
    <mergeCell ref="B41:C41"/>
    <mergeCell ref="B32:C32"/>
    <mergeCell ref="B33:C33"/>
    <mergeCell ref="B34:C34"/>
    <mergeCell ref="B35:C35"/>
    <mergeCell ref="B25:C25"/>
    <mergeCell ref="B28:C28"/>
    <mergeCell ref="B29:C29"/>
    <mergeCell ref="B30:C30"/>
    <mergeCell ref="B17:C17"/>
    <mergeCell ref="B18:C18"/>
    <mergeCell ref="B21:C21"/>
    <mergeCell ref="B24:C24"/>
    <mergeCell ref="B5:C5"/>
    <mergeCell ref="B6:C6"/>
    <mergeCell ref="B7:C7"/>
    <mergeCell ref="B15:C15"/>
    <mergeCell ref="B9:C9"/>
    <mergeCell ref="B8:C8"/>
    <mergeCell ref="B12:C12"/>
    <mergeCell ref="B14:C14"/>
  </mergeCells>
  <phoneticPr fontId="0" type="noConversion"/>
  <printOptions horizontalCentered="1" verticalCentered="1"/>
  <pageMargins left="0.75" right="0.4" top="0.3" bottom="0.3" header="0" footer="0"/>
  <pageSetup scale="67" fitToWidth="2" orientation="portrait" r:id="rId15"/>
  <headerFooter alignWithMargins="0"/>
  <colBreaks count="1" manualBreakCount="1">
    <brk id="3" max="60" man="1"/>
  </colBreaks>
  <customProperties>
    <customPr name="_pios_id" r:id="rId16"/>
  </customProperties>
</worksheet>
</file>

<file path=xl/worksheets/sheet68.xml><?xml version="1.0" encoding="utf-8"?>
<worksheet xmlns="http://schemas.openxmlformats.org/spreadsheetml/2006/main" xmlns:r="http://schemas.openxmlformats.org/officeDocument/2006/relationships">
  <sheetPr transitionEvaluation="1" codeName="Sheet67" enableFormatConditionsCalculation="0">
    <pageSetUpPr fitToPage="1"/>
  </sheetPr>
  <dimension ref="A1:C71"/>
  <sheetViews>
    <sheetView defaultGridColor="0" colorId="22" zoomScale="87" zoomScaleNormal="87" zoomScaleSheetLayoutView="70" workbookViewId="0"/>
  </sheetViews>
  <sheetFormatPr defaultColWidth="9.77734375" defaultRowHeight="15"/>
  <cols>
    <col min="1" max="1" width="4.77734375" customWidth="1"/>
    <col min="2" max="2" width="53.21875" customWidth="1"/>
    <col min="3" max="3" width="49.44140625" customWidth="1"/>
  </cols>
  <sheetData>
    <row r="1" spans="1:3" ht="15.75" thickBot="1">
      <c r="A1" s="186" t="str">
        <f>'Data sheet'!$A$59</f>
        <v>Annual Report of New York American Water Company, Inc. (f/k/a Long Island Water Corp)                                   Year Ended  December 31, 2013</v>
      </c>
    </row>
    <row r="2" spans="1:3">
      <c r="A2" s="2700"/>
      <c r="B2" s="2701"/>
      <c r="C2" s="2702"/>
    </row>
    <row r="3" spans="1:3" ht="18">
      <c r="A3" s="2703" t="s">
        <v>3467</v>
      </c>
      <c r="B3" s="2704"/>
      <c r="C3" s="2705"/>
    </row>
    <row r="4" spans="1:3">
      <c r="A4" s="2706"/>
      <c r="B4" s="1084"/>
      <c r="C4" s="2707"/>
    </row>
    <row r="5" spans="1:3">
      <c r="A5" s="2708" t="s">
        <v>479</v>
      </c>
      <c r="B5" s="1084" t="s">
        <v>3468</v>
      </c>
      <c r="C5" s="2707"/>
    </row>
    <row r="6" spans="1:3">
      <c r="A6" s="2706"/>
      <c r="B6" s="1084" t="s">
        <v>436</v>
      </c>
      <c r="C6" s="2707"/>
    </row>
    <row r="7" spans="1:3">
      <c r="A7" s="2706"/>
      <c r="B7" s="1084" t="s">
        <v>437</v>
      </c>
      <c r="C7" s="2707"/>
    </row>
    <row r="8" spans="1:3">
      <c r="A8" s="2706"/>
      <c r="B8" s="1084" t="s">
        <v>1068</v>
      </c>
      <c r="C8" s="2707"/>
    </row>
    <row r="9" spans="1:3">
      <c r="A9" s="2706"/>
      <c r="B9" s="1084" t="s">
        <v>1144</v>
      </c>
      <c r="C9" s="2707"/>
    </row>
    <row r="10" spans="1:3">
      <c r="A10" s="2706"/>
      <c r="B10" s="1084" t="s">
        <v>2355</v>
      </c>
      <c r="C10" s="2707"/>
    </row>
    <row r="11" spans="1:3">
      <c r="A11" s="2706"/>
      <c r="B11" s="1084" t="s">
        <v>4323</v>
      </c>
      <c r="C11" s="2707"/>
    </row>
    <row r="12" spans="1:3">
      <c r="A12" s="2706"/>
      <c r="B12" s="1084" t="s">
        <v>4324</v>
      </c>
      <c r="C12" s="2707"/>
    </row>
    <row r="13" spans="1:3">
      <c r="A13" s="2708" t="s">
        <v>2916</v>
      </c>
      <c r="B13" s="1084" t="s">
        <v>4325</v>
      </c>
      <c r="C13" s="2707"/>
    </row>
    <row r="14" spans="1:3">
      <c r="A14" s="2708" t="s">
        <v>3164</v>
      </c>
      <c r="B14" s="1084" t="s">
        <v>4326</v>
      </c>
      <c r="C14" s="2707"/>
    </row>
    <row r="15" spans="1:3">
      <c r="A15" s="2706"/>
      <c r="B15" s="1084" t="s">
        <v>4327</v>
      </c>
      <c r="C15" s="2707"/>
    </row>
    <row r="16" spans="1:3">
      <c r="A16" s="2708" t="s">
        <v>2630</v>
      </c>
      <c r="B16" s="1084" t="s">
        <v>4328</v>
      </c>
      <c r="C16" s="2707"/>
    </row>
    <row r="17" spans="1:3">
      <c r="A17" s="2706"/>
      <c r="B17" s="1084" t="s">
        <v>1742</v>
      </c>
      <c r="C17" s="2707"/>
    </row>
    <row r="18" spans="1:3">
      <c r="A18" s="2708" t="s">
        <v>1075</v>
      </c>
      <c r="B18" s="1084" t="s">
        <v>1743</v>
      </c>
      <c r="C18" s="2707"/>
    </row>
    <row r="19" spans="1:3">
      <c r="A19" s="2706"/>
      <c r="B19" s="1084" t="s">
        <v>1746</v>
      </c>
      <c r="C19" s="2707"/>
    </row>
    <row r="20" spans="1:3">
      <c r="A20" s="2706"/>
      <c r="B20" s="1084" t="s">
        <v>2608</v>
      </c>
      <c r="C20" s="2707"/>
    </row>
    <row r="21" spans="1:3">
      <c r="A21" s="2706"/>
      <c r="B21" s="1084" t="s">
        <v>2609</v>
      </c>
      <c r="C21" s="2707"/>
    </row>
    <row r="22" spans="1:3">
      <c r="A22" s="2708" t="s">
        <v>520</v>
      </c>
      <c r="B22" s="1084" t="s">
        <v>214</v>
      </c>
      <c r="C22" s="2707"/>
    </row>
    <row r="23" spans="1:3">
      <c r="A23" s="2706"/>
      <c r="B23" s="1084" t="s">
        <v>215</v>
      </c>
      <c r="C23" s="2707"/>
    </row>
    <row r="24" spans="1:3">
      <c r="A24" s="2708" t="s">
        <v>2705</v>
      </c>
      <c r="B24" s="1084" t="s">
        <v>246</v>
      </c>
      <c r="C24" s="2707"/>
    </row>
    <row r="25" spans="1:3">
      <c r="A25" s="2706"/>
      <c r="B25" s="1084" t="s">
        <v>247</v>
      </c>
      <c r="C25" s="2707"/>
    </row>
    <row r="26" spans="1:3">
      <c r="A26" s="2708" t="s">
        <v>3309</v>
      </c>
      <c r="B26" s="1084" t="s">
        <v>1906</v>
      </c>
      <c r="C26" s="2707"/>
    </row>
    <row r="27" spans="1:3">
      <c r="A27" s="2706"/>
      <c r="B27" s="1084" t="s">
        <v>4396</v>
      </c>
      <c r="C27" s="2707"/>
    </row>
    <row r="28" spans="1:3">
      <c r="A28" s="2706"/>
      <c r="B28" s="1084" t="s">
        <v>3194</v>
      </c>
      <c r="C28" s="2707"/>
    </row>
    <row r="29" spans="1:3">
      <c r="A29" s="2706"/>
      <c r="B29" s="1084" t="s">
        <v>3195</v>
      </c>
      <c r="C29" s="2707"/>
    </row>
    <row r="30" spans="1:3">
      <c r="A30" s="2708" t="s">
        <v>3942</v>
      </c>
      <c r="B30" s="1084" t="s">
        <v>3460</v>
      </c>
      <c r="C30" s="2707"/>
    </row>
    <row r="31" spans="1:3">
      <c r="A31" s="2708" t="s">
        <v>3639</v>
      </c>
      <c r="B31" s="1084" t="s">
        <v>4265</v>
      </c>
      <c r="C31" s="2707"/>
    </row>
    <row r="32" spans="1:3">
      <c r="A32" s="2708" t="s">
        <v>3863</v>
      </c>
      <c r="B32" s="1084" t="s">
        <v>16</v>
      </c>
      <c r="C32" s="2707"/>
    </row>
    <row r="33" spans="1:3">
      <c r="A33" s="2706"/>
      <c r="B33" s="1084" t="s">
        <v>2710</v>
      </c>
      <c r="C33" s="2707"/>
    </row>
    <row r="34" spans="1:3">
      <c r="A34" s="2706"/>
      <c r="B34" s="1084" t="s">
        <v>2711</v>
      </c>
      <c r="C34" s="2707"/>
    </row>
    <row r="35" spans="1:3">
      <c r="A35" s="2708" t="s">
        <v>4408</v>
      </c>
      <c r="B35" s="1084" t="s">
        <v>1273</v>
      </c>
      <c r="C35" s="2707"/>
    </row>
    <row r="36" spans="1:3">
      <c r="A36" s="2709"/>
      <c r="B36" s="293" t="s">
        <v>1274</v>
      </c>
      <c r="C36" s="2710"/>
    </row>
    <row r="37" spans="1:3">
      <c r="A37" s="2706"/>
      <c r="B37" s="1084" t="s">
        <v>794</v>
      </c>
      <c r="C37" s="2707"/>
    </row>
    <row r="38" spans="1:3">
      <c r="A38" s="2706"/>
      <c r="B38" s="1084" t="s">
        <v>3256</v>
      </c>
      <c r="C38" s="2707"/>
    </row>
    <row r="39" spans="1:3">
      <c r="A39" s="2706"/>
      <c r="B39" s="1084" t="s">
        <v>3257</v>
      </c>
      <c r="C39" s="2707"/>
    </row>
    <row r="40" spans="1:3">
      <c r="A40" s="2711"/>
      <c r="B40" s="1582"/>
      <c r="C40" s="2712"/>
    </row>
    <row r="41" spans="1:3">
      <c r="A41" s="2711"/>
      <c r="B41" s="1582"/>
      <c r="C41" s="2712"/>
    </row>
    <row r="42" spans="1:3">
      <c r="A42" s="2711"/>
      <c r="B42" s="1582"/>
      <c r="C42" s="2712"/>
    </row>
    <row r="43" spans="1:3">
      <c r="A43" s="2711"/>
      <c r="B43" s="1582"/>
      <c r="C43" s="2712"/>
    </row>
    <row r="44" spans="1:3">
      <c r="A44" s="2711"/>
      <c r="B44" s="1582"/>
      <c r="C44" s="2712"/>
    </row>
    <row r="45" spans="1:3">
      <c r="A45" s="2711"/>
      <c r="B45" s="1582"/>
      <c r="C45" s="2712"/>
    </row>
    <row r="46" spans="1:3">
      <c r="A46" s="2711"/>
      <c r="B46" s="1582"/>
      <c r="C46" s="2712"/>
    </row>
    <row r="47" spans="1:3">
      <c r="A47" s="2711"/>
      <c r="B47" s="1582"/>
      <c r="C47" s="2712"/>
    </row>
    <row r="48" spans="1:3">
      <c r="A48" s="2711"/>
      <c r="B48" s="1582"/>
      <c r="C48" s="2712"/>
    </row>
    <row r="49" spans="1:3">
      <c r="A49" s="2711"/>
      <c r="B49" s="1582"/>
      <c r="C49" s="2712"/>
    </row>
    <row r="50" spans="1:3">
      <c r="A50" s="2711"/>
      <c r="B50" s="1582"/>
      <c r="C50" s="2712"/>
    </row>
    <row r="51" spans="1:3">
      <c r="A51" s="2711"/>
      <c r="B51" s="1582"/>
      <c r="C51" s="2712"/>
    </row>
    <row r="52" spans="1:3">
      <c r="A52" s="2711"/>
      <c r="B52" s="1582"/>
      <c r="C52" s="2712"/>
    </row>
    <row r="53" spans="1:3">
      <c r="A53" s="2711"/>
      <c r="B53" s="1582"/>
      <c r="C53" s="2712"/>
    </row>
    <row r="54" spans="1:3">
      <c r="A54" s="2711"/>
      <c r="B54" s="1582"/>
      <c r="C54" s="2712"/>
    </row>
    <row r="55" spans="1:3">
      <c r="A55" s="2711"/>
      <c r="B55" s="1582"/>
      <c r="C55" s="2712"/>
    </row>
    <row r="56" spans="1:3">
      <c r="A56" s="2711"/>
      <c r="B56" s="1582"/>
      <c r="C56" s="2712"/>
    </row>
    <row r="57" spans="1:3">
      <c r="A57" s="2711"/>
      <c r="B57" s="1582"/>
      <c r="C57" s="2712"/>
    </row>
    <row r="58" spans="1:3" ht="15.75" thickBot="1">
      <c r="A58" s="2713"/>
      <c r="B58" s="2714"/>
      <c r="C58" s="2715"/>
    </row>
    <row r="59" spans="1:3">
      <c r="A59" s="11"/>
      <c r="B59" s="11"/>
      <c r="C59" s="1388" t="s">
        <v>4066</v>
      </c>
    </row>
    <row r="60" spans="1:3">
      <c r="A60" s="131" t="s">
        <v>3258</v>
      </c>
      <c r="B60" s="131"/>
      <c r="C60" s="131"/>
    </row>
    <row r="64" spans="1:3">
      <c r="A64" s="1621"/>
    </row>
    <row r="65" spans="1:2">
      <c r="A65" s="11"/>
      <c r="B65" s="119"/>
    </row>
    <row r="68" spans="1:2">
      <c r="A68" s="11"/>
      <c r="B68" s="119"/>
    </row>
    <row r="69" spans="1:2">
      <c r="A69" s="11"/>
      <c r="B69" s="119"/>
    </row>
    <row r="70" spans="1:2">
      <c r="A70" s="11"/>
      <c r="B70" s="119"/>
    </row>
    <row r="71" spans="1:2">
      <c r="A71" s="11"/>
      <c r="B71" s="119"/>
    </row>
  </sheetData>
  <customSheetViews>
    <customSheetView guid="{1BA452AD-1A45-4D9C-9666-ADFFA6F2F567}" scale="60" colorId="22" showPageBreaks="1" fitToPage="1" printArea="1" view="pageBreakPreview">
      <selection activeCell="C57" sqref="C57"/>
      <pageMargins left="0.75" right="0.4" top="0.3" bottom="0.3" header="0" footer="0"/>
      <printOptions horizontalCentered="1" verticalCentered="1"/>
      <pageSetup scale="67" orientation="portrait" r:id="rId1"/>
      <headerFooter alignWithMargins="0"/>
    </customSheetView>
    <customSheetView guid="{EEF7ABD6-0F96-4791-B749-C06F707E7673}" scale="60" colorId="22" showPageBreaks="1" fitToPage="1" printArea="1" view="pageBreakPreview" showRuler="0">
      <selection activeCell="C104" sqref="C104"/>
      <pageMargins left="0.75" right="0.4" top="0.3" bottom="0.3" header="0" footer="0"/>
      <printOptions horizontalCentered="1" verticalCentered="1"/>
      <pageSetup scale="67" orientation="portrait" r:id="rId2"/>
      <headerFooter alignWithMargins="0"/>
    </customSheetView>
    <customSheetView guid="{A7D7DB3C-AFE6-468E-8C6B-9531F6711497}" scale="87" colorId="22" fitToPage="1" showRuler="0">
      <selection activeCell="C26" sqref="C26"/>
      <pageMargins left="0.75" right="0.4" top="0.3" bottom="0.3" header="0" footer="0"/>
      <printOptions horizontalCentered="1" verticalCentered="1"/>
      <pageSetup scale="73" orientation="portrait" r:id="rId3"/>
      <headerFooter alignWithMargins="0"/>
    </customSheetView>
    <customSheetView guid="{4436FEB5-BFEC-4348-9286-CB706802873E}" scale="87" colorId="22" fitToPage="1" showRuler="0">
      <selection activeCell="C26" sqref="C26"/>
      <pageMargins left="0.75" right="0.4" top="0.3" bottom="0.3" header="0" footer="0"/>
      <printOptions horizontalCentered="1" verticalCentered="1"/>
      <pageSetup scale="73" orientation="portrait" r:id="rId4"/>
      <headerFooter alignWithMargins="0"/>
    </customSheetView>
    <customSheetView guid="{044CF00C-469F-44B3-B2C4-9B4049CE70CB}" scale="87" colorId="22" fitToPage="1" showRuler="0">
      <selection sqref="A1:IV65536"/>
      <pageMargins left="0.75" right="0.4" top="0.3" bottom="0.3" header="0" footer="0"/>
      <printOptions horizontalCentered="1" verticalCentered="1"/>
      <pageSetup scale="73" orientation="portrait" r:id="rId5"/>
      <headerFooter alignWithMargins="0"/>
    </customSheetView>
    <customSheetView guid="{4826FCC0-BDD6-4B2C-ACC6-ACE271DDF0E3}" scale="60" colorId="22" showPageBreaks="1" fitToPage="1" printArea="1" view="pageBreakPreview" showRuler="0">
      <selection activeCell="C104" sqref="C104"/>
      <pageMargins left="0.75" right="0.4" top="0.3" bottom="0.3" header="0" footer="0"/>
      <printOptions horizontalCentered="1" verticalCentered="1"/>
      <pageSetup scale="67" orientation="portrait" r:id="rId6"/>
      <headerFooter alignWithMargins="0"/>
    </customSheetView>
    <customSheetView guid="{EF376D10-23D6-4FE2-AB5B-4460D52CC93F}" scale="60" colorId="22" showPageBreaks="1" fitToPage="1" printArea="1" view="pageBreakPreview" showRuler="0">
      <selection activeCell="C104" sqref="C104"/>
      <pageMargins left="0.75" right="0.4" top="0.3" bottom="0.3" header="0" footer="0"/>
      <printOptions horizontalCentered="1" verticalCentered="1"/>
      <pageSetup scale="67" orientation="portrait" r:id="rId7"/>
      <headerFooter alignWithMargins="0"/>
    </customSheetView>
    <customSheetView guid="{1C046605-15CE-44F1-BFCD-2CA8588E7ACF}" scale="60" colorId="22" showPageBreaks="1" fitToPage="1" printArea="1" view="pageBreakPreview" showRuler="0">
      <selection activeCell="C104" sqref="C104"/>
      <pageMargins left="0.75" right="0.4" top="0.3" bottom="0.3" header="0" footer="0"/>
      <printOptions horizontalCentered="1" verticalCentered="1"/>
      <pageSetup scale="67" orientation="portrait" r:id="rId8"/>
      <headerFooter alignWithMargins="0"/>
    </customSheetView>
    <customSheetView guid="{3911D713-188C-46A1-A299-F21DD3B7A146}" scale="60" colorId="22" showPageBreaks="1" fitToPage="1" printArea="1" view="pageBreakPreview" showRuler="0">
      <selection activeCell="C104" sqref="C104"/>
      <pageMargins left="0.75" right="0.4" top="0.3" bottom="0.3" header="0" footer="0"/>
      <printOptions horizontalCentered="1" verticalCentered="1"/>
      <pageSetup scale="67" orientation="portrait" r:id="rId9"/>
      <headerFooter alignWithMargins="0"/>
    </customSheetView>
    <customSheetView guid="{78BB1E60-60BE-4F56-9763-075185EFEFAB}" scale="60" colorId="22" showPageBreaks="1" fitToPage="1" printArea="1" view="pageBreakPreview">
      <selection activeCell="F17" sqref="F17"/>
      <pageMargins left="0.75" right="0.4" top="0.3" bottom="0.3" header="0" footer="0"/>
      <printOptions horizontalCentered="1" verticalCentered="1"/>
      <pageSetup scale="67" orientation="portrait" r:id="rId10"/>
      <headerFooter alignWithMargins="0"/>
    </customSheetView>
    <customSheetView guid="{9C30803E-1E2D-4850-B0A5-591CA6F246A1}" scale="60" colorId="22" showPageBreaks="1" fitToPage="1" printArea="1" view="pageBreakPreview">
      <selection activeCell="F17" sqref="F17"/>
      <pageMargins left="0.75" right="0.4" top="0.3" bottom="0.3" header="0" footer="0"/>
      <printOptions horizontalCentered="1" verticalCentered="1"/>
      <pageSetup scale="67" orientation="portrait" r:id="rId11"/>
      <headerFooter alignWithMargins="0"/>
    </customSheetView>
    <customSheetView guid="{3B1006FF-A2CA-49E7-9B25-DAC8815279AF}" scale="60" colorId="22" showPageBreaks="1" fitToPage="1" printArea="1" view="pageBreakPreview">
      <selection activeCell="F17" sqref="F17"/>
      <pageMargins left="0.75" right="0.4" top="0.3" bottom="0.3" header="0" footer="0"/>
      <printOptions horizontalCentered="1" verticalCentered="1"/>
      <pageSetup scale="67" orientation="portrait" r:id="rId12"/>
      <headerFooter alignWithMargins="0"/>
    </customSheetView>
    <customSheetView guid="{FB1A60C8-E1F9-4DF0-8E0E-1C965F86027F}" scale="60" colorId="22" showPageBreaks="1" fitToPage="1" printArea="1" view="pageBreakPreview">
      <selection activeCell="F17" sqref="F17"/>
      <pageMargins left="0.75" right="0.4" top="0.3" bottom="0.3" header="0" footer="0"/>
      <printOptions horizontalCentered="1" verticalCentered="1"/>
      <pageSetup scale="67" orientation="portrait" r:id="rId13"/>
      <headerFooter alignWithMargins="0"/>
    </customSheetView>
    <customSheetView guid="{C5B6D812-CBE6-46AA-99F7-02494E9802B4}" scale="70" colorId="22" showPageBreaks="1" fitToPage="1" printArea="1" view="pageBreakPreview" topLeftCell="A10">
      <selection activeCell="C10" sqref="C10"/>
      <pageMargins left="0.75" right="0.4" top="0.3" bottom="0.3" header="0" footer="0"/>
      <printOptions horizontalCentered="1" verticalCentered="1"/>
      <pageSetup scale="67" orientation="portrait" r:id="rId14"/>
      <headerFooter alignWithMargins="0"/>
    </customSheetView>
  </customSheetViews>
  <phoneticPr fontId="0" type="noConversion"/>
  <printOptions horizontalCentered="1" verticalCentered="1"/>
  <pageMargins left="0.75" right="0.4" top="0.3" bottom="0.3" header="0" footer="0"/>
  <pageSetup scale="67" orientation="portrait" r:id="rId15"/>
  <headerFooter alignWithMargins="0"/>
  <customProperties>
    <customPr name="_pios_id" r:id="rId16"/>
  </customProperties>
</worksheet>
</file>

<file path=xl/worksheets/sheet69.xml><?xml version="1.0" encoding="utf-8"?>
<worksheet xmlns="http://schemas.openxmlformats.org/spreadsheetml/2006/main" xmlns:r="http://schemas.openxmlformats.org/officeDocument/2006/relationships">
  <sheetPr transitionEvaluation="1" codeName="Sheet68" enableFormatConditionsCalculation="0">
    <pageSetUpPr fitToPage="1"/>
  </sheetPr>
  <dimension ref="A1:I74"/>
  <sheetViews>
    <sheetView defaultGridColor="0" colorId="22" zoomScale="87" zoomScaleNormal="87" zoomScaleSheetLayoutView="70" workbookViewId="0">
      <selection activeCell="A2" sqref="A2"/>
    </sheetView>
  </sheetViews>
  <sheetFormatPr defaultColWidth="9.77734375" defaultRowHeight="15"/>
  <cols>
    <col min="1" max="1" width="4.77734375" customWidth="1"/>
    <col min="2" max="2" width="1.77734375" customWidth="1"/>
    <col min="3" max="3" width="60.77734375" customWidth="1"/>
    <col min="4" max="4" width="20.77734375" customWidth="1"/>
    <col min="5" max="5" width="2.77734375" customWidth="1"/>
    <col min="6" max="6" width="18.77734375" customWidth="1"/>
    <col min="7" max="7" width="1.77734375" customWidth="1"/>
  </cols>
  <sheetData>
    <row r="1" spans="1:8" ht="15.75" thickBot="1">
      <c r="A1" s="186" t="s">
        <v>5346</v>
      </c>
      <c r="B1" s="249"/>
      <c r="C1" s="249"/>
      <c r="D1" s="249"/>
      <c r="E1" s="249"/>
      <c r="F1" s="249"/>
      <c r="G1" s="249"/>
    </row>
    <row r="2" spans="1:8">
      <c r="A2" s="232"/>
      <c r="B2" s="245"/>
      <c r="C2" s="245"/>
      <c r="D2" s="245"/>
      <c r="E2" s="245"/>
      <c r="F2" s="245"/>
      <c r="G2" s="234"/>
    </row>
    <row r="3" spans="1:8" ht="18">
      <c r="A3" s="1389" t="s">
        <v>3259</v>
      </c>
      <c r="B3" s="8"/>
      <c r="C3" s="1390"/>
      <c r="D3" s="1390"/>
      <c r="E3" s="8"/>
      <c r="F3" s="8"/>
      <c r="G3" s="236"/>
    </row>
    <row r="4" spans="1:8">
      <c r="A4" s="748"/>
      <c r="B4" s="249"/>
      <c r="C4" s="249"/>
      <c r="D4" s="249"/>
      <c r="E4" s="249"/>
      <c r="F4" s="249"/>
      <c r="G4" s="250"/>
    </row>
    <row r="5" spans="1:8">
      <c r="A5" s="265"/>
      <c r="E5" s="637"/>
      <c r="F5" s="643" t="s">
        <v>3323</v>
      </c>
      <c r="G5" s="237"/>
    </row>
    <row r="6" spans="1:8">
      <c r="A6" s="752" t="s">
        <v>1129</v>
      </c>
      <c r="B6" s="637"/>
      <c r="C6" s="643" t="s">
        <v>429</v>
      </c>
      <c r="E6" s="637"/>
      <c r="F6" s="643" t="s">
        <v>3260</v>
      </c>
      <c r="G6" s="237"/>
    </row>
    <row r="7" spans="1:8">
      <c r="A7" s="636" t="s">
        <v>3324</v>
      </c>
      <c r="B7" s="1371"/>
      <c r="C7" s="791" t="s">
        <v>4032</v>
      </c>
      <c r="D7" s="249"/>
      <c r="E7" s="1371"/>
      <c r="F7" s="791" t="s">
        <v>4033</v>
      </c>
      <c r="G7" s="250"/>
    </row>
    <row r="8" spans="1:8" ht="18">
      <c r="A8" s="240"/>
      <c r="B8" s="637"/>
      <c r="C8" s="1391" t="s">
        <v>3261</v>
      </c>
      <c r="D8" s="1378"/>
      <c r="E8" s="637"/>
      <c r="G8" s="237"/>
    </row>
    <row r="9" spans="1:8">
      <c r="A9" s="240"/>
      <c r="B9" s="637"/>
      <c r="C9" t="s">
        <v>3262</v>
      </c>
      <c r="E9" s="637"/>
      <c r="G9" s="237"/>
    </row>
    <row r="10" spans="1:8">
      <c r="A10" s="635" t="s">
        <v>2699</v>
      </c>
      <c r="B10" s="637"/>
      <c r="C10" t="s">
        <v>4348</v>
      </c>
      <c r="E10" s="833" t="s">
        <v>2485</v>
      </c>
      <c r="F10" s="1868">
        <v>0</v>
      </c>
      <c r="G10" s="237"/>
    </row>
    <row r="11" spans="1:8">
      <c r="A11" s="635" t="s">
        <v>2700</v>
      </c>
      <c r="B11" s="637"/>
      <c r="C11" t="s">
        <v>4015</v>
      </c>
      <c r="E11" s="833" t="s">
        <v>2485</v>
      </c>
      <c r="F11" s="1868">
        <v>0</v>
      </c>
      <c r="G11" s="237"/>
    </row>
    <row r="12" spans="1:8">
      <c r="A12" s="635" t="s">
        <v>2701</v>
      </c>
      <c r="B12" s="637"/>
      <c r="C12" t="s">
        <v>4016</v>
      </c>
      <c r="E12" s="833" t="s">
        <v>2485</v>
      </c>
      <c r="F12" s="1868">
        <v>0</v>
      </c>
      <c r="G12" s="237"/>
      <c r="H12" s="1029"/>
    </row>
    <row r="13" spans="1:8">
      <c r="A13" s="635" t="s">
        <v>2702</v>
      </c>
      <c r="B13" s="637"/>
      <c r="C13" t="s">
        <v>3888</v>
      </c>
      <c r="E13" s="833" t="s">
        <v>2485</v>
      </c>
      <c r="F13" s="1868">
        <v>0</v>
      </c>
      <c r="G13" s="237"/>
    </row>
    <row r="14" spans="1:8">
      <c r="A14" s="240"/>
      <c r="B14" s="637"/>
      <c r="C14" t="s">
        <v>3889</v>
      </c>
      <c r="E14" s="637"/>
      <c r="F14" s="1869"/>
      <c r="G14" s="237"/>
    </row>
    <row r="15" spans="1:8">
      <c r="A15" s="635" t="s">
        <v>2703</v>
      </c>
      <c r="B15" s="637"/>
      <c r="C15" t="s">
        <v>3890</v>
      </c>
      <c r="E15" s="833" t="s">
        <v>2485</v>
      </c>
      <c r="F15" s="1868"/>
      <c r="G15" s="237"/>
    </row>
    <row r="16" spans="1:8">
      <c r="A16" s="635" t="s">
        <v>2704</v>
      </c>
      <c r="B16" s="637"/>
      <c r="C16" t="s">
        <v>2059</v>
      </c>
      <c r="E16" s="833" t="s">
        <v>2485</v>
      </c>
      <c r="F16" s="1868"/>
      <c r="G16" s="237"/>
    </row>
    <row r="17" spans="1:7">
      <c r="A17" s="635" t="s">
        <v>2705</v>
      </c>
      <c r="B17" s="637"/>
      <c r="C17" t="s">
        <v>4317</v>
      </c>
      <c r="E17" s="833" t="s">
        <v>2485</v>
      </c>
      <c r="F17" s="1868"/>
      <c r="G17" s="237"/>
    </row>
    <row r="18" spans="1:7">
      <c r="A18" s="635" t="s">
        <v>2706</v>
      </c>
      <c r="B18" s="637"/>
      <c r="C18" t="s">
        <v>4164</v>
      </c>
      <c r="E18" s="833" t="s">
        <v>2485</v>
      </c>
      <c r="F18" s="1868">
        <v>0</v>
      </c>
      <c r="G18" s="237"/>
    </row>
    <row r="19" spans="1:7">
      <c r="A19" s="635" t="s">
        <v>2024</v>
      </c>
      <c r="B19" s="637"/>
      <c r="C19" t="s">
        <v>2943</v>
      </c>
      <c r="E19" s="833" t="s">
        <v>2485</v>
      </c>
      <c r="F19" s="1868">
        <v>0</v>
      </c>
      <c r="G19" s="237"/>
    </row>
    <row r="20" spans="1:7">
      <c r="A20" s="635" t="s">
        <v>2025</v>
      </c>
      <c r="B20" s="637"/>
      <c r="C20" t="s">
        <v>2945</v>
      </c>
      <c r="E20" s="833" t="s">
        <v>2485</v>
      </c>
      <c r="F20" s="1868">
        <v>0</v>
      </c>
      <c r="G20" s="237"/>
    </row>
    <row r="21" spans="1:7">
      <c r="A21" s="635" t="s">
        <v>2026</v>
      </c>
      <c r="B21" s="637"/>
      <c r="C21" t="s">
        <v>2155</v>
      </c>
      <c r="E21" s="833" t="s">
        <v>2485</v>
      </c>
      <c r="F21" s="1868"/>
      <c r="G21" s="237"/>
    </row>
    <row r="22" spans="1:7">
      <c r="A22" s="635" t="s">
        <v>2027</v>
      </c>
      <c r="B22" s="637"/>
      <c r="C22" t="s">
        <v>57</v>
      </c>
      <c r="E22" s="833" t="s">
        <v>2485</v>
      </c>
      <c r="F22" s="1868"/>
      <c r="G22" s="237"/>
    </row>
    <row r="23" spans="1:7">
      <c r="A23" s="635" t="s">
        <v>2028</v>
      </c>
      <c r="B23" s="637"/>
      <c r="C23" t="s">
        <v>58</v>
      </c>
      <c r="E23" s="637"/>
      <c r="F23" s="1870">
        <v>41639</v>
      </c>
      <c r="G23" s="237"/>
    </row>
    <row r="24" spans="1:7">
      <c r="A24" s="635" t="s">
        <v>2029</v>
      </c>
      <c r="B24" s="637"/>
      <c r="C24" t="s">
        <v>59</v>
      </c>
      <c r="E24" s="637"/>
      <c r="F24" s="1871">
        <v>0</v>
      </c>
      <c r="G24" s="237"/>
    </row>
    <row r="25" spans="1:7">
      <c r="A25" s="635" t="s">
        <v>2030</v>
      </c>
      <c r="B25" s="637"/>
      <c r="C25" t="s">
        <v>60</v>
      </c>
      <c r="E25" s="637"/>
      <c r="F25" s="1871">
        <v>0</v>
      </c>
      <c r="G25" s="237"/>
    </row>
    <row r="26" spans="1:7">
      <c r="A26" s="635" t="s">
        <v>4121</v>
      </c>
      <c r="B26" s="637"/>
      <c r="C26" t="s">
        <v>4461</v>
      </c>
      <c r="E26" s="637"/>
      <c r="F26" s="1871"/>
      <c r="G26" s="237"/>
    </row>
    <row r="27" spans="1:7">
      <c r="A27" s="635" t="s">
        <v>4122</v>
      </c>
      <c r="B27" s="637"/>
      <c r="C27" t="s">
        <v>3941</v>
      </c>
      <c r="E27" s="637"/>
      <c r="F27" s="1871">
        <v>0</v>
      </c>
      <c r="G27" s="237"/>
    </row>
    <row r="28" spans="1:7" ht="18">
      <c r="A28" s="240"/>
      <c r="B28" s="637"/>
      <c r="C28" s="1391" t="s">
        <v>1164</v>
      </c>
      <c r="D28" s="1378"/>
      <c r="E28" s="637"/>
      <c r="F28" s="1872"/>
      <c r="G28" s="237"/>
    </row>
    <row r="29" spans="1:7">
      <c r="A29" s="635" t="s">
        <v>4123</v>
      </c>
      <c r="B29" s="637"/>
      <c r="C29" t="s">
        <v>3878</v>
      </c>
      <c r="E29" s="833" t="s">
        <v>2485</v>
      </c>
      <c r="F29" s="1869">
        <v>0</v>
      </c>
      <c r="G29" s="237"/>
    </row>
    <row r="30" spans="1:7">
      <c r="A30" s="635" t="s">
        <v>749</v>
      </c>
      <c r="B30" s="637"/>
      <c r="C30" t="s">
        <v>3862</v>
      </c>
      <c r="E30" s="637"/>
      <c r="F30" s="1869">
        <v>0</v>
      </c>
      <c r="G30" s="237"/>
    </row>
    <row r="31" spans="1:7">
      <c r="A31" s="635" t="s">
        <v>750</v>
      </c>
      <c r="B31" s="637"/>
      <c r="C31" t="s">
        <v>678</v>
      </c>
      <c r="E31" s="637"/>
      <c r="F31" s="1869">
        <v>0</v>
      </c>
      <c r="G31" s="237"/>
    </row>
    <row r="32" spans="1:7">
      <c r="A32" s="635" t="s">
        <v>751</v>
      </c>
      <c r="B32" s="637"/>
      <c r="C32" t="s">
        <v>4407</v>
      </c>
      <c r="E32" s="637"/>
      <c r="F32" s="1869"/>
      <c r="G32" s="237"/>
    </row>
    <row r="33" spans="1:9">
      <c r="A33" s="635" t="s">
        <v>720</v>
      </c>
      <c r="B33" s="637"/>
      <c r="C33" t="s">
        <v>4410</v>
      </c>
      <c r="E33" s="637"/>
      <c r="F33" s="1869">
        <v>0</v>
      </c>
      <c r="G33" s="237"/>
    </row>
    <row r="34" spans="1:9">
      <c r="A34" s="635" t="s">
        <v>721</v>
      </c>
      <c r="B34" s="637"/>
      <c r="C34" t="s">
        <v>793</v>
      </c>
      <c r="E34" s="637"/>
      <c r="F34" s="1869">
        <v>0</v>
      </c>
      <c r="G34" s="237"/>
    </row>
    <row r="35" spans="1:9">
      <c r="A35" s="635" t="s">
        <v>722</v>
      </c>
      <c r="B35" s="637"/>
      <c r="C35" t="s">
        <v>1299</v>
      </c>
      <c r="E35" s="637"/>
      <c r="F35" s="1869">
        <v>0</v>
      </c>
      <c r="G35" s="237"/>
    </row>
    <row r="36" spans="1:9">
      <c r="A36" s="635" t="s">
        <v>723</v>
      </c>
      <c r="B36" s="637"/>
      <c r="C36" t="s">
        <v>2917</v>
      </c>
      <c r="E36" s="637"/>
      <c r="F36" s="1869">
        <v>0</v>
      </c>
      <c r="G36" s="237"/>
    </row>
    <row r="37" spans="1:9" ht="18">
      <c r="A37" s="636" t="s">
        <v>2589</v>
      </c>
      <c r="B37" s="1371"/>
      <c r="C37" s="1392" t="s">
        <v>2918</v>
      </c>
      <c r="D37" s="1393"/>
      <c r="E37" s="788" t="s">
        <v>2485</v>
      </c>
      <c r="F37" s="1394">
        <f>489450+38558</f>
        <v>528008</v>
      </c>
      <c r="G37" s="250"/>
      <c r="I37" s="230"/>
    </row>
    <row r="38" spans="1:9" ht="18">
      <c r="A38" s="240"/>
      <c r="B38" s="637"/>
      <c r="C38" s="1378"/>
      <c r="D38" s="1378"/>
      <c r="G38" s="237"/>
    </row>
    <row r="39" spans="1:9" ht="18">
      <c r="A39" s="240"/>
      <c r="B39" s="637"/>
      <c r="C39" s="1378" t="s">
        <v>3604</v>
      </c>
      <c r="D39" s="1378"/>
      <c r="G39" s="237"/>
    </row>
    <row r="40" spans="1:9" ht="18">
      <c r="A40" s="240"/>
      <c r="B40" s="637"/>
      <c r="C40" s="1378" t="s">
        <v>3605</v>
      </c>
      <c r="D40" s="1378"/>
      <c r="G40" s="237"/>
    </row>
    <row r="41" spans="1:9" ht="18">
      <c r="A41" s="240"/>
      <c r="B41" s="637"/>
      <c r="C41" s="1378" t="s">
        <v>5338</v>
      </c>
      <c r="D41" s="1378"/>
      <c r="G41" s="237"/>
    </row>
    <row r="42" spans="1:9" ht="18">
      <c r="A42" s="240"/>
      <c r="B42" s="637"/>
      <c r="C42" s="1378" t="s">
        <v>3822</v>
      </c>
      <c r="D42" s="1378"/>
      <c r="G42" s="237"/>
    </row>
    <row r="43" spans="1:9" ht="18">
      <c r="A43" s="240"/>
      <c r="B43" s="637"/>
      <c r="C43" s="1378" t="s">
        <v>3539</v>
      </c>
      <c r="D43" s="1378"/>
      <c r="G43" s="237"/>
    </row>
    <row r="44" spans="1:9" ht="18">
      <c r="A44" s="240"/>
      <c r="B44" s="637"/>
      <c r="C44" s="1378"/>
      <c r="D44" s="1378"/>
      <c r="G44" s="237"/>
    </row>
    <row r="45" spans="1:9" ht="18">
      <c r="A45" s="240"/>
      <c r="B45" s="637"/>
      <c r="C45" s="1378"/>
      <c r="D45" s="1378"/>
      <c r="G45" s="237"/>
    </row>
    <row r="46" spans="1:9" ht="18">
      <c r="A46" s="240"/>
      <c r="B46" s="637"/>
      <c r="C46" s="1378" t="s">
        <v>1616</v>
      </c>
      <c r="D46" s="1378"/>
      <c r="G46" s="237"/>
    </row>
    <row r="47" spans="1:9" ht="18">
      <c r="A47" s="240"/>
      <c r="B47" s="637"/>
      <c r="C47" s="1378" t="s">
        <v>1681</v>
      </c>
      <c r="D47" s="1378"/>
      <c r="G47" s="237"/>
    </row>
    <row r="48" spans="1:9" ht="18">
      <c r="A48" s="240"/>
      <c r="B48" s="637"/>
      <c r="C48" s="1378"/>
      <c r="D48" s="1378"/>
      <c r="G48" s="237"/>
    </row>
    <row r="49" spans="1:7" ht="18">
      <c r="A49" s="240"/>
      <c r="B49" s="637"/>
      <c r="C49" s="1378"/>
      <c r="D49" s="1378"/>
      <c r="G49" s="237"/>
    </row>
    <row r="50" spans="1:7" ht="18">
      <c r="A50" s="240"/>
      <c r="B50" s="637"/>
      <c r="C50" s="1378"/>
      <c r="D50" s="1378"/>
      <c r="G50" s="237"/>
    </row>
    <row r="51" spans="1:7" ht="18">
      <c r="A51" s="240"/>
      <c r="B51" s="637"/>
      <c r="C51" s="1378"/>
      <c r="D51" s="1378"/>
      <c r="G51" s="237"/>
    </row>
    <row r="52" spans="1:7" ht="18">
      <c r="A52" s="240"/>
      <c r="B52" s="637"/>
      <c r="C52" s="1378"/>
      <c r="D52" s="1378"/>
      <c r="G52" s="237"/>
    </row>
    <row r="53" spans="1:7" ht="18">
      <c r="A53" s="240"/>
      <c r="B53" s="637"/>
      <c r="C53" s="1378"/>
      <c r="D53" s="1378"/>
      <c r="G53" s="237"/>
    </row>
    <row r="54" spans="1:7" ht="18">
      <c r="A54" s="240"/>
      <c r="B54" s="637"/>
      <c r="C54" s="1378"/>
      <c r="D54" s="1378"/>
      <c r="G54" s="237"/>
    </row>
    <row r="55" spans="1:7" ht="18">
      <c r="A55" s="240"/>
      <c r="B55" s="637"/>
      <c r="C55" s="1378"/>
      <c r="D55" s="1378"/>
      <c r="G55" s="237"/>
    </row>
    <row r="56" spans="1:7" ht="18">
      <c r="A56" s="240"/>
      <c r="B56" s="637"/>
      <c r="C56" s="1378"/>
      <c r="D56" s="1378"/>
      <c r="G56" s="237"/>
    </row>
    <row r="57" spans="1:7" ht="18">
      <c r="A57" s="240"/>
      <c r="B57" s="637"/>
      <c r="C57" s="1378"/>
      <c r="D57" s="1378"/>
      <c r="G57" s="237"/>
    </row>
    <row r="58" spans="1:7" ht="18">
      <c r="A58" s="240"/>
      <c r="B58" s="637"/>
      <c r="C58" s="1378"/>
      <c r="D58" s="1378"/>
      <c r="G58" s="237"/>
    </row>
    <row r="59" spans="1:7" ht="18">
      <c r="A59" s="240"/>
      <c r="B59" s="637"/>
      <c r="C59" s="1378"/>
      <c r="D59" s="1378"/>
      <c r="G59" s="237"/>
    </row>
    <row r="60" spans="1:7" ht="18">
      <c r="A60" s="240"/>
      <c r="B60" s="637"/>
      <c r="C60" s="1378"/>
      <c r="D60" s="1378"/>
      <c r="G60" s="237"/>
    </row>
    <row r="61" spans="1:7" ht="18">
      <c r="A61" s="240"/>
      <c r="B61" s="637"/>
      <c r="C61" s="1378"/>
      <c r="D61" s="1378"/>
      <c r="G61" s="237"/>
    </row>
    <row r="62" spans="1:7" ht="18.75" thickBot="1">
      <c r="A62" s="241"/>
      <c r="B62" s="1395"/>
      <c r="C62" s="1396"/>
      <c r="D62" s="1396"/>
      <c r="E62" s="285"/>
      <c r="F62" s="285"/>
      <c r="G62" s="243"/>
    </row>
    <row r="63" spans="1:7">
      <c r="A63" t="s">
        <v>4066</v>
      </c>
    </row>
    <row r="64" spans="1:7">
      <c r="A64" s="8" t="s">
        <v>3472</v>
      </c>
      <c r="B64" s="8"/>
      <c r="C64" s="8"/>
      <c r="D64" s="8"/>
      <c r="E64" s="8"/>
      <c r="F64" s="8"/>
      <c r="G64" s="8"/>
    </row>
    <row r="68" spans="3:3">
      <c r="C68" s="260"/>
    </row>
    <row r="71" spans="3:3">
      <c r="C71" s="260"/>
    </row>
    <row r="72" spans="3:3">
      <c r="C72" s="260"/>
    </row>
    <row r="73" spans="3:3">
      <c r="C73" s="260"/>
    </row>
    <row r="74" spans="3:3">
      <c r="C74" s="260"/>
    </row>
  </sheetData>
  <customSheetViews>
    <customSheetView guid="{1BA452AD-1A45-4D9C-9666-ADFFA6F2F567}" scale="60" colorId="22" showPageBreaks="1" fitToPage="1" printArea="1" view="pageBreakPreview">
      <selection activeCell="J47" sqref="J47"/>
      <pageMargins left="0.75" right="0.4" top="0.3" bottom="0.3" header="0" footer="0"/>
      <printOptions horizontalCentered="1" verticalCentered="1"/>
      <pageSetup scale="70" orientation="portrait" r:id="rId1"/>
      <headerFooter alignWithMargins="0"/>
    </customSheetView>
    <customSheetView guid="{EEF7ABD6-0F96-4791-B749-C06F707E7673}" scale="60" colorId="22" showPageBreaks="1" fitToPage="1" printArea="1" view="pageBreakPreview" showRuler="0">
      <selection activeCell="F37" sqref="F37"/>
      <pageMargins left="0.75" right="0.4" top="0.3" bottom="0.3" header="0" footer="0"/>
      <printOptions horizontalCentered="1" verticalCentered="1"/>
      <pageSetup scale="64" orientation="portrait" r:id="rId2"/>
      <headerFooter alignWithMargins="0"/>
    </customSheetView>
    <customSheetView guid="{A7D7DB3C-AFE6-468E-8C6B-9531F6711497}" scale="87" colorId="22" fitToPage="1" showRuler="0">
      <selection activeCell="C26" sqref="C26"/>
      <pageMargins left="0.75" right="0.4" top="0.3" bottom="0.3" header="0" footer="0"/>
      <printOptions horizontalCentered="1" verticalCentered="1"/>
      <pageSetup scale="70" orientation="portrait" r:id="rId3"/>
      <headerFooter alignWithMargins="0"/>
    </customSheetView>
    <customSheetView guid="{4436FEB5-BFEC-4348-9286-CB706802873E}" scale="87" colorId="22" fitToPage="1" showRuler="0">
      <selection activeCell="C26" sqref="C26"/>
      <pageMargins left="0.75" right="0.4" top="0.3" bottom="0.3" header="0" footer="0"/>
      <printOptions horizontalCentered="1" verticalCentered="1"/>
      <pageSetup scale="70" orientation="portrait" r:id="rId4"/>
      <headerFooter alignWithMargins="0"/>
    </customSheetView>
    <customSheetView guid="{044CF00C-469F-44B3-B2C4-9B4049CE70CB}" scale="87" colorId="22" fitToPage="1" showRuler="0">
      <selection activeCell="D28" sqref="D28"/>
      <pageMargins left="0.75" right="0.4" top="0.3" bottom="0.3" header="0" footer="0"/>
      <printOptions horizontalCentered="1" verticalCentered="1"/>
      <pageSetup scale="70" orientation="portrait" r:id="rId5"/>
      <headerFooter alignWithMargins="0"/>
    </customSheetView>
    <customSheetView guid="{4826FCC0-BDD6-4B2C-ACC6-ACE271DDF0E3}" scale="60" colorId="22" showPageBreaks="1" fitToPage="1" printArea="1" view="pageBreakPreview" showRuler="0">
      <selection activeCell="F37" sqref="F37"/>
      <pageMargins left="0.75" right="0.4" top="0.3" bottom="0.3" header="0" footer="0"/>
      <printOptions horizontalCentered="1" verticalCentered="1"/>
      <pageSetup scale="64" orientation="portrait" r:id="rId6"/>
      <headerFooter alignWithMargins="0"/>
    </customSheetView>
    <customSheetView guid="{EF376D10-23D6-4FE2-AB5B-4460D52CC93F}" scale="60" colorId="22" showPageBreaks="1" fitToPage="1" printArea="1" view="pageBreakPreview" showRuler="0">
      <selection activeCell="F37" sqref="F37"/>
      <pageMargins left="0.75" right="0.4" top="0.3" bottom="0.3" header="0" footer="0"/>
      <printOptions horizontalCentered="1" verticalCentered="1"/>
      <pageSetup scale="64" orientation="portrait" r:id="rId7"/>
      <headerFooter alignWithMargins="0"/>
    </customSheetView>
    <customSheetView guid="{1C046605-15CE-44F1-BFCD-2CA8588E7ACF}" scale="87" colorId="22" fitToPage="1" showRuler="0" topLeftCell="A19">
      <selection activeCell="F37" sqref="F37"/>
      <pageMargins left="0.75" right="0.4" top="0.3" bottom="0.3" header="0" footer="0"/>
      <printOptions horizontalCentered="1" verticalCentered="1"/>
      <pageSetup scale="70" orientation="portrait" r:id="rId8"/>
      <headerFooter alignWithMargins="0"/>
    </customSheetView>
    <customSheetView guid="{3911D713-188C-46A1-A299-F21DD3B7A146}" scale="87" colorId="22" fitToPage="1" showRuler="0" topLeftCell="A19">
      <selection activeCell="F37" sqref="F37"/>
      <pageMargins left="0.75" right="0.4" top="0.3" bottom="0.3" header="0" footer="0"/>
      <printOptions horizontalCentered="1" verticalCentered="1"/>
      <pageSetup scale="70" orientation="portrait" r:id="rId9"/>
      <headerFooter alignWithMargins="0"/>
    </customSheetView>
    <customSheetView guid="{78BB1E60-60BE-4F56-9763-075185EFEFAB}" scale="60" colorId="22" showPageBreaks="1" fitToPage="1" printArea="1" view="pageBreakPreview">
      <selection activeCell="A2" sqref="A2"/>
      <pageMargins left="0.75" right="0.4" top="0.3" bottom="0.3" header="0" footer="0"/>
      <printOptions horizontalCentered="1" verticalCentered="1"/>
      <pageSetup scale="70" orientation="portrait" r:id="rId10"/>
      <headerFooter alignWithMargins="0"/>
    </customSheetView>
    <customSheetView guid="{9C30803E-1E2D-4850-B0A5-591CA6F246A1}" scale="60" colorId="22" showPageBreaks="1" fitToPage="1" printArea="1" view="pageBreakPreview">
      <selection activeCell="A2" sqref="A2"/>
      <pageMargins left="0.75" right="0.4" top="0.3" bottom="0.3" header="0" footer="0"/>
      <printOptions horizontalCentered="1" verticalCentered="1"/>
      <pageSetup scale="70" orientation="portrait" r:id="rId11"/>
      <headerFooter alignWithMargins="0"/>
    </customSheetView>
    <customSheetView guid="{3B1006FF-A2CA-49E7-9B25-DAC8815279AF}" scale="60" colorId="22" showPageBreaks="1" fitToPage="1" printArea="1" view="pageBreakPreview">
      <selection activeCell="A2" sqref="A2"/>
      <pageMargins left="0.75" right="0.4" top="0.3" bottom="0.3" header="0" footer="0"/>
      <printOptions horizontalCentered="1" verticalCentered="1"/>
      <pageSetup scale="70" orientation="portrait" r:id="rId12"/>
      <headerFooter alignWithMargins="0"/>
    </customSheetView>
    <customSheetView guid="{FB1A60C8-E1F9-4DF0-8E0E-1C965F86027F}" scale="60" colorId="22" showPageBreaks="1" fitToPage="1" printArea="1" view="pageBreakPreview">
      <selection activeCell="A2" sqref="A2"/>
      <pageMargins left="0.75" right="0.4" top="0.3" bottom="0.3" header="0" footer="0"/>
      <printOptions horizontalCentered="1" verticalCentered="1"/>
      <pageSetup scale="70" orientation="portrait" r:id="rId13"/>
      <headerFooter alignWithMargins="0"/>
    </customSheetView>
    <customSheetView guid="{C5B6D812-CBE6-46AA-99F7-02494E9802B4}" scale="70" colorId="22" showPageBreaks="1" fitToPage="1" printArea="1" view="pageBreakPreview">
      <selection activeCell="F37" sqref="F37"/>
      <pageMargins left="0.75" right="0.4" top="0.3" bottom="0.3" header="0" footer="0"/>
      <printOptions horizontalCentered="1" verticalCentered="1"/>
      <pageSetup scale="70" orientation="portrait" r:id="rId14"/>
      <headerFooter alignWithMargins="0"/>
    </customSheetView>
  </customSheetViews>
  <phoneticPr fontId="0" type="noConversion"/>
  <printOptions horizontalCentered="1" verticalCentered="1"/>
  <pageMargins left="0.75" right="0.4" top="0.3" bottom="0.3" header="0" footer="0"/>
  <pageSetup scale="70" orientation="portrait" r:id="rId15"/>
  <headerFooter alignWithMargins="0"/>
  <customProperties>
    <customPr name="_pios_id" r:id="rId16"/>
  </customProperties>
</worksheet>
</file>

<file path=xl/worksheets/sheet7.xml><?xml version="1.0" encoding="utf-8"?>
<worksheet xmlns="http://schemas.openxmlformats.org/spreadsheetml/2006/main" xmlns:r="http://schemas.openxmlformats.org/officeDocument/2006/relationships">
  <sheetPr transitionEvaluation="1" codeName="Sheet7" enableFormatConditionsCalculation="0">
    <pageSetUpPr fitToPage="1"/>
  </sheetPr>
  <dimension ref="A1:I58"/>
  <sheetViews>
    <sheetView defaultGridColor="0" colorId="22" zoomScale="70" zoomScaleNormal="70" workbookViewId="0"/>
  </sheetViews>
  <sheetFormatPr defaultColWidth="9.77734375" defaultRowHeight="15"/>
  <cols>
    <col min="1" max="2" width="2.77734375" customWidth="1"/>
    <col min="3" max="3" width="33.77734375" customWidth="1"/>
    <col min="4" max="4" width="24" customWidth="1"/>
    <col min="5" max="5" width="18.33203125" customWidth="1"/>
    <col min="6" max="6" width="19.44140625" customWidth="1"/>
  </cols>
  <sheetData>
    <row r="1" spans="1:9" ht="15.75" thickBot="1">
      <c r="A1" s="48"/>
      <c r="B1" s="48" t="str">
        <f>'Data sheet'!$A$53</f>
        <v>Annual Report of New York American Water Company, Inc. (f/k/a Long Island Water Corp)                                   Year Ended  December 31, 2013</v>
      </c>
    </row>
    <row r="2" spans="1:9">
      <c r="B2" s="90"/>
      <c r="C2" s="91"/>
      <c r="D2" s="91"/>
      <c r="E2" s="91"/>
      <c r="F2" s="92"/>
    </row>
    <row r="3" spans="1:9" ht="15.75">
      <c r="B3" s="130" t="s">
        <v>1946</v>
      </c>
      <c r="C3" s="131"/>
      <c r="D3" s="131"/>
      <c r="E3" s="131"/>
      <c r="F3" s="132"/>
    </row>
    <row r="4" spans="1:9">
      <c r="B4" s="133"/>
      <c r="C4" s="134"/>
      <c r="D4" s="134"/>
      <c r="E4" s="134"/>
      <c r="F4" s="135"/>
    </row>
    <row r="5" spans="1:9">
      <c r="B5" s="93"/>
      <c r="C5" s="793" t="s">
        <v>3928</v>
      </c>
      <c r="D5" s="131"/>
      <c r="E5" s="131"/>
      <c r="F5" s="132"/>
    </row>
    <row r="6" spans="1:9">
      <c r="B6" s="93"/>
      <c r="C6" s="793" t="s">
        <v>1902</v>
      </c>
      <c r="D6" s="131"/>
      <c r="E6" s="131"/>
      <c r="F6" s="132"/>
    </row>
    <row r="7" spans="1:9">
      <c r="B7" s="93"/>
      <c r="C7" s="793" t="s">
        <v>2772</v>
      </c>
      <c r="D7" s="131"/>
      <c r="E7" s="131"/>
      <c r="F7" s="132"/>
    </row>
    <row r="8" spans="1:9">
      <c r="B8" s="93"/>
      <c r="C8" s="793" t="s">
        <v>2773</v>
      </c>
      <c r="D8" s="131"/>
      <c r="E8" s="131"/>
      <c r="F8" s="132"/>
    </row>
    <row r="9" spans="1:9">
      <c r="B9" s="93"/>
      <c r="C9" s="131"/>
      <c r="D9" s="131"/>
      <c r="E9" s="131"/>
      <c r="F9" s="132"/>
    </row>
    <row r="10" spans="1:9" ht="15.75">
      <c r="B10" s="93"/>
      <c r="C10" s="1709" t="s">
        <v>5319</v>
      </c>
      <c r="D10" s="1709"/>
      <c r="E10" s="1709"/>
      <c r="F10" s="132"/>
      <c r="I10" s="261"/>
    </row>
    <row r="11" spans="1:9">
      <c r="B11" s="93"/>
      <c r="C11" s="1709" t="s">
        <v>456</v>
      </c>
      <c r="D11" s="1709"/>
      <c r="E11" s="1709"/>
      <c r="F11" s="132"/>
    </row>
    <row r="12" spans="1:9">
      <c r="B12" s="93"/>
      <c r="C12" s="1709" t="s">
        <v>457</v>
      </c>
      <c r="D12" s="1709"/>
      <c r="E12" s="1709"/>
      <c r="F12" s="132"/>
    </row>
    <row r="13" spans="1:9">
      <c r="B13" s="93"/>
      <c r="C13" s="1709" t="s">
        <v>458</v>
      </c>
      <c r="D13" s="1709"/>
      <c r="E13" s="1709"/>
      <c r="F13" s="132"/>
    </row>
    <row r="14" spans="1:9">
      <c r="B14" s="93"/>
      <c r="C14" s="1709"/>
      <c r="D14" s="1709"/>
      <c r="E14" s="1709"/>
      <c r="F14" s="132"/>
    </row>
    <row r="15" spans="1:9">
      <c r="B15" s="136"/>
      <c r="C15" s="134"/>
      <c r="D15" s="134"/>
      <c r="E15" s="134"/>
      <c r="F15" s="135"/>
    </row>
    <row r="16" spans="1:9">
      <c r="B16" s="93"/>
      <c r="C16" s="793" t="s">
        <v>29</v>
      </c>
      <c r="D16" s="131"/>
      <c r="E16" s="131"/>
      <c r="F16" s="132"/>
    </row>
    <row r="17" spans="2:6">
      <c r="B17" s="93"/>
      <c r="C17" s="793" t="s">
        <v>1816</v>
      </c>
      <c r="D17" s="131"/>
      <c r="E17" s="131"/>
      <c r="F17" s="132"/>
    </row>
    <row r="18" spans="2:6">
      <c r="B18" s="93"/>
      <c r="C18" s="793" t="s">
        <v>4197</v>
      </c>
      <c r="D18" s="131"/>
      <c r="E18" s="131"/>
      <c r="F18" s="132"/>
    </row>
    <row r="19" spans="2:6">
      <c r="B19" s="93"/>
      <c r="C19" s="793" t="s">
        <v>4198</v>
      </c>
      <c r="D19" s="131"/>
      <c r="E19" s="131"/>
      <c r="F19" s="132"/>
    </row>
    <row r="20" spans="2:6">
      <c r="B20" s="93"/>
      <c r="C20" s="131"/>
      <c r="D20" s="131"/>
      <c r="E20" s="131"/>
      <c r="F20" s="132"/>
    </row>
    <row r="21" spans="2:6">
      <c r="B21" s="93"/>
      <c r="C21" s="131" t="s">
        <v>1319</v>
      </c>
      <c r="D21" s="131"/>
      <c r="E21" s="131"/>
      <c r="F21" s="132"/>
    </row>
    <row r="22" spans="2:6">
      <c r="B22" s="93"/>
      <c r="C22" s="131"/>
      <c r="D22" s="131"/>
      <c r="E22" s="131"/>
      <c r="F22" s="132"/>
    </row>
    <row r="23" spans="2:6">
      <c r="B23" s="93"/>
      <c r="C23" s="131" t="s">
        <v>1320</v>
      </c>
      <c r="D23" s="131"/>
      <c r="E23" s="131"/>
      <c r="F23" s="132"/>
    </row>
    <row r="24" spans="2:6">
      <c r="B24" s="93"/>
      <c r="C24" s="131"/>
      <c r="D24" s="131"/>
      <c r="E24" s="131"/>
      <c r="F24" s="132"/>
    </row>
    <row r="25" spans="2:6">
      <c r="B25" s="136"/>
      <c r="C25" s="134"/>
      <c r="D25" s="134"/>
      <c r="E25" s="134"/>
      <c r="F25" s="135"/>
    </row>
    <row r="26" spans="2:6">
      <c r="B26" s="93"/>
      <c r="C26" s="793" t="s">
        <v>2745</v>
      </c>
      <c r="D26" s="131"/>
      <c r="E26" s="131"/>
      <c r="F26" s="132"/>
    </row>
    <row r="27" spans="2:6">
      <c r="B27" s="93"/>
      <c r="C27" s="793" t="s">
        <v>1716</v>
      </c>
      <c r="D27" s="131"/>
      <c r="E27" s="131"/>
      <c r="F27" s="132"/>
    </row>
    <row r="28" spans="2:6">
      <c r="B28" s="93"/>
      <c r="C28" s="793" t="s">
        <v>2503</v>
      </c>
      <c r="D28" s="131"/>
      <c r="E28" s="131"/>
      <c r="F28" s="132"/>
    </row>
    <row r="29" spans="2:6">
      <c r="B29" s="93"/>
      <c r="C29" s="793" t="s">
        <v>368</v>
      </c>
      <c r="D29" s="131"/>
      <c r="E29" s="131"/>
      <c r="F29" s="132"/>
    </row>
    <row r="30" spans="2:6">
      <c r="B30" s="93"/>
      <c r="C30" s="131"/>
      <c r="D30" s="131"/>
      <c r="E30" s="131"/>
      <c r="F30" s="132"/>
    </row>
    <row r="31" spans="2:6">
      <c r="B31" s="93"/>
      <c r="C31" s="131" t="s">
        <v>3714</v>
      </c>
      <c r="D31" s="131"/>
      <c r="E31" s="131"/>
      <c r="F31" s="132"/>
    </row>
    <row r="32" spans="2:6">
      <c r="B32" s="93"/>
      <c r="C32" s="131"/>
      <c r="D32" s="131"/>
      <c r="E32" s="131"/>
      <c r="F32" s="132"/>
    </row>
    <row r="33" spans="2:6">
      <c r="B33" s="93"/>
      <c r="C33" s="131"/>
      <c r="D33" s="131"/>
      <c r="E33" s="131"/>
      <c r="F33" s="132"/>
    </row>
    <row r="34" spans="2:6">
      <c r="B34" s="93"/>
      <c r="C34" s="131"/>
      <c r="D34" s="131"/>
      <c r="E34" s="131"/>
      <c r="F34" s="132"/>
    </row>
    <row r="35" spans="2:6">
      <c r="B35" s="93"/>
      <c r="C35" s="131"/>
      <c r="D35" s="131"/>
      <c r="E35" s="131"/>
      <c r="F35" s="132"/>
    </row>
    <row r="36" spans="2:6">
      <c r="B36" s="93"/>
      <c r="C36" s="131"/>
      <c r="D36" s="131"/>
      <c r="E36" s="131"/>
      <c r="F36" s="132"/>
    </row>
    <row r="37" spans="2:6">
      <c r="B37" s="93"/>
      <c r="C37" s="131"/>
      <c r="D37" s="131"/>
      <c r="E37" s="131"/>
      <c r="F37" s="132"/>
    </row>
    <row r="38" spans="2:6">
      <c r="B38" s="136"/>
      <c r="C38" s="134"/>
      <c r="D38" s="134"/>
      <c r="E38" s="134"/>
      <c r="F38" s="135"/>
    </row>
    <row r="39" spans="2:6">
      <c r="B39" s="93"/>
      <c r="C39" s="793" t="s">
        <v>4548</v>
      </c>
      <c r="D39" s="131"/>
      <c r="E39" s="131"/>
      <c r="F39" s="132"/>
    </row>
    <row r="40" spans="2:6">
      <c r="B40" s="93"/>
      <c r="C40" s="793" t="s">
        <v>4549</v>
      </c>
      <c r="D40" s="131"/>
      <c r="E40" s="131"/>
      <c r="F40" s="132"/>
    </row>
    <row r="41" spans="2:6">
      <c r="B41" s="93"/>
      <c r="C41" s="131"/>
      <c r="D41" s="131"/>
      <c r="E41" s="131"/>
      <c r="F41" s="132"/>
    </row>
    <row r="42" spans="2:6">
      <c r="B42" s="93"/>
      <c r="C42" s="131" t="s">
        <v>202</v>
      </c>
      <c r="D42" s="131"/>
      <c r="E42" s="131"/>
      <c r="F42" s="132"/>
    </row>
    <row r="43" spans="2:6">
      <c r="B43" s="93"/>
      <c r="C43" s="131"/>
      <c r="D43" s="131"/>
      <c r="E43" s="131"/>
      <c r="F43" s="132"/>
    </row>
    <row r="44" spans="2:6">
      <c r="B44" s="93"/>
      <c r="C44" s="131"/>
      <c r="D44" s="131"/>
      <c r="E44" s="131"/>
      <c r="F44" s="132"/>
    </row>
    <row r="45" spans="2:6">
      <c r="B45" s="93"/>
      <c r="C45" s="131"/>
      <c r="D45" s="131"/>
      <c r="E45" s="131"/>
      <c r="F45" s="132"/>
    </row>
    <row r="46" spans="2:6">
      <c r="B46" s="93"/>
      <c r="C46" s="131"/>
      <c r="D46" s="131"/>
      <c r="E46" s="131"/>
      <c r="F46" s="132"/>
    </row>
    <row r="47" spans="2:6">
      <c r="B47" s="93"/>
      <c r="C47" s="131"/>
      <c r="D47" s="131"/>
      <c r="E47" s="131"/>
      <c r="F47" s="132"/>
    </row>
    <row r="48" spans="2:6">
      <c r="B48" s="136"/>
      <c r="C48" s="134"/>
      <c r="D48" s="134"/>
      <c r="E48" s="134"/>
      <c r="F48" s="135"/>
    </row>
    <row r="49" spans="2:6">
      <c r="B49" s="93"/>
      <c r="C49" s="793" t="s">
        <v>4550</v>
      </c>
      <c r="D49" s="131"/>
      <c r="E49" s="131"/>
      <c r="F49" s="132"/>
    </row>
    <row r="50" spans="2:6">
      <c r="B50" s="93"/>
      <c r="C50" s="793" t="s">
        <v>2644</v>
      </c>
      <c r="D50" s="131"/>
      <c r="E50" s="131"/>
      <c r="F50" s="132"/>
    </row>
    <row r="51" spans="2:6">
      <c r="B51" s="93"/>
      <c r="C51" s="793"/>
      <c r="D51" s="131"/>
      <c r="E51" s="131"/>
      <c r="F51" s="132"/>
    </row>
    <row r="52" spans="2:6">
      <c r="B52" s="93"/>
      <c r="C52" s="793" t="s">
        <v>1301</v>
      </c>
      <c r="D52" s="131"/>
      <c r="E52" s="131"/>
      <c r="F52" s="132"/>
    </row>
    <row r="53" spans="2:6">
      <c r="B53" s="783" t="s">
        <v>204</v>
      </c>
      <c r="C53" s="850" t="s">
        <v>203</v>
      </c>
      <c r="D53" s="131"/>
      <c r="E53" s="131"/>
      <c r="F53" s="132"/>
    </row>
    <row r="54" spans="2:6">
      <c r="B54" s="93"/>
      <c r="C54" s="11"/>
      <c r="D54" s="131"/>
      <c r="E54" s="131"/>
      <c r="F54" s="132"/>
    </row>
    <row r="55" spans="2:6">
      <c r="B55" s="93"/>
      <c r="C55" s="11"/>
      <c r="D55" s="131"/>
      <c r="E55" s="131"/>
      <c r="F55" s="132"/>
    </row>
    <row r="56" spans="2:6" ht="15.75" thickBot="1">
      <c r="B56" s="137"/>
      <c r="C56" s="138"/>
      <c r="D56" s="139"/>
      <c r="E56" s="139"/>
      <c r="F56" s="140"/>
    </row>
    <row r="57" spans="2:6">
      <c r="B57" s="793" t="s">
        <v>2500</v>
      </c>
      <c r="C57" s="11"/>
      <c r="D57" s="131"/>
      <c r="E57" s="131"/>
      <c r="F57" s="131"/>
    </row>
    <row r="58" spans="2:6">
      <c r="B58" s="131" t="s">
        <v>1592</v>
      </c>
      <c r="C58" s="131"/>
      <c r="D58" s="131"/>
      <c r="E58" s="131"/>
      <c r="F58" s="131"/>
    </row>
  </sheetData>
  <customSheetViews>
    <customSheetView guid="{1BA452AD-1A45-4D9C-9666-ADFFA6F2F567}" colorId="22" fitToPage="1">
      <selection activeCell="B1" sqref="B1"/>
      <pageMargins left="0.4" right="0.4" top="0.3" bottom="0.3" header="0.5" footer="0.5"/>
      <pageSetup scale="83" orientation="portrait" r:id="rId1"/>
      <headerFooter alignWithMargins="0"/>
    </customSheetView>
    <customSheetView guid="{EEF7ABD6-0F96-4791-B749-C06F707E7673}" scale="60" colorId="22" showPageBreaks="1" fitToPage="1" printArea="1" view="pageBreakPreview" showRuler="0">
      <selection activeCell="I10" sqref="I10"/>
      <pageMargins left="0.4" right="0.4" top="0.3" bottom="0.3" header="0.5" footer="0.5"/>
      <pageSetup scale="78" orientation="portrait" r:id="rId2"/>
      <headerFooter alignWithMargins="0"/>
    </customSheetView>
    <customSheetView guid="{A7D7DB3C-AFE6-468E-8C6B-9531F6711497}" scale="87" colorId="22" fitToPage="1" showRuler="0" topLeftCell="A19">
      <selection activeCell="C11" sqref="C11"/>
      <pageMargins left="0.4" right="0.4" top="0.3" bottom="0.3" header="0.5" footer="0.5"/>
      <pageSetup scale="86" orientation="portrait" r:id="rId3"/>
      <headerFooter alignWithMargins="0"/>
    </customSheetView>
    <customSheetView guid="{4436FEB5-BFEC-4348-9286-CB706802873E}" scale="87" colorId="22" fitToPage="1" showRuler="0" topLeftCell="A19">
      <selection activeCell="C11" sqref="C11"/>
      <pageMargins left="0.4" right="0.4" top="0.3" bottom="0.3" header="0.5" footer="0.5"/>
      <pageSetup scale="86" orientation="portrait" r:id="rId4"/>
      <headerFooter alignWithMargins="0"/>
    </customSheetView>
    <customSheetView guid="{044CF00C-469F-44B3-B2C4-9B4049CE70CB}" scale="87" colorId="22" fitToPage="1" showRuler="0" topLeftCell="A19">
      <selection activeCell="D14" sqref="D14"/>
      <pageMargins left="0.4" right="0.4" top="0.3" bottom="0.3" header="0.5" footer="0.5"/>
      <pageSetup scale="86" orientation="portrait" r:id="rId5"/>
      <headerFooter alignWithMargins="0"/>
    </customSheetView>
    <customSheetView guid="{4826FCC0-BDD6-4B2C-ACC6-ACE271DDF0E3}" scale="60" colorId="22" showPageBreaks="1" fitToPage="1" printArea="1" view="pageBreakPreview" showRuler="0">
      <selection activeCell="I10" sqref="I10"/>
      <pageMargins left="0.4" right="0.4" top="0.3" bottom="0.3" header="0.5" footer="0.5"/>
      <pageSetup scale="78" orientation="portrait" r:id="rId6"/>
      <headerFooter alignWithMargins="0"/>
    </customSheetView>
    <customSheetView guid="{EF376D10-23D6-4FE2-AB5B-4460D52CC93F}" scale="60" colorId="22" showPageBreaks="1" fitToPage="1" printArea="1" view="pageBreakPreview" showRuler="0">
      <selection activeCell="I10" sqref="I10"/>
      <pageMargins left="0.4" right="0.4" top="0.3" bottom="0.3" header="0.5" footer="0.5"/>
      <pageSetup scale="78" orientation="portrait" r:id="rId7"/>
      <headerFooter alignWithMargins="0"/>
    </customSheetView>
    <customSheetView guid="{1C046605-15CE-44F1-BFCD-2CA8588E7ACF}" scale="60" colorId="22" showPageBreaks="1" fitToPage="1" printArea="1" view="pageBreakPreview" showRuler="0">
      <selection activeCell="C53" sqref="C53"/>
      <pageMargins left="0.4" right="0.4" top="0.3" bottom="0.3" header="0.5" footer="0.5"/>
      <pageSetup scale="78" orientation="portrait" r:id="rId8"/>
      <headerFooter alignWithMargins="0"/>
    </customSheetView>
    <customSheetView guid="{3911D713-188C-46A1-A299-F21DD3B7A146}" scale="60" colorId="22" showPageBreaks="1" fitToPage="1" printArea="1" view="pageBreakPreview" showRuler="0">
      <selection activeCell="C53" sqref="C53"/>
      <pageMargins left="0.4" right="0.4" top="0.3" bottom="0.3" header="0.5" footer="0.5"/>
      <pageSetup scale="78" orientation="portrait" r:id="rId9"/>
      <headerFooter alignWithMargins="0"/>
    </customSheetView>
    <customSheetView guid="{78BB1E60-60BE-4F56-9763-075185EFEFAB}" colorId="22" fitToPage="1">
      <selection activeCell="B1" sqref="B1"/>
      <pageMargins left="0.4" right="0.4" top="0.3" bottom="0.3" header="0.5" footer="0.5"/>
      <pageSetup scale="83" orientation="portrait" r:id="rId10"/>
      <headerFooter alignWithMargins="0"/>
    </customSheetView>
    <customSheetView guid="{9C30803E-1E2D-4850-B0A5-591CA6F246A1}" colorId="22" fitToPage="1" topLeftCell="A22">
      <selection activeCell="A60" sqref="A60"/>
      <pageMargins left="0.4" right="0.4" top="0.3" bottom="0.3" header="0.5" footer="0.5"/>
      <pageSetup scale="83" orientation="portrait" r:id="rId11"/>
      <headerFooter alignWithMargins="0"/>
    </customSheetView>
    <customSheetView guid="{3B1006FF-A2CA-49E7-9B25-DAC8815279AF}" colorId="22" fitToPage="1" topLeftCell="A22">
      <selection activeCell="A60" sqref="A60"/>
      <pageMargins left="0.4" right="0.4" top="0.3" bottom="0.3" header="0.5" footer="0.5"/>
      <pageSetup scale="83" orientation="portrait" r:id="rId12"/>
      <headerFooter alignWithMargins="0"/>
    </customSheetView>
    <customSheetView guid="{FB1A60C8-E1F9-4DF0-8E0E-1C965F86027F}" colorId="22" fitToPage="1" topLeftCell="A22">
      <selection activeCell="A60" sqref="A60"/>
      <pageMargins left="0.4" right="0.4" top="0.3" bottom="0.3" header="0.5" footer="0.5"/>
      <pageSetup scale="83" orientation="portrait" r:id="rId13"/>
      <headerFooter alignWithMargins="0"/>
    </customSheetView>
    <customSheetView guid="{C5B6D812-CBE6-46AA-99F7-02494E9802B4}" scale="70" colorId="22" fitToPage="1" topLeftCell="A4">
      <selection activeCell="C10" sqref="C10"/>
      <pageMargins left="0.4" right="0.4" top="0.3" bottom="0.3" header="0.5" footer="0.5"/>
      <pageSetup scale="83" orientation="portrait" r:id="rId14"/>
      <headerFooter alignWithMargins="0"/>
    </customSheetView>
  </customSheetViews>
  <phoneticPr fontId="0" type="noConversion"/>
  <pageMargins left="0.4" right="0.4" top="0.3" bottom="0.3" header="0.5" footer="0.5"/>
  <pageSetup scale="83" orientation="portrait" r:id="rId15"/>
  <headerFooter alignWithMargins="0"/>
  <customProperties>
    <customPr name="_pios_id" r:id="rId16"/>
  </customProperties>
</worksheet>
</file>

<file path=xl/worksheets/sheet70.xml><?xml version="1.0" encoding="utf-8"?>
<worksheet xmlns="http://schemas.openxmlformats.org/spreadsheetml/2006/main" xmlns:r="http://schemas.openxmlformats.org/officeDocument/2006/relationships">
  <sheetPr transitionEvaluation="1" codeName="Sheet69" enableFormatConditionsCalculation="0">
    <pageSetUpPr fitToPage="1"/>
  </sheetPr>
  <dimension ref="A1:F69"/>
  <sheetViews>
    <sheetView defaultGridColor="0" colorId="22" zoomScale="87" zoomScaleNormal="87" zoomScaleSheetLayoutView="70" workbookViewId="0"/>
  </sheetViews>
  <sheetFormatPr defaultColWidth="9.77734375" defaultRowHeight="15"/>
  <cols>
    <col min="1" max="1" width="4.77734375" customWidth="1"/>
    <col min="2" max="2" width="1.77734375" customWidth="1"/>
    <col min="3" max="3" width="65.77734375" customWidth="1"/>
    <col min="5" max="5" width="18.77734375" customWidth="1"/>
  </cols>
  <sheetData>
    <row r="1" spans="1:5" ht="15.75" thickBot="1">
      <c r="A1" s="186" t="str">
        <f>'Data sheet'!$A$59</f>
        <v>Annual Report of New York American Water Company, Inc. (f/k/a Long Island Water Corp)                                   Year Ended  December 31, 2013</v>
      </c>
      <c r="C1" s="48"/>
    </row>
    <row r="2" spans="1:5">
      <c r="A2" s="90"/>
      <c r="B2" s="91"/>
      <c r="C2" s="91"/>
      <c r="D2" s="91"/>
      <c r="E2" s="92"/>
    </row>
    <row r="3" spans="1:5" ht="18">
      <c r="A3" s="1397" t="s">
        <v>4262</v>
      </c>
      <c r="B3" s="131"/>
      <c r="C3" s="1387"/>
      <c r="D3" s="1387"/>
      <c r="E3" s="132"/>
    </row>
    <row r="4" spans="1:5">
      <c r="A4" s="93"/>
      <c r="B4" s="11"/>
      <c r="C4" s="11"/>
      <c r="D4" s="11"/>
      <c r="E4" s="338"/>
    </row>
    <row r="5" spans="1:5" ht="30">
      <c r="A5" s="1398" t="s">
        <v>479</v>
      </c>
      <c r="B5" s="11"/>
      <c r="C5" s="1399" t="s">
        <v>2824</v>
      </c>
      <c r="D5" s="1399"/>
      <c r="E5" s="338"/>
    </row>
    <row r="6" spans="1:5">
      <c r="A6" s="783" t="s">
        <v>2916</v>
      </c>
      <c r="B6" s="11"/>
      <c r="C6" s="11" t="s">
        <v>242</v>
      </c>
      <c r="D6" s="11"/>
      <c r="E6" s="338"/>
    </row>
    <row r="7" spans="1:5">
      <c r="A7" s="783" t="s">
        <v>3164</v>
      </c>
      <c r="B7" s="11"/>
      <c r="C7" s="11" t="s">
        <v>3515</v>
      </c>
      <c r="D7" s="11"/>
      <c r="E7" s="338"/>
    </row>
    <row r="8" spans="1:5">
      <c r="A8" s="93"/>
      <c r="B8" s="11"/>
      <c r="C8" s="11"/>
      <c r="D8" s="11"/>
      <c r="E8" s="294"/>
    </row>
    <row r="9" spans="1:5">
      <c r="A9" s="1277" t="s">
        <v>1129</v>
      </c>
      <c r="B9" s="343"/>
      <c r="C9" s="343"/>
      <c r="D9" s="343"/>
      <c r="E9" s="781" t="s">
        <v>3323</v>
      </c>
    </row>
    <row r="10" spans="1:5">
      <c r="A10" s="783" t="s">
        <v>3324</v>
      </c>
      <c r="B10" s="570"/>
      <c r="C10" s="771" t="s">
        <v>429</v>
      </c>
      <c r="D10" s="11"/>
      <c r="E10" s="784" t="s">
        <v>3260</v>
      </c>
    </row>
    <row r="11" spans="1:5">
      <c r="A11" s="136"/>
      <c r="B11" s="690"/>
      <c r="C11" s="1264" t="s">
        <v>4032</v>
      </c>
      <c r="D11" s="293"/>
      <c r="E11" s="782" t="s">
        <v>3516</v>
      </c>
    </row>
    <row r="12" spans="1:5" ht="18">
      <c r="A12" s="93"/>
      <c r="B12" s="570"/>
      <c r="C12" s="1400" t="s">
        <v>3517</v>
      </c>
      <c r="D12" s="1401"/>
      <c r="E12" s="1263"/>
    </row>
    <row r="13" spans="1:5">
      <c r="A13" s="783" t="s">
        <v>2699</v>
      </c>
      <c r="B13" s="570"/>
      <c r="C13" s="11" t="s">
        <v>703</v>
      </c>
      <c r="D13" s="11"/>
      <c r="E13" s="1866">
        <v>0</v>
      </c>
    </row>
    <row r="14" spans="1:5">
      <c r="A14" s="93"/>
      <c r="B14" s="570"/>
      <c r="C14" s="11" t="s">
        <v>1</v>
      </c>
      <c r="D14" s="11"/>
      <c r="E14" s="1867"/>
    </row>
    <row r="15" spans="1:5">
      <c r="A15" s="783" t="s">
        <v>2700</v>
      </c>
      <c r="B15" s="570"/>
      <c r="C15" s="11" t="s">
        <v>2</v>
      </c>
      <c r="D15" s="11"/>
      <c r="E15" s="1867"/>
    </row>
    <row r="16" spans="1:5">
      <c r="A16" s="783" t="s">
        <v>2701</v>
      </c>
      <c r="B16" s="570"/>
      <c r="C16" s="11" t="s">
        <v>3</v>
      </c>
      <c r="D16" s="11"/>
      <c r="E16" s="1867"/>
    </row>
    <row r="17" spans="1:6">
      <c r="A17" s="783" t="s">
        <v>2702</v>
      </c>
      <c r="B17" s="570"/>
      <c r="C17" s="11" t="s">
        <v>759</v>
      </c>
      <c r="D17" s="11"/>
      <c r="E17" s="1867">
        <v>0</v>
      </c>
    </row>
    <row r="18" spans="1:6">
      <c r="A18" s="783" t="s">
        <v>2703</v>
      </c>
      <c r="B18" s="570"/>
      <c r="C18" s="11" t="s">
        <v>2649</v>
      </c>
      <c r="D18" s="11"/>
      <c r="E18" s="1867">
        <v>0</v>
      </c>
    </row>
    <row r="19" spans="1:6">
      <c r="A19" s="783" t="s">
        <v>2704</v>
      </c>
      <c r="B19" s="570"/>
      <c r="C19" s="11" t="s">
        <v>760</v>
      </c>
      <c r="D19" s="11"/>
      <c r="E19" s="1867">
        <v>0</v>
      </c>
    </row>
    <row r="20" spans="1:6">
      <c r="A20" s="783" t="s">
        <v>2705</v>
      </c>
      <c r="B20" s="570"/>
      <c r="C20" s="11" t="s">
        <v>2481</v>
      </c>
      <c r="D20" s="11"/>
      <c r="E20" s="1867">
        <v>0</v>
      </c>
    </row>
    <row r="21" spans="1:6">
      <c r="A21" s="783" t="s">
        <v>2706</v>
      </c>
      <c r="B21" s="570"/>
      <c r="C21" s="11" t="s">
        <v>2482</v>
      </c>
      <c r="D21" s="11"/>
      <c r="E21" s="1867">
        <v>0</v>
      </c>
    </row>
    <row r="22" spans="1:6" ht="15.75" thickBot="1">
      <c r="A22" s="783" t="s">
        <v>2024</v>
      </c>
      <c r="B22" s="570"/>
      <c r="C22" s="11" t="s">
        <v>409</v>
      </c>
      <c r="D22" s="11"/>
      <c r="E22" s="546">
        <f>+E13+E18</f>
        <v>0</v>
      </c>
      <c r="F22" s="1029"/>
    </row>
    <row r="23" spans="1:6">
      <c r="A23" s="90"/>
      <c r="B23" s="91"/>
      <c r="C23" s="91"/>
      <c r="D23" s="91"/>
      <c r="E23" s="92"/>
    </row>
    <row r="24" spans="1:6">
      <c r="A24" s="93"/>
      <c r="B24" s="11"/>
      <c r="C24" s="11" t="s">
        <v>410</v>
      </c>
      <c r="D24" s="11"/>
      <c r="E24" s="338"/>
    </row>
    <row r="25" spans="1:6">
      <c r="A25" s="93"/>
      <c r="B25" s="11"/>
      <c r="C25" s="11"/>
      <c r="D25" s="11"/>
      <c r="E25" s="338"/>
    </row>
    <row r="26" spans="1:6">
      <c r="A26" s="93"/>
      <c r="B26" s="11"/>
      <c r="C26" s="11" t="s">
        <v>411</v>
      </c>
      <c r="D26" s="11"/>
      <c r="E26" s="338"/>
    </row>
    <row r="27" spans="1:6">
      <c r="A27" s="1359"/>
      <c r="B27" s="30"/>
      <c r="C27" s="1864" t="s">
        <v>1150</v>
      </c>
      <c r="D27" s="1864"/>
      <c r="E27" s="1863">
        <v>0</v>
      </c>
    </row>
    <row r="28" spans="1:6">
      <c r="A28" s="1359"/>
      <c r="B28" s="30"/>
      <c r="C28" s="1864" t="s">
        <v>1151</v>
      </c>
      <c r="D28" s="1864"/>
      <c r="E28" s="1863">
        <v>0</v>
      </c>
    </row>
    <row r="29" spans="1:6">
      <c r="A29" s="1359"/>
      <c r="B29" s="30"/>
      <c r="C29" s="1864" t="s">
        <v>1152</v>
      </c>
      <c r="D29" s="1864"/>
      <c r="E29" s="1863">
        <v>0</v>
      </c>
    </row>
    <row r="30" spans="1:6">
      <c r="A30" s="1359"/>
      <c r="B30" s="30"/>
      <c r="C30" s="1864"/>
      <c r="D30" s="1864"/>
      <c r="E30" s="1865"/>
    </row>
    <row r="31" spans="1:6">
      <c r="A31" s="1359"/>
      <c r="B31" s="30"/>
      <c r="C31" s="1864"/>
      <c r="D31" s="1864" t="s">
        <v>3323</v>
      </c>
      <c r="E31" s="1863">
        <f>SUM(E27:E30)</f>
        <v>0</v>
      </c>
    </row>
    <row r="32" spans="1:6">
      <c r="A32" s="1359"/>
      <c r="B32" s="30"/>
      <c r="C32" s="1864"/>
      <c r="D32" s="1864"/>
      <c r="E32" s="1865"/>
    </row>
    <row r="33" spans="1:5">
      <c r="A33" s="1359"/>
      <c r="B33" s="30"/>
      <c r="C33" s="1864" t="s">
        <v>1682</v>
      </c>
      <c r="D33" s="1864"/>
      <c r="E33" s="1865"/>
    </row>
    <row r="34" spans="1:5">
      <c r="A34" s="1359"/>
      <c r="B34" s="30"/>
      <c r="C34" s="1864" t="s">
        <v>3437</v>
      </c>
      <c r="D34" s="1864"/>
      <c r="E34" s="1865"/>
    </row>
    <row r="35" spans="1:5">
      <c r="A35" s="1359"/>
      <c r="B35" s="30"/>
      <c r="C35" s="1864"/>
      <c r="D35" s="1864"/>
      <c r="E35" s="1865"/>
    </row>
    <row r="36" spans="1:5">
      <c r="A36" s="1359"/>
      <c r="B36" s="30"/>
      <c r="C36" s="1864"/>
      <c r="D36" s="1864"/>
      <c r="E36" s="1865"/>
    </row>
    <row r="37" spans="1:5">
      <c r="A37" s="1359"/>
      <c r="B37" s="30"/>
      <c r="C37" s="1864"/>
      <c r="D37" s="1864"/>
      <c r="E37" s="1865"/>
    </row>
    <row r="38" spans="1:5">
      <c r="A38" s="1359"/>
      <c r="B38" s="30"/>
      <c r="C38" s="1862"/>
      <c r="D38" s="30"/>
      <c r="E38" s="1360"/>
    </row>
    <row r="39" spans="1:5">
      <c r="A39" s="1359"/>
      <c r="B39" s="30"/>
      <c r="C39" s="30"/>
      <c r="D39" s="30"/>
      <c r="E39" s="1360"/>
    </row>
    <row r="40" spans="1:5">
      <c r="A40" s="1359"/>
      <c r="B40" s="30"/>
      <c r="C40" s="30"/>
      <c r="D40" s="30"/>
      <c r="E40" s="1360"/>
    </row>
    <row r="41" spans="1:5">
      <c r="A41" s="1359"/>
      <c r="B41" s="30"/>
      <c r="C41" s="30"/>
      <c r="D41" s="30"/>
      <c r="E41" s="1360"/>
    </row>
    <row r="42" spans="1:5">
      <c r="A42" s="1359"/>
      <c r="B42" s="30"/>
      <c r="C42" s="30"/>
      <c r="D42" s="30"/>
      <c r="E42" s="1360"/>
    </row>
    <row r="43" spans="1:5">
      <c r="A43" s="1359"/>
      <c r="B43" s="30"/>
      <c r="C43" s="30"/>
      <c r="D43" s="30"/>
      <c r="E43" s="1360"/>
    </row>
    <row r="44" spans="1:5">
      <c r="A44" s="1359"/>
      <c r="B44" s="30"/>
      <c r="C44" s="30"/>
      <c r="D44" s="30"/>
      <c r="E44" s="1360"/>
    </row>
    <row r="45" spans="1:5">
      <c r="A45" s="1359"/>
      <c r="B45" s="30"/>
      <c r="C45" s="30"/>
      <c r="D45" s="30"/>
      <c r="E45" s="1360"/>
    </row>
    <row r="46" spans="1:5">
      <c r="A46" s="1359"/>
      <c r="B46" s="30"/>
      <c r="C46" s="30"/>
      <c r="D46" s="30"/>
      <c r="E46" s="1360"/>
    </row>
    <row r="47" spans="1:5">
      <c r="A47" s="1359"/>
      <c r="B47" s="30"/>
      <c r="C47" s="30"/>
      <c r="D47" s="30"/>
      <c r="E47" s="1360"/>
    </row>
    <row r="48" spans="1:5">
      <c r="A48" s="1359"/>
      <c r="B48" s="30"/>
      <c r="C48" s="30"/>
      <c r="D48" s="30"/>
      <c r="E48" s="1360"/>
    </row>
    <row r="49" spans="1:5">
      <c r="A49" s="1359"/>
      <c r="B49" s="30"/>
      <c r="C49" s="30"/>
      <c r="D49" s="30"/>
      <c r="E49" s="1360"/>
    </row>
    <row r="50" spans="1:5">
      <c r="A50" s="1359"/>
      <c r="B50" s="30"/>
      <c r="C50" s="30"/>
      <c r="D50" s="30"/>
      <c r="E50" s="1360"/>
    </row>
    <row r="51" spans="1:5">
      <c r="A51" s="1359"/>
      <c r="B51" s="30"/>
      <c r="C51" s="30"/>
      <c r="D51" s="30"/>
      <c r="E51" s="1360"/>
    </row>
    <row r="52" spans="1:5">
      <c r="A52" s="1359"/>
      <c r="B52" s="30"/>
      <c r="C52" s="30"/>
      <c r="D52" s="30"/>
      <c r="E52" s="1360"/>
    </row>
    <row r="53" spans="1:5">
      <c r="A53" s="1359"/>
      <c r="B53" s="30"/>
      <c r="C53" s="30"/>
      <c r="D53" s="30"/>
      <c r="E53" s="1360"/>
    </row>
    <row r="54" spans="1:5">
      <c r="A54" s="1359"/>
      <c r="B54" s="30"/>
      <c r="C54" s="30"/>
      <c r="D54" s="30"/>
      <c r="E54" s="1360"/>
    </row>
    <row r="55" spans="1:5">
      <c r="A55" s="1359"/>
      <c r="B55" s="30"/>
      <c r="C55" s="30"/>
      <c r="D55" s="30"/>
      <c r="E55" s="1360"/>
    </row>
    <row r="56" spans="1:5" ht="15.75" thickBot="1">
      <c r="A56" s="1362"/>
      <c r="B56" s="1363"/>
      <c r="C56" s="1363"/>
      <c r="D56" s="1363"/>
      <c r="E56" s="1364"/>
    </row>
    <row r="57" spans="1:5">
      <c r="E57" t="s">
        <v>4066</v>
      </c>
    </row>
    <row r="58" spans="1:5">
      <c r="A58" s="131" t="s">
        <v>412</v>
      </c>
      <c r="B58" s="131"/>
      <c r="C58" s="131"/>
      <c r="D58" s="131"/>
      <c r="E58" s="131"/>
    </row>
    <row r="63" spans="1:5">
      <c r="A63" s="11"/>
      <c r="B63" s="11"/>
      <c r="C63" s="119"/>
    </row>
    <row r="66" spans="1:3">
      <c r="A66" s="11"/>
      <c r="B66" s="11"/>
      <c r="C66" s="119"/>
    </row>
    <row r="67" spans="1:3">
      <c r="A67" s="11"/>
      <c r="B67" s="11"/>
      <c r="C67" s="119"/>
    </row>
    <row r="68" spans="1:3">
      <c r="A68" s="11"/>
      <c r="B68" s="11"/>
      <c r="C68" s="119"/>
    </row>
    <row r="69" spans="1:3">
      <c r="A69" s="11"/>
      <c r="B69" s="11"/>
      <c r="C69" s="119"/>
    </row>
  </sheetData>
  <customSheetViews>
    <customSheetView guid="{1BA452AD-1A45-4D9C-9666-ADFFA6F2F567}" scale="60" colorId="22" showPageBreaks="1" fitToPage="1" printArea="1" view="pageBreakPreview">
      <selection activeCell="E46" sqref="E46"/>
      <pageMargins left="0.75" right="0.4" top="0.3" bottom="0.3" header="0" footer="0"/>
      <printOptions horizontalCentered="1" verticalCentered="1"/>
      <pageSetup scale="70" orientation="portrait" r:id="rId1"/>
      <headerFooter alignWithMargins="0"/>
    </customSheetView>
    <customSheetView guid="{EEF7ABD6-0F96-4791-B749-C06F707E7673}" scale="60" colorId="22" showPageBreaks="1" fitToPage="1" printArea="1" view="pageBreakPreview" showRuler="0">
      <selection activeCell="C104" sqref="C104"/>
      <pageMargins left="0.75" right="0.4" top="0.3" bottom="0.3" header="0" footer="0"/>
      <printOptions horizontalCentered="1" verticalCentered="1"/>
      <pageSetup scale="70" orientation="portrait" r:id="rId2"/>
      <headerFooter alignWithMargins="0"/>
    </customSheetView>
    <customSheetView guid="{A7D7DB3C-AFE6-468E-8C6B-9531F6711497}" scale="87" colorId="22" fitToPage="1" showRuler="0">
      <selection activeCell="C26" sqref="C26"/>
      <pageMargins left="0.75" right="0.4" top="0.3" bottom="0.3" header="0" footer="0"/>
      <printOptions horizontalCentered="1" verticalCentered="1"/>
      <pageSetup scale="77" orientation="portrait" r:id="rId3"/>
      <headerFooter alignWithMargins="0"/>
    </customSheetView>
    <customSheetView guid="{4436FEB5-BFEC-4348-9286-CB706802873E}" scale="87" colorId="22" fitToPage="1" showRuler="0">
      <selection activeCell="C26" sqref="C26"/>
      <pageMargins left="0.75" right="0.4" top="0.3" bottom="0.3" header="0" footer="0"/>
      <printOptions horizontalCentered="1" verticalCentered="1"/>
      <pageSetup scale="77" orientation="portrait" r:id="rId4"/>
      <headerFooter alignWithMargins="0"/>
    </customSheetView>
    <customSheetView guid="{044CF00C-469F-44B3-B2C4-9B4049CE70CB}" scale="87" colorId="22" fitToPage="1" showRuler="0">
      <selection sqref="A1:IV65536"/>
      <pageMargins left="0.75" right="0.4" top="0.3" bottom="0.3" header="0" footer="0"/>
      <printOptions horizontalCentered="1" verticalCentered="1"/>
      <pageSetup scale="77" orientation="portrait" r:id="rId5"/>
      <headerFooter alignWithMargins="0"/>
    </customSheetView>
    <customSheetView guid="{4826FCC0-BDD6-4B2C-ACC6-ACE271DDF0E3}" scale="60" colorId="22" showPageBreaks="1" fitToPage="1" printArea="1" view="pageBreakPreview" showRuler="0">
      <selection activeCell="C104" sqref="C104"/>
      <pageMargins left="0.75" right="0.4" top="0.3" bottom="0.3" header="0" footer="0"/>
      <printOptions horizontalCentered="1" verticalCentered="1"/>
      <pageSetup scale="70" orientation="portrait" r:id="rId6"/>
      <headerFooter alignWithMargins="0"/>
    </customSheetView>
    <customSheetView guid="{EF376D10-23D6-4FE2-AB5B-4460D52CC93F}" scale="60" colorId="22" showPageBreaks="1" fitToPage="1" printArea="1" view="pageBreakPreview" showRuler="0">
      <selection activeCell="C104" sqref="C104"/>
      <pageMargins left="0.75" right="0.4" top="0.3" bottom="0.3" header="0" footer="0"/>
      <printOptions horizontalCentered="1" verticalCentered="1"/>
      <pageSetup scale="70" orientation="portrait" r:id="rId7"/>
      <headerFooter alignWithMargins="0"/>
    </customSheetView>
    <customSheetView guid="{1C046605-15CE-44F1-BFCD-2CA8588E7ACF}" scale="87" colorId="22" fitToPage="1" showRuler="0">
      <selection activeCell="C104" sqref="C104"/>
      <pageMargins left="0.75" right="0.4" top="0.3" bottom="0.3" header="0" footer="0"/>
      <printOptions horizontalCentered="1" verticalCentered="1"/>
      <pageSetup scale="70" orientation="portrait" r:id="rId8"/>
      <headerFooter alignWithMargins="0"/>
    </customSheetView>
    <customSheetView guid="{3911D713-188C-46A1-A299-F21DD3B7A146}" scale="87" colorId="22" fitToPage="1" showRuler="0">
      <selection activeCell="C104" sqref="C104"/>
      <pageMargins left="0.75" right="0.4" top="0.3" bottom="0.3" header="0" footer="0"/>
      <printOptions horizontalCentered="1" verticalCentered="1"/>
      <pageSetup scale="70" orientation="portrait" r:id="rId9"/>
      <headerFooter alignWithMargins="0"/>
    </customSheetView>
    <customSheetView guid="{78BB1E60-60BE-4F56-9763-075185EFEFAB}" scale="60" colorId="22" showPageBreaks="1" fitToPage="1" printArea="1" view="pageBreakPreview">
      <selection activeCell="E46" sqref="E46"/>
      <pageMargins left="0.75" right="0.4" top="0.3" bottom="0.3" header="0" footer="0"/>
      <printOptions horizontalCentered="1" verticalCentered="1"/>
      <pageSetup scale="70" orientation="portrait" r:id="rId10"/>
      <headerFooter alignWithMargins="0"/>
    </customSheetView>
    <customSheetView guid="{9C30803E-1E2D-4850-B0A5-591CA6F246A1}" scale="60" colorId="22" showPageBreaks="1" fitToPage="1" printArea="1" view="pageBreakPreview">
      <selection activeCell="E46" sqref="E46"/>
      <pageMargins left="0.75" right="0.4" top="0.3" bottom="0.3" header="0" footer="0"/>
      <printOptions horizontalCentered="1" verticalCentered="1"/>
      <pageSetup scale="70" orientation="portrait" r:id="rId11"/>
      <headerFooter alignWithMargins="0"/>
    </customSheetView>
    <customSheetView guid="{3B1006FF-A2CA-49E7-9B25-DAC8815279AF}" scale="60" colorId="22" showPageBreaks="1" fitToPage="1" printArea="1" view="pageBreakPreview">
      <selection activeCell="E46" sqref="E46"/>
      <pageMargins left="0.75" right="0.4" top="0.3" bottom="0.3" header="0" footer="0"/>
      <printOptions horizontalCentered="1" verticalCentered="1"/>
      <pageSetup scale="70" orientation="portrait" r:id="rId12"/>
      <headerFooter alignWithMargins="0"/>
    </customSheetView>
    <customSheetView guid="{FB1A60C8-E1F9-4DF0-8E0E-1C965F86027F}" scale="60" colorId="22" showPageBreaks="1" fitToPage="1" printArea="1" view="pageBreakPreview">
      <selection activeCell="E46" sqref="E46"/>
      <pageMargins left="0.75" right="0.4" top="0.3" bottom="0.3" header="0" footer="0"/>
      <printOptions horizontalCentered="1" verticalCentered="1"/>
      <pageSetup scale="70" orientation="portrait" r:id="rId13"/>
      <headerFooter alignWithMargins="0"/>
    </customSheetView>
    <customSheetView guid="{C5B6D812-CBE6-46AA-99F7-02494E9802B4}" scale="70" colorId="22" showPageBreaks="1" fitToPage="1" printArea="1" view="pageBreakPreview" topLeftCell="A4">
      <selection activeCell="C10" sqref="C10"/>
      <pageMargins left="0.75" right="0.4" top="0.3" bottom="0.3" header="0" footer="0"/>
      <printOptions horizontalCentered="1" verticalCentered="1"/>
      <pageSetup scale="70" orientation="portrait" r:id="rId14"/>
      <headerFooter alignWithMargins="0"/>
    </customSheetView>
  </customSheetViews>
  <phoneticPr fontId="0" type="noConversion"/>
  <printOptions horizontalCentered="1" verticalCentered="1"/>
  <pageMargins left="0.75" right="0.4" top="0.3" bottom="0.3" header="0" footer="0"/>
  <pageSetup scale="70" orientation="portrait" r:id="rId15"/>
  <headerFooter alignWithMargins="0"/>
  <customProperties>
    <customPr name="_pios_id" r:id="rId16"/>
  </customProperties>
</worksheet>
</file>

<file path=xl/worksheets/sheet71.xml><?xml version="1.0" encoding="utf-8"?>
<worksheet xmlns="http://schemas.openxmlformats.org/spreadsheetml/2006/main" xmlns:r="http://schemas.openxmlformats.org/officeDocument/2006/relationships">
  <sheetPr transitionEvaluation="1" codeName="Sheet70" enableFormatConditionsCalculation="0">
    <pageSetUpPr fitToPage="1"/>
  </sheetPr>
  <dimension ref="A1:G73"/>
  <sheetViews>
    <sheetView defaultGridColor="0" view="pageBreakPreview" colorId="22" zoomScale="80" zoomScaleNormal="87" zoomScaleSheetLayoutView="80" workbookViewId="0">
      <selection activeCell="A2" sqref="A2"/>
    </sheetView>
  </sheetViews>
  <sheetFormatPr defaultColWidth="9.77734375" defaultRowHeight="15"/>
  <cols>
    <col min="1" max="1" width="3.77734375" customWidth="1"/>
    <col min="2" max="2" width="1.77734375" customWidth="1"/>
    <col min="3" max="3" width="76.77734375" customWidth="1"/>
    <col min="4" max="4" width="6.77734375" customWidth="1"/>
    <col min="5" max="5" width="29.6640625" customWidth="1"/>
  </cols>
  <sheetData>
    <row r="1" spans="1:5" ht="15.75" thickBot="1">
      <c r="A1" s="186" t="s">
        <v>5345</v>
      </c>
    </row>
    <row r="2" spans="1:5">
      <c r="A2" s="232"/>
      <c r="B2" s="245"/>
      <c r="C2" s="245"/>
      <c r="D2" s="245"/>
      <c r="E2" s="234"/>
    </row>
    <row r="3" spans="1:5" ht="18">
      <c r="A3" s="1389" t="s">
        <v>4262</v>
      </c>
      <c r="B3" s="8"/>
      <c r="C3" s="8"/>
      <c r="D3" s="8"/>
      <c r="E3" s="236"/>
    </row>
    <row r="4" spans="1:5">
      <c r="A4" s="240"/>
      <c r="E4" s="237"/>
    </row>
    <row r="5" spans="1:5">
      <c r="A5" s="635" t="s">
        <v>479</v>
      </c>
      <c r="C5" t="s">
        <v>4271</v>
      </c>
      <c r="E5" s="237"/>
    </row>
    <row r="6" spans="1:5">
      <c r="A6" s="240"/>
      <c r="C6" t="s">
        <v>4272</v>
      </c>
      <c r="E6" s="237"/>
    </row>
    <row r="7" spans="1:5">
      <c r="A7" s="240"/>
      <c r="C7" t="s">
        <v>3190</v>
      </c>
      <c r="E7" s="237"/>
    </row>
    <row r="8" spans="1:5">
      <c r="A8" s="240"/>
      <c r="C8" t="s">
        <v>3191</v>
      </c>
      <c r="E8" s="237"/>
    </row>
    <row r="9" spans="1:5">
      <c r="A9" s="635" t="s">
        <v>2916</v>
      </c>
      <c r="C9" t="s">
        <v>4188</v>
      </c>
      <c r="E9" s="237"/>
    </row>
    <row r="10" spans="1:5">
      <c r="A10" s="240"/>
      <c r="C10" t="s">
        <v>4189</v>
      </c>
      <c r="E10" s="237"/>
    </row>
    <row r="11" spans="1:5">
      <c r="A11" s="240"/>
      <c r="C11" t="s">
        <v>4230</v>
      </c>
      <c r="E11" s="237"/>
    </row>
    <row r="12" spans="1:5">
      <c r="A12" s="635" t="s">
        <v>3164</v>
      </c>
      <c r="C12" t="s">
        <v>3924</v>
      </c>
      <c r="E12" s="237"/>
    </row>
    <row r="13" spans="1:5">
      <c r="A13" s="635" t="s">
        <v>2630</v>
      </c>
      <c r="C13" t="s">
        <v>3925</v>
      </c>
      <c r="E13" s="237"/>
    </row>
    <row r="14" spans="1:5">
      <c r="A14" s="240"/>
      <c r="C14" t="s">
        <v>1759</v>
      </c>
      <c r="E14" s="237"/>
    </row>
    <row r="15" spans="1:5">
      <c r="A15" s="240"/>
      <c r="C15" t="s">
        <v>1760</v>
      </c>
      <c r="E15" s="237"/>
    </row>
    <row r="16" spans="1:5">
      <c r="A16" s="635" t="s">
        <v>1075</v>
      </c>
      <c r="C16" t="s">
        <v>606</v>
      </c>
      <c r="E16" s="237"/>
    </row>
    <row r="17" spans="1:7">
      <c r="A17" s="240"/>
      <c r="C17" t="s">
        <v>607</v>
      </c>
      <c r="E17" s="237"/>
    </row>
    <row r="18" spans="1:7">
      <c r="A18" s="240"/>
      <c r="C18" t="s">
        <v>4261</v>
      </c>
      <c r="E18" s="237"/>
    </row>
    <row r="19" spans="1:7">
      <c r="A19" s="240"/>
      <c r="B19" s="249"/>
      <c r="C19" t="s">
        <v>4282</v>
      </c>
      <c r="E19" s="237"/>
    </row>
    <row r="20" spans="1:7">
      <c r="A20" s="1369"/>
      <c r="B20" s="637"/>
      <c r="C20" s="282"/>
      <c r="D20" s="1403"/>
      <c r="E20" s="1404" t="s">
        <v>4283</v>
      </c>
    </row>
    <row r="21" spans="1:7">
      <c r="A21" s="635" t="s">
        <v>1129</v>
      </c>
      <c r="B21" s="637"/>
      <c r="C21" s="643" t="s">
        <v>429</v>
      </c>
      <c r="D21" s="254"/>
      <c r="E21" s="777" t="s">
        <v>4284</v>
      </c>
    </row>
    <row r="22" spans="1:7">
      <c r="A22" s="636" t="s">
        <v>3324</v>
      </c>
      <c r="B22" s="1371"/>
      <c r="C22" s="791" t="s">
        <v>4032</v>
      </c>
      <c r="D22" s="256"/>
      <c r="E22" s="807" t="s">
        <v>4285</v>
      </c>
    </row>
    <row r="23" spans="1:7">
      <c r="A23" s="240"/>
      <c r="B23" s="637"/>
      <c r="C23" t="s">
        <v>3853</v>
      </c>
      <c r="D23" s="254"/>
      <c r="E23" s="237"/>
    </row>
    <row r="24" spans="1:7">
      <c r="A24" s="635" t="s">
        <v>2699</v>
      </c>
      <c r="B24" s="637"/>
      <c r="C24" t="s">
        <v>3854</v>
      </c>
      <c r="D24" s="254"/>
      <c r="E24" s="2059">
        <v>3234556</v>
      </c>
    </row>
    <row r="25" spans="1:7">
      <c r="A25" s="635" t="s">
        <v>2700</v>
      </c>
      <c r="B25" s="637"/>
      <c r="C25" t="s">
        <v>3855</v>
      </c>
      <c r="D25" s="254"/>
      <c r="E25" s="1863">
        <v>501120</v>
      </c>
    </row>
    <row r="26" spans="1:7">
      <c r="A26" s="635" t="s">
        <v>2701</v>
      </c>
      <c r="B26" s="637"/>
      <c r="C26" t="s">
        <v>4321</v>
      </c>
      <c r="D26" s="254"/>
      <c r="E26" s="1863">
        <v>108445</v>
      </c>
      <c r="G26" s="1621"/>
    </row>
    <row r="27" spans="1:7">
      <c r="A27" s="635" t="s">
        <v>2702</v>
      </c>
      <c r="B27" s="637"/>
      <c r="C27" t="s">
        <v>481</v>
      </c>
      <c r="D27" s="254"/>
      <c r="E27" s="1863"/>
    </row>
    <row r="28" spans="1:7">
      <c r="A28" s="240"/>
      <c r="B28" s="637"/>
      <c r="C28" t="s">
        <v>2957</v>
      </c>
      <c r="D28" s="254"/>
      <c r="E28" s="1863"/>
    </row>
    <row r="29" spans="1:7">
      <c r="A29" s="635" t="s">
        <v>2703</v>
      </c>
      <c r="B29" s="637"/>
      <c r="C29" t="s">
        <v>2958</v>
      </c>
      <c r="D29" s="254"/>
      <c r="E29" s="1863">
        <v>187378</v>
      </c>
    </row>
    <row r="30" spans="1:7">
      <c r="A30" s="635" t="s">
        <v>2704</v>
      </c>
      <c r="B30" s="637"/>
      <c r="C30" t="s">
        <v>2959</v>
      </c>
      <c r="D30" s="254"/>
      <c r="E30" s="1863"/>
    </row>
    <row r="31" spans="1:7">
      <c r="A31" s="635" t="s">
        <v>2705</v>
      </c>
      <c r="B31" s="637"/>
      <c r="C31" t="s">
        <v>2960</v>
      </c>
      <c r="D31" s="254"/>
      <c r="E31" s="1863">
        <v>-637405</v>
      </c>
      <c r="G31" s="230"/>
    </row>
    <row r="32" spans="1:7">
      <c r="A32" s="635" t="s">
        <v>2706</v>
      </c>
      <c r="B32" s="637"/>
      <c r="C32" t="s">
        <v>2961</v>
      </c>
      <c r="D32" s="254"/>
      <c r="E32" s="1863">
        <f>-168692-637405-E31</f>
        <v>-168692</v>
      </c>
      <c r="F32" s="1029"/>
      <c r="G32" s="230"/>
    </row>
    <row r="33" spans="1:5">
      <c r="A33" s="635" t="s">
        <v>2024</v>
      </c>
      <c r="B33" s="637"/>
      <c r="C33" t="s">
        <v>2962</v>
      </c>
      <c r="D33" s="254"/>
      <c r="E33" s="1863">
        <f>+E24+E25+E26+E29+E31+E32</f>
        <v>3225402</v>
      </c>
    </row>
    <row r="34" spans="1:5">
      <c r="A34" s="635" t="s">
        <v>2025</v>
      </c>
      <c r="B34" s="637"/>
      <c r="C34" t="s">
        <v>2963</v>
      </c>
      <c r="D34" s="254"/>
      <c r="E34" s="1788"/>
    </row>
    <row r="35" spans="1:5">
      <c r="A35" s="635" t="s">
        <v>2026</v>
      </c>
      <c r="B35" s="637"/>
      <c r="C35" t="s">
        <v>2964</v>
      </c>
      <c r="D35" s="1405"/>
      <c r="E35" s="1406"/>
    </row>
    <row r="36" spans="1:5">
      <c r="A36" s="635" t="s">
        <v>2027</v>
      </c>
      <c r="B36" s="637"/>
      <c r="C36" t="s">
        <v>2965</v>
      </c>
      <c r="D36" s="254"/>
      <c r="E36" s="1402"/>
    </row>
    <row r="37" spans="1:5">
      <c r="A37" s="240"/>
      <c r="B37" s="637"/>
      <c r="C37" t="s">
        <v>3613</v>
      </c>
      <c r="D37" s="254"/>
      <c r="E37" s="1402"/>
    </row>
    <row r="38" spans="1:5">
      <c r="A38" s="635" t="s">
        <v>2028</v>
      </c>
      <c r="B38" s="637"/>
      <c r="C38" t="s">
        <v>3614</v>
      </c>
      <c r="D38" s="254"/>
      <c r="E38" s="1402"/>
    </row>
    <row r="39" spans="1:5">
      <c r="A39" s="635" t="s">
        <v>2029</v>
      </c>
      <c r="B39" s="637"/>
      <c r="C39" t="s">
        <v>3891</v>
      </c>
      <c r="D39" s="254"/>
      <c r="E39" s="1402"/>
    </row>
    <row r="40" spans="1:5">
      <c r="A40" s="635" t="s">
        <v>2030</v>
      </c>
      <c r="B40" s="637"/>
      <c r="C40" t="s">
        <v>948</v>
      </c>
      <c r="D40" s="254"/>
      <c r="E40" s="1402"/>
    </row>
    <row r="41" spans="1:5">
      <c r="A41" s="635" t="s">
        <v>4121</v>
      </c>
      <c r="B41" s="637"/>
      <c r="C41" t="s">
        <v>2746</v>
      </c>
      <c r="D41" s="254"/>
      <c r="E41" s="1402"/>
    </row>
    <row r="42" spans="1:5">
      <c r="A42" s="635" t="s">
        <v>4122</v>
      </c>
      <c r="B42" s="637"/>
      <c r="C42" t="s">
        <v>1761</v>
      </c>
      <c r="D42" s="254"/>
      <c r="E42" s="1402"/>
    </row>
    <row r="43" spans="1:5">
      <c r="A43" s="240"/>
      <c r="B43" s="637"/>
      <c r="C43" t="s">
        <v>1689</v>
      </c>
      <c r="D43" s="254"/>
      <c r="E43" s="1402"/>
    </row>
    <row r="44" spans="1:5">
      <c r="A44" s="240"/>
      <c r="B44" s="637"/>
      <c r="C44" s="30"/>
      <c r="D44" s="1407"/>
      <c r="E44" s="1402"/>
    </row>
    <row r="45" spans="1:5">
      <c r="A45" s="240"/>
      <c r="B45" s="637"/>
      <c r="C45" s="30"/>
      <c r="D45" s="1407"/>
      <c r="E45" s="1402"/>
    </row>
    <row r="46" spans="1:5">
      <c r="A46" s="240"/>
      <c r="B46" s="637"/>
      <c r="C46" s="30"/>
      <c r="D46" s="1407"/>
      <c r="E46" s="1402"/>
    </row>
    <row r="47" spans="1:5">
      <c r="A47" s="240"/>
      <c r="B47" s="637"/>
      <c r="C47" s="30"/>
      <c r="D47" s="1407"/>
      <c r="E47" s="1402"/>
    </row>
    <row r="48" spans="1:5">
      <c r="A48" s="240"/>
      <c r="B48" s="637"/>
      <c r="C48" s="30"/>
      <c r="D48" s="1407"/>
      <c r="E48" s="1402"/>
    </row>
    <row r="49" spans="1:5">
      <c r="A49" s="240"/>
      <c r="B49" s="637"/>
      <c r="C49" s="30"/>
      <c r="D49" s="1407"/>
      <c r="E49" s="1402"/>
    </row>
    <row r="50" spans="1:5">
      <c r="A50" s="240"/>
      <c r="B50" s="637"/>
      <c r="C50" s="30"/>
      <c r="D50" s="1407"/>
      <c r="E50" s="1402"/>
    </row>
    <row r="51" spans="1:5">
      <c r="A51" s="240"/>
      <c r="B51" s="637"/>
      <c r="C51" s="30"/>
      <c r="D51" s="1407"/>
      <c r="E51" s="1402"/>
    </row>
    <row r="52" spans="1:5">
      <c r="A52" s="240"/>
      <c r="B52" s="637"/>
      <c r="C52" s="30"/>
      <c r="D52" s="1407"/>
      <c r="E52" s="1402"/>
    </row>
    <row r="53" spans="1:5">
      <c r="A53" s="240"/>
      <c r="B53" s="637"/>
      <c r="C53" s="30"/>
      <c r="D53" s="1407"/>
      <c r="E53" s="1402"/>
    </row>
    <row r="54" spans="1:5">
      <c r="A54" s="240"/>
      <c r="B54" s="637"/>
      <c r="C54" s="30"/>
      <c r="D54" s="1407"/>
      <c r="E54" s="1402"/>
    </row>
    <row r="55" spans="1:5">
      <c r="A55" s="240"/>
      <c r="B55" s="637"/>
      <c r="C55" s="30"/>
      <c r="D55" s="1407"/>
      <c r="E55" s="1402"/>
    </row>
    <row r="56" spans="1:5">
      <c r="A56" s="240"/>
      <c r="B56" s="637"/>
      <c r="C56" s="30"/>
      <c r="D56" s="1407"/>
      <c r="E56" s="1402"/>
    </row>
    <row r="57" spans="1:5">
      <c r="A57" s="240"/>
      <c r="B57" s="637"/>
      <c r="C57" s="30"/>
      <c r="D57" s="1407"/>
      <c r="E57" s="1402"/>
    </row>
    <row r="58" spans="1:5" ht="15.75" thickBot="1">
      <c r="A58" s="241"/>
      <c r="B58" s="1395"/>
      <c r="C58" s="1363"/>
      <c r="D58" s="1408"/>
      <c r="E58" s="1409"/>
    </row>
    <row r="59" spans="1:5">
      <c r="A59" t="s">
        <v>4066</v>
      </c>
    </row>
    <row r="60" spans="1:5">
      <c r="A60" s="8" t="s">
        <v>1690</v>
      </c>
      <c r="B60" s="8"/>
      <c r="C60" s="8"/>
      <c r="D60" s="8"/>
      <c r="E60" s="8"/>
    </row>
    <row r="67" spans="3:3">
      <c r="C67" s="260"/>
    </row>
    <row r="70" spans="3:3">
      <c r="C70" s="260"/>
    </row>
    <row r="71" spans="3:3">
      <c r="C71" s="260"/>
    </row>
    <row r="72" spans="3:3">
      <c r="C72" s="260"/>
    </row>
    <row r="73" spans="3:3">
      <c r="C73" s="260"/>
    </row>
  </sheetData>
  <customSheetViews>
    <customSheetView guid="{1BA452AD-1A45-4D9C-9666-ADFFA6F2F567}" scale="60" colorId="22" showPageBreaks="1" fitToPage="1" printArea="1" view="pageBreakPreview">
      <selection activeCell="H45" sqref="H45"/>
      <pageMargins left="0.75" right="0.4" top="0.3" bottom="0.3" header="0" footer="0"/>
      <printOptions horizontalCentered="1" verticalCentered="1"/>
      <pageSetup scale="61" orientation="portrait" r:id="rId1"/>
      <headerFooter alignWithMargins="0"/>
    </customSheetView>
    <customSheetView guid="{EEF7ABD6-0F96-4791-B749-C06F707E7673}" scale="87" colorId="22" fitToPage="1" showRuler="0" topLeftCell="C1">
      <selection activeCell="E33" sqref="E33"/>
      <pageMargins left="0.75" right="0.4" top="0.3" bottom="0.3" header="0" footer="0"/>
      <printOptions horizontalCentered="1" verticalCentered="1"/>
      <pageSetup scale="61" orientation="portrait" r:id="rId2"/>
      <headerFooter alignWithMargins="0"/>
    </customSheetView>
    <customSheetView guid="{A7D7DB3C-AFE6-468E-8C6B-9531F6711497}" scale="87" colorId="22" fitToPage="1" showRuler="0">
      <selection activeCell="C26" sqref="C26"/>
      <pageMargins left="0.75" right="0.4" top="0.3" bottom="0.3" header="0" footer="0"/>
      <printOptions horizontalCentered="1" verticalCentered="1"/>
      <pageSetup scale="66" orientation="portrait" r:id="rId3"/>
      <headerFooter alignWithMargins="0"/>
    </customSheetView>
    <customSheetView guid="{4436FEB5-BFEC-4348-9286-CB706802873E}" scale="87" colorId="22" fitToPage="1" showRuler="0">
      <selection activeCell="C26" sqref="C26"/>
      <pageMargins left="0.75" right="0.4" top="0.3" bottom="0.3" header="0" footer="0"/>
      <printOptions horizontalCentered="1" verticalCentered="1"/>
      <pageSetup scale="66" orientation="portrait" r:id="rId4"/>
      <headerFooter alignWithMargins="0"/>
    </customSheetView>
    <customSheetView guid="{044CF00C-469F-44B3-B2C4-9B4049CE70CB}" scale="87" colorId="22" fitToPage="1" showRuler="0">
      <selection sqref="A1:IV65536"/>
      <pageMargins left="0.75" right="0.4" top="0.3" bottom="0.3" header="0" footer="0"/>
      <printOptions horizontalCentered="1" verticalCentered="1"/>
      <pageSetup scale="66" orientation="portrait" r:id="rId5"/>
      <headerFooter alignWithMargins="0"/>
    </customSheetView>
    <customSheetView guid="{4826FCC0-BDD6-4B2C-ACC6-ACE271DDF0E3}" scale="87" colorId="22" fitToPage="1" showRuler="0" topLeftCell="C1">
      <selection activeCell="E33" sqref="E33"/>
      <pageMargins left="0.75" right="0.4" top="0.3" bottom="0.3" header="0" footer="0"/>
      <printOptions horizontalCentered="1" verticalCentered="1"/>
      <pageSetup scale="61" orientation="portrait" r:id="rId6"/>
      <headerFooter alignWithMargins="0"/>
    </customSheetView>
    <customSheetView guid="{EF376D10-23D6-4FE2-AB5B-4460D52CC93F}" scale="87" colorId="22" fitToPage="1" showRuler="0" topLeftCell="C1">
      <selection activeCell="E33" sqref="E33"/>
      <pageMargins left="0.75" right="0.4" top="0.3" bottom="0.3" header="0" footer="0"/>
      <printOptions horizontalCentered="1" verticalCentered="1"/>
      <pageSetup scale="61" orientation="portrait" r:id="rId7"/>
      <headerFooter alignWithMargins="0"/>
    </customSheetView>
    <customSheetView guid="{1C046605-15CE-44F1-BFCD-2CA8588E7ACF}" scale="87" colorId="22" fitToPage="1" showRuler="0">
      <selection activeCell="E26" sqref="E26"/>
      <pageMargins left="0.75" right="0.4" top="0.3" bottom="0.3" header="0" footer="0"/>
      <printOptions horizontalCentered="1" verticalCentered="1"/>
      <pageSetup scale="61" orientation="portrait" r:id="rId8"/>
      <headerFooter alignWithMargins="0"/>
    </customSheetView>
    <customSheetView guid="{3911D713-188C-46A1-A299-F21DD3B7A146}" scale="87" colorId="22" fitToPage="1" showRuler="0" topLeftCell="A4">
      <selection activeCell="G36" sqref="G36"/>
      <pageMargins left="0.75" right="0.4" top="0.3" bottom="0.3" header="0" footer="0"/>
      <printOptions horizontalCentered="1" verticalCentered="1"/>
      <pageSetup scale="61" orientation="portrait" r:id="rId9"/>
      <headerFooter alignWithMargins="0"/>
    </customSheetView>
    <customSheetView guid="{78BB1E60-60BE-4F56-9763-075185EFEFAB}" scale="85" colorId="22" showPageBreaks="1" fitToPage="1" printArea="1" view="pageBreakPreview" topLeftCell="A19">
      <selection activeCell="A2" sqref="A2"/>
      <pageMargins left="0.75" right="0.4" top="0.3" bottom="0.3" header="0" footer="0"/>
      <printOptions horizontalCentered="1" verticalCentered="1"/>
      <pageSetup scale="61" orientation="portrait" r:id="rId10"/>
      <headerFooter alignWithMargins="0"/>
    </customSheetView>
    <customSheetView guid="{9C30803E-1E2D-4850-B0A5-591CA6F246A1}" scale="85" colorId="22" showPageBreaks="1" fitToPage="1" printArea="1" view="pageBreakPreview" topLeftCell="A19">
      <selection activeCell="A2" sqref="A2"/>
      <pageMargins left="0.75" right="0.4" top="0.3" bottom="0.3" header="0" footer="0"/>
      <printOptions horizontalCentered="1" verticalCentered="1"/>
      <pageSetup scale="61" orientation="portrait" r:id="rId11"/>
      <headerFooter alignWithMargins="0"/>
    </customSheetView>
    <customSheetView guid="{3B1006FF-A2CA-49E7-9B25-DAC8815279AF}" scale="85" colorId="22" showPageBreaks="1" fitToPage="1" printArea="1" view="pageBreakPreview" topLeftCell="A19">
      <selection activeCell="A2" sqref="A2"/>
      <pageMargins left="0.75" right="0.4" top="0.3" bottom="0.3" header="0" footer="0"/>
      <printOptions horizontalCentered="1" verticalCentered="1"/>
      <pageSetup scale="61" orientation="portrait" r:id="rId12"/>
      <headerFooter alignWithMargins="0"/>
    </customSheetView>
    <customSheetView guid="{FB1A60C8-E1F9-4DF0-8E0E-1C965F86027F}" scale="85" colorId="22" showPageBreaks="1" fitToPage="1" printArea="1" view="pageBreakPreview" topLeftCell="A19">
      <selection activeCell="A2" sqref="A2"/>
      <pageMargins left="0.75" right="0.4" top="0.3" bottom="0.3" header="0" footer="0"/>
      <printOptions horizontalCentered="1" verticalCentered="1"/>
      <pageSetup scale="61" orientation="portrait" r:id="rId13"/>
      <headerFooter alignWithMargins="0"/>
    </customSheetView>
    <customSheetView guid="{C5B6D812-CBE6-46AA-99F7-02494E9802B4}" scale="70" colorId="22" showPageBreaks="1" fitToPage="1" printArea="1" view="pageBreakPreview" topLeftCell="A15">
      <selection activeCell="C25" sqref="C25"/>
      <pageMargins left="0.75" right="0.4" top="0.3" bottom="0.3" header="0" footer="0"/>
      <printOptions horizontalCentered="1" verticalCentered="1"/>
      <pageSetup scale="61" orientation="portrait" r:id="rId14"/>
      <headerFooter alignWithMargins="0"/>
    </customSheetView>
  </customSheetViews>
  <phoneticPr fontId="0" type="noConversion"/>
  <printOptions horizontalCentered="1" verticalCentered="1"/>
  <pageMargins left="0.75" right="0.4" top="0.3" bottom="0.3" header="0" footer="0"/>
  <pageSetup scale="61" orientation="portrait" r:id="rId15"/>
  <headerFooter alignWithMargins="0"/>
  <customProperties>
    <customPr name="_pios_id" r:id="rId16"/>
  </customProperties>
</worksheet>
</file>

<file path=xl/worksheets/sheet72.xml><?xml version="1.0" encoding="utf-8"?>
<worksheet xmlns="http://schemas.openxmlformats.org/spreadsheetml/2006/main" xmlns:r="http://schemas.openxmlformats.org/officeDocument/2006/relationships">
  <sheetPr transitionEvaluation="1" codeName="Sheet71" enableFormatConditionsCalculation="0">
    <pageSetUpPr fitToPage="1"/>
  </sheetPr>
  <dimension ref="A1:F88"/>
  <sheetViews>
    <sheetView defaultGridColor="0" colorId="22" zoomScale="75" zoomScaleNormal="75" zoomScaleSheetLayoutView="70" workbookViewId="0"/>
  </sheetViews>
  <sheetFormatPr defaultColWidth="9.77734375" defaultRowHeight="15"/>
  <cols>
    <col min="1" max="1" width="4.77734375" customWidth="1"/>
    <col min="2" max="2" width="2.77734375" customWidth="1"/>
    <col min="3" max="3" width="80.77734375" customWidth="1"/>
    <col min="4" max="4" width="20.77734375" customWidth="1"/>
    <col min="5" max="5" width="9.77734375" style="1626"/>
  </cols>
  <sheetData>
    <row r="1" spans="1:4" ht="15.75" thickBot="1">
      <c r="A1" s="186" t="str">
        <f>'Data sheet'!$A$59</f>
        <v>Annual Report of New York American Water Company, Inc. (f/k/a Long Island Water Corp)                                   Year Ended  December 31, 2013</v>
      </c>
      <c r="B1" s="230"/>
      <c r="C1" s="230"/>
      <c r="D1" s="1635"/>
    </row>
    <row r="2" spans="1:4" ht="18">
      <c r="A2" s="1410"/>
      <c r="B2" s="1411"/>
      <c r="C2" s="1411"/>
      <c r="D2" s="1412"/>
    </row>
    <row r="3" spans="1:4" ht="18">
      <c r="A3" s="1413" t="s">
        <v>2352</v>
      </c>
      <c r="B3" s="1414"/>
      <c r="C3" s="1414"/>
      <c r="D3" s="1415"/>
    </row>
    <row r="4" spans="1:4" ht="18">
      <c r="A4" s="1416"/>
      <c r="B4" s="763"/>
      <c r="C4" s="763"/>
      <c r="D4" s="1417"/>
    </row>
    <row r="5" spans="1:4" ht="18">
      <c r="A5" s="1416"/>
      <c r="B5" s="763"/>
      <c r="C5" s="1418" t="s">
        <v>2353</v>
      </c>
      <c r="D5" s="1419"/>
    </row>
    <row r="6" spans="1:4" ht="18">
      <c r="A6" s="1416"/>
      <c r="B6" s="763"/>
      <c r="C6" s="1418" t="s">
        <v>2354</v>
      </c>
      <c r="D6" s="1419"/>
    </row>
    <row r="7" spans="1:4" ht="18">
      <c r="A7" s="1416"/>
      <c r="B7" s="763"/>
      <c r="C7" s="1418" t="s">
        <v>396</v>
      </c>
      <c r="D7" s="1419"/>
    </row>
    <row r="8" spans="1:4" ht="18">
      <c r="A8" s="1416"/>
      <c r="B8" s="763"/>
      <c r="C8" s="1418" t="s">
        <v>3459</v>
      </c>
      <c r="D8" s="1419"/>
    </row>
    <row r="9" spans="1:4" ht="18">
      <c r="A9" s="1416"/>
      <c r="B9" s="763"/>
      <c r="C9" s="1418" t="s">
        <v>424</v>
      </c>
      <c r="D9" s="1419"/>
    </row>
    <row r="10" spans="1:4" ht="18">
      <c r="A10" s="1416"/>
      <c r="B10" s="763"/>
      <c r="C10" s="1418" t="s">
        <v>1729</v>
      </c>
      <c r="D10" s="1419"/>
    </row>
    <row r="11" spans="1:4" ht="18">
      <c r="A11" s="1416"/>
      <c r="B11" s="763"/>
      <c r="C11" s="1418" t="s">
        <v>1730</v>
      </c>
      <c r="D11" s="1419"/>
    </row>
    <row r="12" spans="1:4" ht="18">
      <c r="A12" s="1416"/>
      <c r="B12" s="763"/>
      <c r="C12" s="1418" t="s">
        <v>2154</v>
      </c>
      <c r="D12" s="1419"/>
    </row>
    <row r="13" spans="1:4" ht="18">
      <c r="A13" s="1416"/>
      <c r="B13" s="763"/>
      <c r="C13" s="1418" t="s">
        <v>3918</v>
      </c>
      <c r="D13" s="1419"/>
    </row>
    <row r="14" spans="1:4" ht="18">
      <c r="A14" s="1416"/>
      <c r="B14" s="763"/>
      <c r="C14" s="1418" t="s">
        <v>1076</v>
      </c>
      <c r="D14" s="1419"/>
    </row>
    <row r="15" spans="1:4" ht="18">
      <c r="A15" s="1416"/>
      <c r="B15" s="763"/>
      <c r="C15" s="1418" t="s">
        <v>3958</v>
      </c>
      <c r="D15" s="1419"/>
    </row>
    <row r="16" spans="1:4" ht="18">
      <c r="A16" s="1416"/>
      <c r="B16" s="763"/>
      <c r="C16" s="1418" t="s">
        <v>3959</v>
      </c>
      <c r="D16" s="1419"/>
    </row>
    <row r="17" spans="1:6" ht="18">
      <c r="A17" s="1416"/>
      <c r="B17" s="763"/>
      <c r="C17" s="1418" t="s">
        <v>2247</v>
      </c>
      <c r="D17" s="1419"/>
    </row>
    <row r="18" spans="1:6" ht="18">
      <c r="A18" s="1416"/>
      <c r="B18" s="763"/>
      <c r="C18" s="1418" t="s">
        <v>2473</v>
      </c>
      <c r="D18" s="1419"/>
    </row>
    <row r="19" spans="1:6" ht="18">
      <c r="A19" s="1416"/>
      <c r="B19" s="763"/>
      <c r="C19" s="1418" t="s">
        <v>2474</v>
      </c>
      <c r="D19" s="1419"/>
    </row>
    <row r="20" spans="1:6" ht="18">
      <c r="A20" s="1416"/>
      <c r="B20" s="763"/>
      <c r="C20" s="1418" t="s">
        <v>608</v>
      </c>
      <c r="D20" s="1419"/>
    </row>
    <row r="21" spans="1:6" ht="18">
      <c r="A21" s="1416"/>
      <c r="B21" s="763"/>
      <c r="C21" s="1418" t="s">
        <v>3230</v>
      </c>
      <c r="D21" s="1419"/>
    </row>
    <row r="22" spans="1:6" ht="18">
      <c r="A22" s="1416"/>
      <c r="B22" s="763"/>
      <c r="C22" s="1418" t="s">
        <v>3231</v>
      </c>
      <c r="D22" s="1419"/>
    </row>
    <row r="23" spans="1:6" ht="18">
      <c r="A23" s="1416"/>
      <c r="B23" s="763"/>
      <c r="C23" s="1418" t="s">
        <v>517</v>
      </c>
      <c r="D23" s="1419"/>
    </row>
    <row r="24" spans="1:6" ht="18">
      <c r="A24" s="1416"/>
      <c r="B24" s="1035"/>
      <c r="C24" s="1420" t="s">
        <v>578</v>
      </c>
      <c r="D24" s="1421"/>
    </row>
    <row r="25" spans="1:6">
      <c r="A25" s="1422"/>
      <c r="B25" s="230"/>
      <c r="C25" s="537"/>
      <c r="D25" s="746"/>
    </row>
    <row r="26" spans="1:6">
      <c r="A26" s="1423"/>
      <c r="B26" s="230"/>
      <c r="C26" s="537"/>
      <c r="D26" s="746"/>
    </row>
    <row r="27" spans="1:6">
      <c r="A27" s="1424" t="s">
        <v>1939</v>
      </c>
      <c r="B27" s="13"/>
      <c r="C27" s="821" t="s">
        <v>579</v>
      </c>
      <c r="D27" s="1425" t="s">
        <v>430</v>
      </c>
    </row>
    <row r="28" spans="1:6">
      <c r="A28" s="1426" t="s">
        <v>1941</v>
      </c>
      <c r="B28" s="552"/>
      <c r="C28" s="827" t="s">
        <v>4032</v>
      </c>
      <c r="D28" s="846" t="s">
        <v>4033</v>
      </c>
    </row>
    <row r="29" spans="1:6">
      <c r="A29" s="1423">
        <v>1</v>
      </c>
      <c r="B29" s="230"/>
      <c r="C29" s="537" t="s">
        <v>3019</v>
      </c>
      <c r="D29" s="754">
        <v>0</v>
      </c>
      <c r="F29" s="1626"/>
    </row>
    <row r="30" spans="1:6">
      <c r="A30" s="1423">
        <v>2</v>
      </c>
      <c r="B30" s="230"/>
      <c r="C30" s="537"/>
      <c r="D30" s="761"/>
      <c r="F30" s="1626"/>
    </row>
    <row r="31" spans="1:6">
      <c r="A31" s="1423">
        <v>3</v>
      </c>
      <c r="B31" s="230"/>
      <c r="C31" s="537"/>
      <c r="D31" s="761"/>
    </row>
    <row r="32" spans="1:6">
      <c r="A32" s="1423">
        <v>4</v>
      </c>
      <c r="B32" s="230"/>
      <c r="C32" s="598"/>
      <c r="D32" s="761"/>
    </row>
    <row r="33" spans="1:4">
      <c r="A33" s="1423">
        <v>5</v>
      </c>
      <c r="B33" s="230"/>
      <c r="C33" s="537"/>
      <c r="D33" s="761"/>
    </row>
    <row r="34" spans="1:4">
      <c r="A34" s="1423">
        <v>6</v>
      </c>
      <c r="B34" s="230"/>
      <c r="C34" s="537"/>
      <c r="D34" s="761"/>
    </row>
    <row r="35" spans="1:4">
      <c r="A35" s="1423">
        <v>7</v>
      </c>
      <c r="B35" s="230"/>
      <c r="C35" s="537"/>
      <c r="D35" s="761"/>
    </row>
    <row r="36" spans="1:4">
      <c r="A36" s="1423">
        <v>8</v>
      </c>
      <c r="B36" s="230"/>
      <c r="C36" s="537"/>
      <c r="D36" s="761"/>
    </row>
    <row r="37" spans="1:4">
      <c r="A37" s="1423">
        <v>9</v>
      </c>
      <c r="B37" s="230"/>
      <c r="C37" s="537"/>
      <c r="D37" s="761"/>
    </row>
    <row r="38" spans="1:4">
      <c r="A38" s="1423">
        <v>10</v>
      </c>
      <c r="B38" s="230"/>
      <c r="C38" s="537"/>
      <c r="D38" s="761"/>
    </row>
    <row r="39" spans="1:4">
      <c r="A39" s="1423">
        <v>11</v>
      </c>
      <c r="B39" s="230"/>
      <c r="C39" s="537"/>
      <c r="D39" s="761"/>
    </row>
    <row r="40" spans="1:4">
      <c r="A40" s="1423">
        <v>12</v>
      </c>
      <c r="B40" s="230"/>
      <c r="C40" s="537"/>
      <c r="D40" s="761"/>
    </row>
    <row r="41" spans="1:4">
      <c r="A41" s="1423">
        <v>13</v>
      </c>
      <c r="B41" s="230"/>
      <c r="C41" s="537"/>
      <c r="D41" s="761"/>
    </row>
    <row r="42" spans="1:4">
      <c r="A42" s="1423">
        <v>14</v>
      </c>
      <c r="B42" s="230"/>
      <c r="C42" s="537"/>
      <c r="D42" s="761"/>
    </row>
    <row r="43" spans="1:4">
      <c r="A43" s="1423">
        <v>15</v>
      </c>
      <c r="B43" s="230"/>
      <c r="C43" s="537"/>
      <c r="D43" s="761"/>
    </row>
    <row r="44" spans="1:4">
      <c r="A44" s="1423">
        <v>16</v>
      </c>
      <c r="B44" s="230"/>
      <c r="C44" s="537"/>
      <c r="D44" s="761"/>
    </row>
    <row r="45" spans="1:4">
      <c r="A45" s="1423">
        <v>17</v>
      </c>
      <c r="B45" s="230"/>
      <c r="C45" s="537"/>
      <c r="D45" s="761"/>
    </row>
    <row r="46" spans="1:4">
      <c r="A46" s="1423">
        <v>18</v>
      </c>
      <c r="B46" s="230"/>
      <c r="C46" s="537"/>
      <c r="D46" s="761"/>
    </row>
    <row r="47" spans="1:4">
      <c r="A47" s="1423">
        <v>19</v>
      </c>
      <c r="B47" s="230"/>
      <c r="C47" s="537"/>
      <c r="D47" s="761"/>
    </row>
    <row r="48" spans="1:4">
      <c r="A48" s="1423">
        <v>20</v>
      </c>
      <c r="B48" s="230"/>
      <c r="C48" s="537"/>
      <c r="D48" s="761"/>
    </row>
    <row r="49" spans="1:4">
      <c r="A49" s="1423">
        <v>21</v>
      </c>
      <c r="B49" s="230"/>
      <c r="C49" s="537"/>
      <c r="D49" s="761"/>
    </row>
    <row r="50" spans="1:4">
      <c r="A50" s="1423">
        <v>22</v>
      </c>
      <c r="B50" s="230"/>
      <c r="C50" s="537"/>
      <c r="D50" s="761"/>
    </row>
    <row r="51" spans="1:4">
      <c r="A51" s="1423">
        <v>23</v>
      </c>
      <c r="B51" s="230"/>
      <c r="C51" s="537"/>
      <c r="D51" s="761"/>
    </row>
    <row r="52" spans="1:4">
      <c r="A52" s="1423">
        <v>24</v>
      </c>
      <c r="B52" s="230"/>
      <c r="C52" s="537"/>
      <c r="D52" s="761"/>
    </row>
    <row r="53" spans="1:4">
      <c r="A53" s="1423">
        <v>25</v>
      </c>
      <c r="B53" s="230"/>
      <c r="C53" s="537"/>
      <c r="D53" s="761"/>
    </row>
    <row r="54" spans="1:4">
      <c r="A54" s="1423">
        <v>26</v>
      </c>
      <c r="B54" s="230"/>
      <c r="C54" s="537"/>
      <c r="D54" s="761"/>
    </row>
    <row r="55" spans="1:4">
      <c r="A55" s="1423">
        <v>27</v>
      </c>
      <c r="B55" s="230"/>
      <c r="C55" s="537"/>
      <c r="D55" s="761"/>
    </row>
    <row r="56" spans="1:4">
      <c r="A56" s="1423">
        <v>28</v>
      </c>
      <c r="B56" s="230"/>
      <c r="C56" s="537"/>
      <c r="D56" s="761"/>
    </row>
    <row r="57" spans="1:4">
      <c r="A57" s="1423">
        <v>29</v>
      </c>
      <c r="B57" s="230"/>
      <c r="C57" s="537"/>
      <c r="D57" s="761"/>
    </row>
    <row r="58" spans="1:4">
      <c r="A58" s="1423">
        <v>30</v>
      </c>
      <c r="B58" s="230"/>
      <c r="C58" s="537"/>
      <c r="D58" s="761"/>
    </row>
    <row r="59" spans="1:4">
      <c r="A59" s="1423">
        <v>31</v>
      </c>
      <c r="B59" s="230"/>
      <c r="C59" s="537"/>
      <c r="D59" s="761"/>
    </row>
    <row r="60" spans="1:4">
      <c r="A60" s="1423">
        <v>32</v>
      </c>
      <c r="B60" s="230"/>
      <c r="C60" s="537"/>
      <c r="D60" s="761"/>
    </row>
    <row r="61" spans="1:4">
      <c r="A61" s="1423">
        <v>33</v>
      </c>
      <c r="B61" s="230"/>
      <c r="C61" s="537"/>
      <c r="D61" s="461"/>
    </row>
    <row r="62" spans="1:4" ht="15.75" thickBot="1">
      <c r="A62" s="766">
        <v>34</v>
      </c>
      <c r="B62" s="1427"/>
      <c r="C62" s="1428" t="s">
        <v>3323</v>
      </c>
      <c r="D62" s="439">
        <f>SUM(D29:D61)</f>
        <v>0</v>
      </c>
    </row>
    <row r="63" spans="1:4">
      <c r="B63" s="230"/>
      <c r="C63" s="230"/>
      <c r="D63" s="230" t="s">
        <v>4066</v>
      </c>
    </row>
    <row r="64" spans="1:4">
      <c r="A64" s="13" t="s">
        <v>580</v>
      </c>
      <c r="B64" s="13"/>
      <c r="C64" s="8"/>
      <c r="D64" s="13"/>
    </row>
    <row r="65" spans="1:4" ht="18">
      <c r="A65" s="763"/>
      <c r="B65" s="763"/>
      <c r="C65" s="763"/>
      <c r="D65" s="763"/>
    </row>
    <row r="66" spans="1:4" ht="18">
      <c r="A66" s="763"/>
      <c r="B66" s="763"/>
      <c r="C66" s="763"/>
      <c r="D66" s="763"/>
    </row>
    <row r="67" spans="1:4" ht="18">
      <c r="A67" s="763"/>
      <c r="B67" s="763"/>
      <c r="C67" s="763"/>
      <c r="D67" s="763"/>
    </row>
    <row r="68" spans="1:4" ht="18">
      <c r="A68" s="763"/>
      <c r="B68" s="763"/>
      <c r="C68" s="763"/>
      <c r="D68" s="763"/>
    </row>
    <row r="69" spans="1:4" ht="18">
      <c r="A69" s="763"/>
      <c r="B69" s="763"/>
      <c r="C69" s="763"/>
      <c r="D69" s="763"/>
    </row>
    <row r="70" spans="1:4" ht="18">
      <c r="A70" s="763"/>
      <c r="B70" s="763"/>
      <c r="C70" s="260"/>
      <c r="D70" s="763"/>
    </row>
    <row r="71" spans="1:4" ht="18">
      <c r="A71" s="763"/>
      <c r="B71" s="763"/>
      <c r="D71" s="763"/>
    </row>
    <row r="72" spans="1:4" ht="18">
      <c r="A72" s="763"/>
      <c r="B72" s="763"/>
      <c r="C72" s="763"/>
      <c r="D72" s="763"/>
    </row>
    <row r="73" spans="1:4" ht="18">
      <c r="A73" s="763"/>
      <c r="B73" s="763"/>
      <c r="C73" s="260"/>
      <c r="D73" s="763"/>
    </row>
    <row r="74" spans="1:4" ht="18">
      <c r="A74" s="763"/>
      <c r="B74" s="763"/>
      <c r="C74" s="260"/>
    </row>
    <row r="75" spans="1:4" ht="18">
      <c r="A75" s="763"/>
      <c r="B75" s="763"/>
      <c r="C75" s="260"/>
    </row>
    <row r="76" spans="1:4" ht="18">
      <c r="A76" s="763"/>
      <c r="B76" s="763"/>
      <c r="C76" s="260"/>
    </row>
    <row r="77" spans="1:4" ht="18">
      <c r="A77" s="763"/>
      <c r="B77" s="763"/>
    </row>
    <row r="78" spans="1:4" ht="18">
      <c r="A78" s="763"/>
      <c r="B78" s="763"/>
    </row>
    <row r="79" spans="1:4" ht="18">
      <c r="A79" s="763"/>
      <c r="B79" s="763"/>
      <c r="C79" s="763"/>
    </row>
    <row r="80" spans="1:4" ht="18">
      <c r="A80" s="763"/>
      <c r="B80" s="763"/>
      <c r="C80" s="763"/>
    </row>
    <row r="81" spans="1:4" ht="18">
      <c r="A81" s="763"/>
      <c r="B81" s="763"/>
      <c r="C81" s="763"/>
    </row>
    <row r="82" spans="1:4" ht="18">
      <c r="A82" s="763"/>
      <c r="B82" s="763"/>
      <c r="C82" s="763"/>
    </row>
    <row r="83" spans="1:4" ht="18">
      <c r="A83" s="763"/>
      <c r="B83" s="763"/>
      <c r="C83" s="763"/>
      <c r="D83" s="763"/>
    </row>
    <row r="84" spans="1:4" ht="18">
      <c r="A84" s="763"/>
      <c r="B84" s="763"/>
      <c r="C84" s="763"/>
      <c r="D84" s="763"/>
    </row>
    <row r="85" spans="1:4" ht="18">
      <c r="A85" s="763"/>
      <c r="B85" s="763"/>
      <c r="C85" s="763"/>
      <c r="D85" s="763"/>
    </row>
    <row r="86" spans="1:4" ht="18">
      <c r="A86" s="763"/>
      <c r="B86" s="763"/>
      <c r="C86" s="763"/>
      <c r="D86" s="763"/>
    </row>
    <row r="87" spans="1:4" ht="18">
      <c r="A87" s="763"/>
      <c r="B87" s="763"/>
      <c r="C87" s="763"/>
      <c r="D87" s="763"/>
    </row>
    <row r="88" spans="1:4" ht="18">
      <c r="A88" s="763"/>
      <c r="B88" s="763"/>
      <c r="C88" s="763"/>
      <c r="D88" s="763"/>
    </row>
  </sheetData>
  <customSheetViews>
    <customSheetView guid="{1BA452AD-1A45-4D9C-9666-ADFFA6F2F567}" colorId="22" showPageBreaks="1" fitToPage="1" printArea="1" view="pageBreakPreview">
      <rowBreaks count="1" manualBreakCount="1">
        <brk id="65" max="16383" man="1"/>
      </rowBreaks>
      <pageMargins left="0.75" right="0.4" top="0.3" bottom="0.3" header="0" footer="0"/>
      <printOptions horizontalCentered="1" verticalCentered="1"/>
      <pageSetup scale="66" orientation="portrait" r:id="rId1"/>
      <headerFooter alignWithMargins="0"/>
    </customSheetView>
    <customSheetView guid="{EEF7ABD6-0F96-4791-B749-C06F707E7673}" colorId="22" showPageBreaks="1" fitToPage="1" printArea="1" view="pageBreakPreview" showRuler="0" topLeftCell="B1">
      <selection activeCell="D34" sqref="D34"/>
      <rowBreaks count="1" manualBreakCount="1">
        <brk id="65" max="16383" man="1"/>
      </rowBreaks>
      <pageMargins left="0.75" right="0.4" top="0.3" bottom="0.3" header="0" footer="0"/>
      <printOptions horizontalCentered="1" verticalCentered="1"/>
      <pageSetup scale="66" orientation="portrait" r:id="rId2"/>
      <headerFooter alignWithMargins="0"/>
    </customSheetView>
    <customSheetView guid="{A7D7DB3C-AFE6-468E-8C6B-9531F6711497}" scale="75" colorId="22" fitToPage="1" showRuler="0" topLeftCell="A13">
      <selection activeCell="D31" sqref="D31"/>
      <rowBreaks count="1" manualBreakCount="1">
        <brk id="65" max="16383" man="1"/>
      </rowBreaks>
      <pageMargins left="0.75" right="0.4" top="0.3" bottom="0.3" header="0" footer="0"/>
      <printOptions horizontalCentered="1" verticalCentered="1"/>
      <pageSetup scale="72" orientation="portrait" r:id="rId3"/>
      <headerFooter alignWithMargins="0"/>
    </customSheetView>
    <customSheetView guid="{4436FEB5-BFEC-4348-9286-CB706802873E}" scale="75" colorId="22" fitToPage="1" showRuler="0" topLeftCell="A13">
      <selection activeCell="D31" sqref="D31"/>
      <rowBreaks count="1" manualBreakCount="1">
        <brk id="65" max="16383" man="1"/>
      </rowBreaks>
      <pageMargins left="0.75" right="0.4" top="0.3" bottom="0.3" header="0" footer="0"/>
      <printOptions horizontalCentered="1" verticalCentered="1"/>
      <pageSetup scale="72" orientation="portrait" r:id="rId4"/>
      <headerFooter alignWithMargins="0"/>
    </customSheetView>
    <customSheetView guid="{044CF00C-469F-44B3-B2C4-9B4049CE70CB}" scale="75" colorId="22" fitToPage="1" showRuler="0" topLeftCell="A13">
      <selection activeCell="C30" sqref="C30"/>
      <rowBreaks count="1" manualBreakCount="1">
        <brk id="65" max="16383" man="1"/>
      </rowBreaks>
      <pageMargins left="0.75" right="0.4" top="0.3" bottom="0.3" header="0" footer="0"/>
      <printOptions horizontalCentered="1" verticalCentered="1"/>
      <pageSetup scale="72" orientation="portrait" r:id="rId5"/>
      <headerFooter alignWithMargins="0"/>
    </customSheetView>
    <customSheetView guid="{4826FCC0-BDD6-4B2C-ACC6-ACE271DDF0E3}" colorId="22" showPageBreaks="1" fitToPage="1" printArea="1" view="pageBreakPreview" showRuler="0" topLeftCell="B16">
      <selection activeCell="D34" sqref="D34"/>
      <rowBreaks count="1" manualBreakCount="1">
        <brk id="65" max="16383" man="1"/>
      </rowBreaks>
      <pageMargins left="0.75" right="0.4" top="0.3" bottom="0.3" header="0" footer="0"/>
      <printOptions horizontalCentered="1" verticalCentered="1"/>
      <pageSetup scale="66" orientation="portrait" r:id="rId6"/>
      <headerFooter alignWithMargins="0"/>
    </customSheetView>
    <customSheetView guid="{EF376D10-23D6-4FE2-AB5B-4460D52CC93F}" colorId="22" showPageBreaks="1" fitToPage="1" printArea="1" view="pageBreakPreview" showRuler="0" topLeftCell="B1">
      <selection activeCell="D34" sqref="D34"/>
      <rowBreaks count="1" manualBreakCount="1">
        <brk id="65" max="16383" man="1"/>
      </rowBreaks>
      <pageMargins left="0.75" right="0.4" top="0.3" bottom="0.3" header="0" footer="0"/>
      <printOptions horizontalCentered="1" verticalCentered="1"/>
      <pageSetup scale="66" orientation="portrait" r:id="rId7"/>
      <headerFooter alignWithMargins="0"/>
    </customSheetView>
    <customSheetView guid="{1C046605-15CE-44F1-BFCD-2CA8588E7ACF}" scale="75" colorId="22" fitToPage="1" showRuler="0" topLeftCell="B29">
      <selection activeCell="F29" sqref="F29"/>
      <rowBreaks count="1" manualBreakCount="1">
        <brk id="65" max="16383" man="1"/>
      </rowBreaks>
      <pageMargins left="0.75" right="0.4" top="0.3" bottom="0.3" header="0" footer="0"/>
      <printOptions horizontalCentered="1" verticalCentered="1"/>
      <pageSetup scale="66" orientation="portrait" r:id="rId8"/>
      <headerFooter alignWithMargins="0"/>
    </customSheetView>
    <customSheetView guid="{3911D713-188C-46A1-A299-F21DD3B7A146}" scale="75" colorId="22" fitToPage="1" showRuler="0" topLeftCell="B1">
      <selection activeCell="F29" sqref="F29"/>
      <rowBreaks count="1" manualBreakCount="1">
        <brk id="65" max="16383" man="1"/>
      </rowBreaks>
      <pageMargins left="0.75" right="0.4" top="0.3" bottom="0.3" header="0" footer="0"/>
      <printOptions horizontalCentered="1" verticalCentered="1"/>
      <pageSetup scale="66" orientation="portrait" r:id="rId9"/>
      <headerFooter alignWithMargins="0"/>
    </customSheetView>
    <customSheetView guid="{78BB1E60-60BE-4F56-9763-075185EFEFAB}" colorId="22" showPageBreaks="1" fitToPage="1" printArea="1" view="pageBreakPreview">
      <rowBreaks count="1" manualBreakCount="1">
        <brk id="65" max="16383" man="1"/>
      </rowBreaks>
      <pageMargins left="0.75" right="0.4" top="0.3" bottom="0.3" header="0" footer="0"/>
      <printOptions horizontalCentered="1" verticalCentered="1"/>
      <pageSetup scale="66" orientation="portrait" r:id="rId10"/>
      <headerFooter alignWithMargins="0"/>
    </customSheetView>
    <customSheetView guid="{9C30803E-1E2D-4850-B0A5-591CA6F246A1}" colorId="22" showPageBreaks="1" fitToPage="1" printArea="1" view="pageBreakPreview">
      <rowBreaks count="1" manualBreakCount="1">
        <brk id="65" max="16383" man="1"/>
      </rowBreaks>
      <pageMargins left="0.75" right="0.4" top="0.3" bottom="0.3" header="0" footer="0"/>
      <printOptions horizontalCentered="1" verticalCentered="1"/>
      <pageSetup scale="66" orientation="portrait" r:id="rId11"/>
      <headerFooter alignWithMargins="0"/>
    </customSheetView>
    <customSheetView guid="{3B1006FF-A2CA-49E7-9B25-DAC8815279AF}" colorId="22" showPageBreaks="1" fitToPage="1" printArea="1" view="pageBreakPreview">
      <rowBreaks count="1" manualBreakCount="1">
        <brk id="65" max="16383" man="1"/>
      </rowBreaks>
      <pageMargins left="0.75" right="0.4" top="0.3" bottom="0.3" header="0" footer="0"/>
      <printOptions horizontalCentered="1" verticalCentered="1"/>
      <pageSetup scale="66" orientation="portrait" r:id="rId12"/>
      <headerFooter alignWithMargins="0"/>
    </customSheetView>
    <customSheetView guid="{FB1A60C8-E1F9-4DF0-8E0E-1C965F86027F}" colorId="22" showPageBreaks="1" fitToPage="1" printArea="1" view="pageBreakPreview">
      <rowBreaks count="1" manualBreakCount="1">
        <brk id="65" max="16383" man="1"/>
      </rowBreaks>
      <pageMargins left="0.75" right="0.4" top="0.3" bottom="0.3" header="0" footer="0"/>
      <printOptions horizontalCentered="1" verticalCentered="1"/>
      <pageSetup scale="66" orientation="portrait" r:id="rId13"/>
      <headerFooter alignWithMargins="0"/>
    </customSheetView>
    <customSheetView guid="{C5B6D812-CBE6-46AA-99F7-02494E9802B4}" scale="70" colorId="22" showPageBreaks="1" fitToPage="1" printArea="1" view="pageBreakPreview">
      <selection activeCell="C6" sqref="C6"/>
      <rowBreaks count="1" manualBreakCount="1">
        <brk id="65" max="16383" man="1"/>
      </rowBreaks>
      <pageMargins left="0.75" right="0.4" top="0.3" bottom="0.3" header="0" footer="0"/>
      <printOptions horizontalCentered="1" verticalCentered="1"/>
      <pageSetup scale="66" orientation="portrait" r:id="rId14"/>
      <headerFooter alignWithMargins="0"/>
    </customSheetView>
  </customSheetViews>
  <phoneticPr fontId="0" type="noConversion"/>
  <printOptions horizontalCentered="1" verticalCentered="1"/>
  <pageMargins left="0.75" right="0.4" top="0.3" bottom="0.3" header="0" footer="0"/>
  <pageSetup scale="66" orientation="portrait" r:id="rId15"/>
  <headerFooter alignWithMargins="0"/>
  <rowBreaks count="1" manualBreakCount="1">
    <brk id="65" max="16383" man="1"/>
  </rowBreaks>
  <customProperties>
    <customPr name="_pios_id" r:id="rId16"/>
  </customProperties>
</worksheet>
</file>

<file path=xl/worksheets/sheet73.xml><?xml version="1.0" encoding="utf-8"?>
<worksheet xmlns="http://schemas.openxmlformats.org/spreadsheetml/2006/main" xmlns:r="http://schemas.openxmlformats.org/officeDocument/2006/relationships">
  <sheetPr transitionEvaluation="1" codeName="Sheet72" enableFormatConditionsCalculation="0">
    <pageSetUpPr fitToPage="1"/>
  </sheetPr>
  <dimension ref="A1:Q98"/>
  <sheetViews>
    <sheetView defaultGridColor="0" colorId="22" zoomScale="70" zoomScaleNormal="70" workbookViewId="0"/>
  </sheetViews>
  <sheetFormatPr defaultColWidth="10.6640625" defaultRowHeight="15"/>
  <cols>
    <col min="1" max="1" width="6.6640625" style="2447" customWidth="1"/>
    <col min="2" max="16384" width="10.6640625" style="2447"/>
  </cols>
  <sheetData>
    <row r="1" spans="1:17" ht="15.95" customHeight="1" thickBot="1">
      <c r="A1" s="2444" t="str">
        <f>+'Data sheet'!A53</f>
        <v>Annual Report of New York American Water Company, Inc. (f/k/a Long Island Water Corp)                                   Year Ended  December 31, 2013</v>
      </c>
      <c r="B1" s="2445"/>
      <c r="C1" s="2445"/>
      <c r="D1" s="2445"/>
      <c r="E1" s="2445"/>
      <c r="F1" s="2445"/>
      <c r="G1" s="2445"/>
      <c r="H1" s="2445"/>
      <c r="I1" s="2445"/>
      <c r="J1" s="2445"/>
      <c r="K1" s="2445"/>
      <c r="L1" s="2445"/>
      <c r="M1" s="2445"/>
      <c r="N1" s="2445"/>
      <c r="O1" s="2445"/>
      <c r="P1" s="2445"/>
      <c r="Q1" s="2446"/>
    </row>
    <row r="2" spans="1:17" ht="15.95" customHeight="1">
      <c r="A2" s="2448"/>
      <c r="B2" s="2449"/>
      <c r="C2" s="2449"/>
      <c r="D2" s="2449"/>
      <c r="E2" s="2449"/>
      <c r="F2" s="2449"/>
      <c r="G2" s="2449"/>
      <c r="H2" s="2449"/>
      <c r="I2" s="2449"/>
      <c r="J2" s="2449"/>
      <c r="K2" s="2449"/>
      <c r="L2" s="2449"/>
      <c r="M2" s="2449"/>
      <c r="N2" s="2449"/>
      <c r="O2" s="2449"/>
      <c r="P2" s="2450"/>
      <c r="Q2" s="2451"/>
    </row>
    <row r="3" spans="1:17" ht="15.95" customHeight="1">
      <c r="A3" s="2452" t="s">
        <v>581</v>
      </c>
      <c r="B3" s="2451"/>
      <c r="C3" s="2451"/>
      <c r="D3" s="2451"/>
      <c r="E3" s="2451"/>
      <c r="F3" s="2451"/>
      <c r="G3" s="2451"/>
      <c r="H3" s="2451"/>
      <c r="I3" s="2451"/>
      <c r="J3" s="2451"/>
      <c r="K3" s="2451"/>
      <c r="L3" s="2451"/>
      <c r="M3" s="2451"/>
      <c r="N3" s="2451"/>
      <c r="O3" s="2451"/>
      <c r="P3" s="2453"/>
      <c r="Q3" s="2451"/>
    </row>
    <row r="4" spans="1:17" ht="15.95" customHeight="1">
      <c r="A4" s="2452"/>
      <c r="B4" s="2451"/>
      <c r="C4" s="2451"/>
      <c r="D4" s="2451"/>
      <c r="E4" s="2451"/>
      <c r="F4" s="2451"/>
      <c r="G4" s="2451"/>
      <c r="H4" s="2451"/>
      <c r="I4" s="2451"/>
      <c r="J4" s="2451"/>
      <c r="K4" s="2451"/>
      <c r="L4" s="2451"/>
      <c r="M4" s="2451"/>
      <c r="N4" s="2451"/>
      <c r="O4" s="2451"/>
      <c r="P4" s="2453"/>
      <c r="Q4" s="2451"/>
    </row>
    <row r="5" spans="1:17" ht="15.95" customHeight="1">
      <c r="A5" s="2452" t="s">
        <v>1444</v>
      </c>
      <c r="B5" s="2451"/>
      <c r="C5" s="2451"/>
      <c r="D5" s="2451"/>
      <c r="E5" s="2451"/>
      <c r="F5" s="2451"/>
      <c r="G5" s="2451"/>
      <c r="H5" s="2451"/>
      <c r="I5" s="2451"/>
      <c r="J5" s="2451" t="s">
        <v>3964</v>
      </c>
      <c r="K5" s="2451"/>
      <c r="L5" s="2451"/>
      <c r="M5" s="2451"/>
      <c r="N5" s="2451"/>
      <c r="O5" s="2451"/>
      <c r="P5" s="2453"/>
      <c r="Q5" s="2451"/>
    </row>
    <row r="6" spans="1:17" ht="15.95" customHeight="1">
      <c r="A6" s="2452" t="s">
        <v>3965</v>
      </c>
      <c r="B6" s="2451"/>
      <c r="C6" s="2451"/>
      <c r="D6" s="2451"/>
      <c r="E6" s="2451"/>
      <c r="F6" s="2451"/>
      <c r="G6" s="2451"/>
      <c r="H6" s="2451"/>
      <c r="I6" s="2451"/>
      <c r="J6" s="2451"/>
      <c r="K6" s="2451"/>
      <c r="L6" s="2451"/>
      <c r="M6" s="2451"/>
      <c r="N6" s="2451"/>
      <c r="O6" s="2451"/>
      <c r="P6" s="2453"/>
      <c r="Q6" s="2451"/>
    </row>
    <row r="7" spans="1:17" ht="15.95" customHeight="1">
      <c r="A7" s="2452" t="s">
        <v>1298</v>
      </c>
      <c r="B7" s="2451"/>
      <c r="C7" s="2451"/>
      <c r="D7" s="2451"/>
      <c r="E7" s="2451"/>
      <c r="F7" s="2451"/>
      <c r="G7" s="2451"/>
      <c r="H7" s="2451"/>
      <c r="I7" s="2451"/>
      <c r="J7" s="2451" t="s">
        <v>3351</v>
      </c>
      <c r="K7" s="2451"/>
      <c r="L7" s="2451"/>
      <c r="M7" s="2451"/>
      <c r="N7" s="2451"/>
      <c r="O7" s="2451"/>
      <c r="P7" s="2453"/>
      <c r="Q7" s="2451"/>
    </row>
    <row r="8" spans="1:17" ht="15.95" customHeight="1">
      <c r="A8" s="2452"/>
      <c r="B8" s="2451"/>
      <c r="C8" s="2451"/>
      <c r="D8" s="2451"/>
      <c r="E8" s="2451"/>
      <c r="F8" s="2451"/>
      <c r="G8" s="2451"/>
      <c r="H8" s="2451"/>
      <c r="I8" s="2451"/>
      <c r="J8" s="2451" t="s">
        <v>3352</v>
      </c>
      <c r="K8" s="2451"/>
      <c r="L8" s="2451"/>
      <c r="M8" s="2451"/>
      <c r="N8" s="2451"/>
      <c r="O8" s="2451"/>
      <c r="P8" s="2453"/>
      <c r="Q8" s="2451"/>
    </row>
    <row r="9" spans="1:17" ht="15.95" customHeight="1">
      <c r="A9" s="2452" t="s">
        <v>2252</v>
      </c>
      <c r="B9" s="2451"/>
      <c r="C9" s="2451"/>
      <c r="D9" s="2451"/>
      <c r="E9" s="2451"/>
      <c r="F9" s="2451"/>
      <c r="G9" s="2451"/>
      <c r="H9" s="2451"/>
      <c r="I9" s="2451"/>
      <c r="J9" s="2451" t="s">
        <v>2253</v>
      </c>
      <c r="K9" s="2451"/>
      <c r="L9" s="2451"/>
      <c r="M9" s="2451"/>
      <c r="N9" s="2451"/>
      <c r="O9" s="2451"/>
      <c r="P9" s="2453"/>
      <c r="Q9" s="2451"/>
    </row>
    <row r="10" spans="1:17" ht="15.95" customHeight="1">
      <c r="A10" s="2452"/>
      <c r="B10" s="2451"/>
      <c r="C10" s="2451"/>
      <c r="D10" s="2451"/>
      <c r="E10" s="2451"/>
      <c r="F10" s="2451"/>
      <c r="G10" s="2451"/>
      <c r="H10" s="2451"/>
      <c r="I10" s="2451"/>
      <c r="J10" s="2451"/>
      <c r="K10" s="2451"/>
      <c r="L10" s="2451"/>
      <c r="M10" s="2451"/>
      <c r="N10" s="2451"/>
      <c r="O10" s="2451"/>
      <c r="P10" s="2453"/>
      <c r="Q10" s="2451"/>
    </row>
    <row r="11" spans="1:17" ht="15.95" customHeight="1">
      <c r="A11" s="2454"/>
      <c r="B11" s="2445"/>
      <c r="C11" s="2445"/>
      <c r="D11" s="2445"/>
      <c r="E11" s="2445"/>
      <c r="F11" s="2445"/>
      <c r="G11" s="2445"/>
      <c r="H11" s="2445"/>
      <c r="I11" s="2445"/>
      <c r="J11" s="2445"/>
      <c r="K11" s="2445"/>
      <c r="L11" s="2444"/>
      <c r="M11" s="2445"/>
      <c r="N11" s="2445"/>
      <c r="O11" s="2445"/>
      <c r="P11" s="2455"/>
      <c r="Q11" s="2451"/>
    </row>
    <row r="12" spans="1:17" ht="15.95" customHeight="1">
      <c r="A12" s="2454"/>
      <c r="B12" s="2444"/>
      <c r="C12" s="2456" t="s">
        <v>4567</v>
      </c>
      <c r="D12" s="2457"/>
      <c r="E12" s="2456" t="s">
        <v>4568</v>
      </c>
      <c r="F12" s="2457"/>
      <c r="G12" s="2457"/>
      <c r="H12" s="2457"/>
      <c r="I12" s="2457"/>
      <c r="J12" s="2457"/>
      <c r="K12" s="2457"/>
      <c r="L12" s="2456" t="s">
        <v>4569</v>
      </c>
      <c r="M12" s="2457"/>
      <c r="N12" s="2457"/>
      <c r="O12" s="2457"/>
      <c r="P12" s="2458" t="s">
        <v>3013</v>
      </c>
      <c r="Q12" s="2451"/>
    </row>
    <row r="13" spans="1:17" ht="15.95" customHeight="1">
      <c r="A13" s="2452"/>
      <c r="B13" s="2446"/>
      <c r="C13" s="2459"/>
      <c r="D13" s="2460"/>
      <c r="E13" s="2444"/>
      <c r="F13" s="2456" t="s">
        <v>2714</v>
      </c>
      <c r="G13" s="2457"/>
      <c r="H13" s="2456" t="s">
        <v>4570</v>
      </c>
      <c r="I13" s="2457"/>
      <c r="J13" s="2456" t="s">
        <v>4571</v>
      </c>
      <c r="K13" s="2457"/>
      <c r="L13" s="2446"/>
      <c r="M13" s="2451"/>
      <c r="N13" s="2451"/>
      <c r="O13" s="2451"/>
      <c r="P13" s="2461" t="s">
        <v>3823</v>
      </c>
      <c r="Q13" s="2451"/>
    </row>
    <row r="14" spans="1:17" ht="15.95" customHeight="1">
      <c r="A14" s="2462"/>
      <c r="B14" s="2463"/>
      <c r="C14" s="2444"/>
      <c r="D14" s="2464" t="s">
        <v>2902</v>
      </c>
      <c r="E14" s="2444"/>
      <c r="F14" s="2444"/>
      <c r="G14" s="2444"/>
      <c r="H14" s="2444"/>
      <c r="I14" s="2444"/>
      <c r="J14" s="2464" t="s">
        <v>1477</v>
      </c>
      <c r="K14" s="2464" t="s">
        <v>1477</v>
      </c>
      <c r="L14" s="2444"/>
      <c r="M14" s="2444"/>
      <c r="N14" s="2444"/>
      <c r="O14" s="2464" t="s">
        <v>4</v>
      </c>
      <c r="P14" s="2461" t="s">
        <v>3827</v>
      </c>
      <c r="Q14" s="2451"/>
    </row>
    <row r="15" spans="1:17" ht="15.95" customHeight="1">
      <c r="A15" s="2462" t="s">
        <v>1939</v>
      </c>
      <c r="B15" s="2463" t="s">
        <v>3828</v>
      </c>
      <c r="C15" s="2463"/>
      <c r="D15" s="2463"/>
      <c r="E15" s="2463" t="s">
        <v>4260</v>
      </c>
      <c r="F15" s="2463"/>
      <c r="G15" s="2463" t="s">
        <v>3823</v>
      </c>
      <c r="H15" s="2463"/>
      <c r="I15" s="2463" t="s">
        <v>3823</v>
      </c>
      <c r="J15" s="2463"/>
      <c r="K15" s="2463" t="s">
        <v>3823</v>
      </c>
      <c r="L15" s="2463" t="s">
        <v>3824</v>
      </c>
      <c r="M15" s="2463" t="s">
        <v>3825</v>
      </c>
      <c r="N15" s="2463" t="s">
        <v>3826</v>
      </c>
      <c r="O15" s="2463" t="s">
        <v>3322</v>
      </c>
      <c r="P15" s="2461" t="s">
        <v>3400</v>
      </c>
      <c r="Q15" s="2451"/>
    </row>
    <row r="16" spans="1:17" ht="15.95" customHeight="1">
      <c r="A16" s="2462"/>
      <c r="B16" s="2463"/>
      <c r="C16" s="2463" t="s">
        <v>3829</v>
      </c>
      <c r="D16" s="2463" t="s">
        <v>3830</v>
      </c>
      <c r="E16" s="2463" t="s">
        <v>342</v>
      </c>
      <c r="F16" s="2463" t="s">
        <v>3831</v>
      </c>
      <c r="G16" s="2463" t="s">
        <v>3831</v>
      </c>
      <c r="H16" s="2463" t="s">
        <v>3831</v>
      </c>
      <c r="I16" s="2463" t="s">
        <v>3831</v>
      </c>
      <c r="J16" s="2463" t="s">
        <v>3831</v>
      </c>
      <c r="K16" s="2463" t="s">
        <v>3831</v>
      </c>
      <c r="L16" s="2463" t="s">
        <v>3832</v>
      </c>
      <c r="M16" s="2463" t="s">
        <v>3833</v>
      </c>
      <c r="N16" s="2463" t="s">
        <v>3834</v>
      </c>
      <c r="O16" s="2463"/>
      <c r="P16" s="2461"/>
      <c r="Q16" s="2451"/>
    </row>
    <row r="17" spans="1:17" ht="15.95" customHeight="1">
      <c r="A17" s="2462" t="s">
        <v>1941</v>
      </c>
      <c r="B17" s="2463"/>
      <c r="C17" s="2463" t="s">
        <v>3754</v>
      </c>
      <c r="D17" s="2463" t="s">
        <v>4572</v>
      </c>
      <c r="E17" s="2463" t="s">
        <v>3754</v>
      </c>
      <c r="F17" s="2463" t="s">
        <v>3754</v>
      </c>
      <c r="G17" s="2463" t="s">
        <v>3754</v>
      </c>
      <c r="H17" s="2463" t="s">
        <v>3754</v>
      </c>
      <c r="I17" s="2463" t="s">
        <v>3754</v>
      </c>
      <c r="J17" s="2463" t="s">
        <v>3754</v>
      </c>
      <c r="K17" s="2463" t="s">
        <v>3754</v>
      </c>
      <c r="L17" s="2463" t="s">
        <v>3754</v>
      </c>
      <c r="M17" s="2463" t="s">
        <v>3754</v>
      </c>
      <c r="N17" s="2463" t="s">
        <v>3754</v>
      </c>
      <c r="O17" s="2463" t="s">
        <v>3754</v>
      </c>
      <c r="P17" s="2461" t="s">
        <v>3754</v>
      </c>
      <c r="Q17" s="2451"/>
    </row>
    <row r="18" spans="1:17" ht="15.95" customHeight="1">
      <c r="A18" s="2462"/>
      <c r="B18" s="2463" t="s">
        <v>932</v>
      </c>
      <c r="C18" s="2463" t="s">
        <v>933</v>
      </c>
      <c r="D18" s="2463" t="s">
        <v>934</v>
      </c>
      <c r="E18" s="2463" t="s">
        <v>935</v>
      </c>
      <c r="F18" s="2463" t="s">
        <v>936</v>
      </c>
      <c r="G18" s="2463" t="s">
        <v>937</v>
      </c>
      <c r="H18" s="2463" t="s">
        <v>938</v>
      </c>
      <c r="I18" s="2463" t="s">
        <v>939</v>
      </c>
      <c r="J18" s="2463" t="s">
        <v>4484</v>
      </c>
      <c r="K18" s="2463" t="s">
        <v>4485</v>
      </c>
      <c r="L18" s="2463" t="s">
        <v>4486</v>
      </c>
      <c r="M18" s="2463" t="s">
        <v>4487</v>
      </c>
      <c r="N18" s="2463" t="s">
        <v>4488</v>
      </c>
      <c r="O18" s="2463" t="s">
        <v>4573</v>
      </c>
      <c r="P18" s="2461" t="s">
        <v>4574</v>
      </c>
      <c r="Q18" s="2451"/>
    </row>
    <row r="19" spans="1:17" ht="15.95" customHeight="1">
      <c r="A19" s="2465">
        <v>1</v>
      </c>
      <c r="B19" s="2466" t="s">
        <v>3839</v>
      </c>
      <c r="C19" s="2467"/>
      <c r="D19" s="2467">
        <v>700705</v>
      </c>
      <c r="E19" s="2467">
        <v>0</v>
      </c>
      <c r="F19" s="2468">
        <v>543006.77</v>
      </c>
      <c r="G19" s="2956"/>
      <c r="H19" s="2954"/>
      <c r="I19" s="2467">
        <v>0</v>
      </c>
      <c r="J19" s="2467">
        <v>478.64</v>
      </c>
      <c r="K19" s="2468">
        <v>0</v>
      </c>
      <c r="L19" s="2467"/>
      <c r="M19" s="2467"/>
      <c r="N19" s="2467">
        <v>20250</v>
      </c>
      <c r="O19" s="2467">
        <v>25697.975000000093</v>
      </c>
      <c r="P19" s="2469">
        <f t="shared" ref="P19:P30" si="0">+D19-F19-I19-J19-K19-N19-O19</f>
        <v>111271.61499999987</v>
      </c>
      <c r="Q19" s="2451"/>
    </row>
    <row r="20" spans="1:17" ht="15.95" customHeight="1">
      <c r="A20" s="2470">
        <v>2</v>
      </c>
      <c r="B20" s="2471" t="s">
        <v>3840</v>
      </c>
      <c r="C20" s="2472"/>
      <c r="D20" s="2472">
        <v>639991.99800000002</v>
      </c>
      <c r="E20" s="2472">
        <v>0</v>
      </c>
      <c r="F20" s="2473">
        <v>528153.92000000004</v>
      </c>
      <c r="G20" s="2957"/>
      <c r="H20" s="2955"/>
      <c r="I20" s="2472">
        <v>0</v>
      </c>
      <c r="J20" s="2472">
        <v>435.952</v>
      </c>
      <c r="K20" s="2473">
        <v>0</v>
      </c>
      <c r="L20" s="2472"/>
      <c r="M20" s="2472"/>
      <c r="N20" s="2472">
        <v>18596</v>
      </c>
      <c r="O20" s="2472">
        <v>20140.110000000102</v>
      </c>
      <c r="P20" s="2474">
        <f t="shared" si="0"/>
        <v>72666.015999999872</v>
      </c>
      <c r="Q20" s="3003"/>
    </row>
    <row r="21" spans="1:17" ht="15.95" customHeight="1">
      <c r="A21" s="2470">
        <v>3</v>
      </c>
      <c r="B21" s="2471" t="s">
        <v>3841</v>
      </c>
      <c r="C21" s="2472"/>
      <c r="D21" s="2472">
        <v>688415.18599999999</v>
      </c>
      <c r="E21" s="2472">
        <v>0</v>
      </c>
      <c r="F21" s="2473">
        <v>475024.99</v>
      </c>
      <c r="G21" s="2957"/>
      <c r="H21" s="2955"/>
      <c r="I21" s="2472">
        <v>0</v>
      </c>
      <c r="J21" s="2472">
        <v>476.29599999999999</v>
      </c>
      <c r="K21" s="2473">
        <v>13015</v>
      </c>
      <c r="L21" s="2475"/>
      <c r="M21" s="2472"/>
      <c r="N21" s="2472">
        <v>19902</v>
      </c>
      <c r="O21" s="2472">
        <v>25002.108999999822</v>
      </c>
      <c r="P21" s="2474">
        <f t="shared" si="0"/>
        <v>154994.79100000017</v>
      </c>
      <c r="Q21" s="2451"/>
    </row>
    <row r="22" spans="1:17" ht="15.95" customHeight="1">
      <c r="A22" s="2470">
        <v>4</v>
      </c>
      <c r="B22" s="2471" t="s">
        <v>3842</v>
      </c>
      <c r="C22" s="2472"/>
      <c r="D22" s="2472">
        <v>767659.33600000013</v>
      </c>
      <c r="E22" s="2472">
        <v>0</v>
      </c>
      <c r="F22" s="2473">
        <v>551859.71</v>
      </c>
      <c r="G22" s="2957"/>
      <c r="H22" s="2955"/>
      <c r="I22" s="2472">
        <v>0</v>
      </c>
      <c r="J22" s="2472">
        <v>448.995</v>
      </c>
      <c r="K22" s="2473">
        <v>7723</v>
      </c>
      <c r="L22" s="2475"/>
      <c r="M22" s="2472"/>
      <c r="N22" s="2472">
        <v>22303</v>
      </c>
      <c r="O22" s="2472">
        <v>24238.974999999977</v>
      </c>
      <c r="P22" s="2474">
        <f t="shared" si="0"/>
        <v>161085.65600000019</v>
      </c>
      <c r="Q22" s="2451"/>
    </row>
    <row r="23" spans="1:17" ht="15.95" customHeight="1">
      <c r="A23" s="2470">
        <v>5</v>
      </c>
      <c r="B23" s="2471" t="s">
        <v>3843</v>
      </c>
      <c r="C23" s="2472"/>
      <c r="D23" s="2472">
        <v>1000513.0349999999</v>
      </c>
      <c r="E23" s="2472">
        <v>0</v>
      </c>
      <c r="F23" s="2473">
        <v>693149.85000000009</v>
      </c>
      <c r="G23" s="2957"/>
      <c r="H23" s="2955"/>
      <c r="I23" s="2472">
        <v>0</v>
      </c>
      <c r="J23" s="2472">
        <v>449.42200000000003</v>
      </c>
      <c r="K23" s="2473">
        <v>10774</v>
      </c>
      <c r="L23" s="2475"/>
      <c r="M23" s="2472"/>
      <c r="N23" s="2472">
        <v>29077</v>
      </c>
      <c r="O23" s="2472">
        <v>31265.893999999855</v>
      </c>
      <c r="P23" s="2474">
        <f t="shared" si="0"/>
        <v>235796.86899999995</v>
      </c>
      <c r="Q23" s="2451"/>
    </row>
    <row r="24" spans="1:17" ht="15.95" customHeight="1">
      <c r="A24" s="2470">
        <v>6</v>
      </c>
      <c r="B24" s="2471" t="s">
        <v>3844</v>
      </c>
      <c r="C24" s="2472"/>
      <c r="D24" s="2472">
        <v>1060607.9850000001</v>
      </c>
      <c r="E24" s="2472">
        <v>0</v>
      </c>
      <c r="F24" s="2473">
        <v>841032.19000000006</v>
      </c>
      <c r="G24" s="2957"/>
      <c r="H24" s="2955"/>
      <c r="I24" s="2472">
        <v>0</v>
      </c>
      <c r="J24" s="2472">
        <v>442.71100000000001</v>
      </c>
      <c r="K24" s="2473">
        <v>0</v>
      </c>
      <c r="L24" s="2472"/>
      <c r="M24" s="2472"/>
      <c r="N24" s="2472">
        <v>30692</v>
      </c>
      <c r="O24" s="2472">
        <v>37534.434000000125</v>
      </c>
      <c r="P24" s="2474">
        <f t="shared" si="0"/>
        <v>150906.64999999991</v>
      </c>
      <c r="Q24" s="2451"/>
    </row>
    <row r="25" spans="1:17" ht="15.95" customHeight="1">
      <c r="A25" s="2470">
        <v>7</v>
      </c>
      <c r="B25" s="2471" t="s">
        <v>3845</v>
      </c>
      <c r="C25" s="2472"/>
      <c r="D25" s="2472">
        <v>1323355.0730000001</v>
      </c>
      <c r="E25" s="2472">
        <v>0</v>
      </c>
      <c r="F25" s="2473">
        <v>939046.33000000007</v>
      </c>
      <c r="G25" s="2957"/>
      <c r="H25" s="2955"/>
      <c r="I25" s="2472">
        <v>0</v>
      </c>
      <c r="J25" s="2472">
        <v>454.90899999999999</v>
      </c>
      <c r="K25" s="2473">
        <v>0</v>
      </c>
      <c r="L25" s="2472"/>
      <c r="M25" s="2472"/>
      <c r="N25" s="2472">
        <v>37797</v>
      </c>
      <c r="O25" s="2472">
        <v>63470.374999999767</v>
      </c>
      <c r="P25" s="2474">
        <f t="shared" si="0"/>
        <v>282586.45900000026</v>
      </c>
      <c r="Q25" s="2451"/>
    </row>
    <row r="26" spans="1:17" ht="15.95" customHeight="1">
      <c r="A26" s="2470">
        <v>8</v>
      </c>
      <c r="B26" s="2471" t="s">
        <v>1925</v>
      </c>
      <c r="C26" s="2472"/>
      <c r="D26" s="2472">
        <v>1213588.1370000001</v>
      </c>
      <c r="E26" s="2472">
        <v>0</v>
      </c>
      <c r="F26" s="2473">
        <v>1106111.04</v>
      </c>
      <c r="G26" s="2957"/>
      <c r="H26" s="2955"/>
      <c r="I26" s="2472">
        <v>0</v>
      </c>
      <c r="J26" s="2472">
        <v>448.51499999999999</v>
      </c>
      <c r="K26" s="2473">
        <v>0</v>
      </c>
      <c r="L26" s="2472"/>
      <c r="M26" s="2472"/>
      <c r="N26" s="2472">
        <v>35452</v>
      </c>
      <c r="O26" s="2472">
        <v>31855.805999999866</v>
      </c>
      <c r="P26" s="2474">
        <f t="shared" si="0"/>
        <v>39720.776000000202</v>
      </c>
      <c r="Q26" s="2451"/>
    </row>
    <row r="27" spans="1:17" ht="15.95" customHeight="1">
      <c r="A27" s="2470">
        <v>9</v>
      </c>
      <c r="B27" s="2471" t="s">
        <v>1926</v>
      </c>
      <c r="C27" s="2472"/>
      <c r="D27" s="2472">
        <v>1159230.0280000002</v>
      </c>
      <c r="E27" s="2472">
        <v>0</v>
      </c>
      <c r="F27" s="2473">
        <v>1111849.17</v>
      </c>
      <c r="G27" s="2957"/>
      <c r="H27" s="2955"/>
      <c r="I27" s="2472">
        <v>0</v>
      </c>
      <c r="J27" s="2472">
        <v>420.07900000000001</v>
      </c>
      <c r="K27" s="2473">
        <v>0</v>
      </c>
      <c r="L27" s="2472"/>
      <c r="M27" s="2472"/>
      <c r="N27" s="2472">
        <v>33607</v>
      </c>
      <c r="O27" s="2472">
        <v>38993.070999999763</v>
      </c>
      <c r="P27" s="2474">
        <f t="shared" si="0"/>
        <v>-25639.291999999521</v>
      </c>
      <c r="Q27" s="2451"/>
    </row>
    <row r="28" spans="1:17" ht="15.95" customHeight="1">
      <c r="A28" s="2470">
        <v>10</v>
      </c>
      <c r="B28" s="2471" t="s">
        <v>1927</v>
      </c>
      <c r="C28" s="2472"/>
      <c r="D28" s="2472">
        <v>1018798.2150000001</v>
      </c>
      <c r="E28" s="2472">
        <v>0</v>
      </c>
      <c r="F28" s="2473">
        <v>811734.85</v>
      </c>
      <c r="G28" s="2957"/>
      <c r="H28" s="2955"/>
      <c r="I28" s="2472">
        <v>0</v>
      </c>
      <c r="J28" s="2472">
        <v>213.16300000000001</v>
      </c>
      <c r="K28" s="2473">
        <v>1458</v>
      </c>
      <c r="L28" s="2472"/>
      <c r="M28" s="2472"/>
      <c r="N28" s="2472">
        <v>29401</v>
      </c>
      <c r="O28" s="2472">
        <v>38772.634733333485</v>
      </c>
      <c r="P28" s="2474">
        <f t="shared" si="0"/>
        <v>137218.56726666662</v>
      </c>
      <c r="Q28" s="2451"/>
    </row>
    <row r="29" spans="1:17" ht="15.95" customHeight="1">
      <c r="A29" s="2470">
        <v>11</v>
      </c>
      <c r="B29" s="2471" t="s">
        <v>1928</v>
      </c>
      <c r="C29" s="2472"/>
      <c r="D29" s="2472">
        <v>695797.62699999998</v>
      </c>
      <c r="E29" s="2472">
        <v>0</v>
      </c>
      <c r="F29" s="2473">
        <v>730731.42999999993</v>
      </c>
      <c r="G29" s="2957"/>
      <c r="H29" s="2955"/>
      <c r="I29" s="2472">
        <v>0</v>
      </c>
      <c r="J29" s="2472">
        <v>54.536000000000001</v>
      </c>
      <c r="K29" s="2473">
        <v>0</v>
      </c>
      <c r="L29" s="2472"/>
      <c r="M29" s="2472"/>
      <c r="N29" s="2472">
        <v>20081</v>
      </c>
      <c r="O29" s="2472">
        <v>26438.824466666672</v>
      </c>
      <c r="P29" s="2474">
        <f t="shared" si="0"/>
        <v>-81508.163466666621</v>
      </c>
      <c r="Q29" s="2451"/>
    </row>
    <row r="30" spans="1:17" ht="15.95" customHeight="1">
      <c r="A30" s="2470">
        <v>12</v>
      </c>
      <c r="B30" s="2471" t="s">
        <v>1929</v>
      </c>
      <c r="C30" s="2472"/>
      <c r="D30" s="2472">
        <v>643718.99999999977</v>
      </c>
      <c r="E30" s="2472">
        <v>0</v>
      </c>
      <c r="F30" s="2473">
        <v>682677.95000000007</v>
      </c>
      <c r="G30" s="2958"/>
      <c r="H30" s="2955"/>
      <c r="I30" s="2472">
        <v>0</v>
      </c>
      <c r="J30" s="2472">
        <v>0</v>
      </c>
      <c r="K30" s="2473">
        <v>0</v>
      </c>
      <c r="L30" s="2472"/>
      <c r="M30" s="2472"/>
      <c r="N30" s="2472">
        <v>18565</v>
      </c>
      <c r="O30" s="2472">
        <v>24896.083999999682</v>
      </c>
      <c r="P30" s="2474">
        <f t="shared" si="0"/>
        <v>-82420.033999999985</v>
      </c>
      <c r="Q30" s="2451"/>
    </row>
    <row r="31" spans="1:17" ht="15.95" customHeight="1">
      <c r="A31" s="2470">
        <v>13</v>
      </c>
      <c r="B31" s="2466" t="s">
        <v>1930</v>
      </c>
      <c r="C31" s="2467">
        <f t="shared" ref="C31:O31" si="1">SUM(C19:C30)</f>
        <v>0</v>
      </c>
      <c r="D31" s="2467">
        <f t="shared" si="1"/>
        <v>10912380.620000001</v>
      </c>
      <c r="E31" s="2467">
        <f t="shared" si="1"/>
        <v>0</v>
      </c>
      <c r="F31" s="2467">
        <f t="shared" si="1"/>
        <v>9014378.1999999993</v>
      </c>
      <c r="G31" s="2467">
        <f t="shared" si="1"/>
        <v>0</v>
      </c>
      <c r="H31" s="2467">
        <f t="shared" si="1"/>
        <v>0</v>
      </c>
      <c r="I31" s="2467">
        <f t="shared" si="1"/>
        <v>0</v>
      </c>
      <c r="J31" s="2467">
        <f>SUM(J19:J30)</f>
        <v>4323.2179999999998</v>
      </c>
      <c r="K31" s="2467">
        <f t="shared" si="1"/>
        <v>32970</v>
      </c>
      <c r="L31" s="2467">
        <f t="shared" si="1"/>
        <v>0</v>
      </c>
      <c r="M31" s="2467">
        <f t="shared" si="1"/>
        <v>0</v>
      </c>
      <c r="N31" s="2467">
        <f t="shared" si="1"/>
        <v>315723</v>
      </c>
      <c r="O31" s="2467">
        <f t="shared" si="1"/>
        <v>388306.29219999921</v>
      </c>
      <c r="P31" s="2469">
        <f>SUM(P19:P30)</f>
        <v>1156679.9098000012</v>
      </c>
      <c r="Q31" s="2451"/>
    </row>
    <row r="32" spans="1:17" ht="15.95" customHeight="1">
      <c r="A32" s="2476"/>
      <c r="B32" s="2477" t="s">
        <v>4575</v>
      </c>
      <c r="C32" s="2477"/>
      <c r="D32" s="2477"/>
      <c r="E32" s="2477"/>
      <c r="F32" s="2477"/>
      <c r="G32" s="2477"/>
      <c r="H32" s="2477"/>
      <c r="I32" s="2477"/>
      <c r="J32" s="2477"/>
      <c r="K32" s="2477"/>
      <c r="L32" s="2477"/>
      <c r="M32" s="2477"/>
      <c r="N32" s="2477"/>
      <c r="O32" s="2477"/>
      <c r="P32" s="2478"/>
      <c r="Q32" s="2451"/>
    </row>
    <row r="33" spans="1:17" ht="15.95" customHeight="1">
      <c r="A33" s="2476"/>
      <c r="B33" s="2477" t="s">
        <v>2902</v>
      </c>
      <c r="C33" s="2477" t="s">
        <v>2137</v>
      </c>
      <c r="D33" s="2477"/>
      <c r="E33" s="2477"/>
      <c r="F33" s="2477"/>
      <c r="G33" s="2477"/>
      <c r="H33" s="2479"/>
      <c r="I33" s="2480">
        <f>D31</f>
        <v>10912380.620000001</v>
      </c>
      <c r="J33" s="2477" t="s">
        <v>2497</v>
      </c>
      <c r="K33" s="2477"/>
      <c r="L33" s="2477"/>
      <c r="M33" s="2477"/>
      <c r="N33" s="2477"/>
      <c r="O33" s="2477"/>
      <c r="P33" s="2478"/>
      <c r="Q33" s="2451"/>
    </row>
    <row r="34" spans="1:17" ht="15.95" customHeight="1">
      <c r="A34" s="2481"/>
      <c r="B34" s="2482" t="s">
        <v>4</v>
      </c>
      <c r="C34" s="2482" t="s">
        <v>1478</v>
      </c>
      <c r="D34" s="2482"/>
      <c r="E34" s="2482"/>
      <c r="F34" s="2482"/>
      <c r="G34" s="2482"/>
      <c r="H34" s="2483"/>
      <c r="I34" s="2484">
        <f>O31</f>
        <v>388306.29219999921</v>
      </c>
      <c r="J34" s="2482" t="s">
        <v>2497</v>
      </c>
      <c r="K34" s="2482"/>
      <c r="L34" s="2482"/>
      <c r="M34" s="2482"/>
      <c r="N34" s="2482"/>
      <c r="O34" s="2482"/>
      <c r="P34" s="2485"/>
      <c r="Q34" s="2451"/>
    </row>
    <row r="35" spans="1:17" ht="15.95" customHeight="1">
      <c r="A35" s="2481"/>
      <c r="B35" s="2482"/>
      <c r="C35" s="2482" t="s">
        <v>1479</v>
      </c>
      <c r="D35" s="2482"/>
      <c r="E35" s="2482"/>
      <c r="F35" s="2482"/>
      <c r="G35" s="2482"/>
      <c r="H35" s="2483"/>
      <c r="I35" s="2484">
        <f>[38]F!E35*1000</f>
        <v>10057569.443666663</v>
      </c>
      <c r="J35" s="2482" t="s">
        <v>2497</v>
      </c>
      <c r="K35" s="2482"/>
      <c r="L35" s="2482"/>
      <c r="M35" s="2482"/>
      <c r="N35" s="2482"/>
      <c r="O35" s="2482"/>
      <c r="P35" s="2485"/>
      <c r="Q35" s="2451"/>
    </row>
    <row r="36" spans="1:17" ht="15.95" customHeight="1">
      <c r="A36" s="2481"/>
      <c r="B36" s="2482"/>
      <c r="C36" s="2482" t="s">
        <v>2138</v>
      </c>
      <c r="D36" s="2482"/>
      <c r="E36" s="2482"/>
      <c r="F36" s="2482"/>
      <c r="G36" s="2482"/>
      <c r="H36" s="2483"/>
      <c r="I36" s="2484">
        <f>H31+I31</f>
        <v>0</v>
      </c>
      <c r="J36" s="2482" t="s">
        <v>2497</v>
      </c>
      <c r="K36" s="2482"/>
      <c r="L36" s="2482"/>
      <c r="M36" s="2482"/>
      <c r="N36" s="2484"/>
      <c r="O36" s="2482"/>
      <c r="P36" s="2485"/>
      <c r="Q36" s="2451"/>
    </row>
    <row r="37" spans="1:17" ht="15.95" customHeight="1">
      <c r="A37" s="2481"/>
      <c r="B37" s="2482"/>
      <c r="C37" s="2482" t="s">
        <v>3966</v>
      </c>
      <c r="D37" s="2482"/>
      <c r="E37" s="2482"/>
      <c r="F37" s="2482"/>
      <c r="G37" s="2482"/>
      <c r="H37" s="2483"/>
      <c r="I37" s="2484">
        <f>I35-I36</f>
        <v>10057569.443666663</v>
      </c>
      <c r="J37" s="2482" t="s">
        <v>2497</v>
      </c>
      <c r="K37" s="2482"/>
      <c r="L37" s="2482"/>
      <c r="M37" s="2482"/>
      <c r="N37" s="2482"/>
      <c r="O37" s="2482"/>
      <c r="P37" s="2485"/>
      <c r="Q37" s="2451"/>
    </row>
    <row r="38" spans="1:17" ht="15.95" customHeight="1">
      <c r="A38" s="2481"/>
      <c r="B38" s="2482" t="s">
        <v>1477</v>
      </c>
      <c r="C38" s="2482" t="s">
        <v>4576</v>
      </c>
      <c r="D38" s="2482"/>
      <c r="E38" s="2482"/>
      <c r="F38" s="2482"/>
      <c r="G38" s="2482"/>
      <c r="H38" s="2482"/>
      <c r="I38" s="2482"/>
      <c r="J38" s="2482"/>
      <c r="K38" s="2482"/>
      <c r="L38" s="2482"/>
      <c r="M38" s="2482"/>
      <c r="N38" s="2482"/>
      <c r="O38" s="2482"/>
      <c r="P38" s="2485"/>
      <c r="Q38" s="2451"/>
    </row>
    <row r="39" spans="1:17" ht="15.95" customHeight="1">
      <c r="A39" s="2481"/>
      <c r="B39" s="2482" t="s">
        <v>4</v>
      </c>
      <c r="C39" s="2482" t="s">
        <v>1480</v>
      </c>
      <c r="D39" s="2482"/>
      <c r="E39" s="2482"/>
      <c r="F39" s="2482"/>
      <c r="G39" s="2482"/>
      <c r="H39" s="2482"/>
      <c r="I39" s="2482"/>
      <c r="J39" s="2482"/>
      <c r="K39" s="2482"/>
      <c r="L39" s="2482"/>
      <c r="M39" s="2482"/>
      <c r="N39" s="2482"/>
      <c r="O39" s="2482"/>
      <c r="P39" s="2485"/>
      <c r="Q39" s="2451"/>
    </row>
    <row r="40" spans="1:17" ht="15.95" customHeight="1">
      <c r="A40" s="2481"/>
      <c r="B40" s="2482"/>
      <c r="C40" s="2482"/>
      <c r="D40" s="2482"/>
      <c r="E40" s="2482"/>
      <c r="F40" s="2482"/>
      <c r="G40" s="2482"/>
      <c r="H40" s="2482"/>
      <c r="I40" s="2482"/>
      <c r="J40" s="2482"/>
      <c r="K40" s="2482"/>
      <c r="L40" s="2482"/>
      <c r="M40" s="2482"/>
      <c r="N40" s="2482"/>
      <c r="O40" s="2482"/>
      <c r="P40" s="2485"/>
      <c r="Q40" s="2451"/>
    </row>
    <row r="41" spans="1:17" ht="15.95" customHeight="1" thickBot="1">
      <c r="A41" s="2486"/>
      <c r="B41" s="2487"/>
      <c r="C41" s="2487"/>
      <c r="D41" s="2487"/>
      <c r="E41" s="2487"/>
      <c r="F41" s="2487"/>
      <c r="G41" s="2487"/>
      <c r="H41" s="2487"/>
      <c r="I41" s="2487"/>
      <c r="J41" s="2487"/>
      <c r="K41" s="2487"/>
      <c r="L41" s="2487"/>
      <c r="M41" s="2487"/>
      <c r="N41" s="2487"/>
      <c r="O41" s="2487"/>
      <c r="P41" s="2488"/>
      <c r="Q41" s="2451"/>
    </row>
    <row r="42" spans="1:17" ht="15.95" customHeight="1">
      <c r="A42" s="2449"/>
      <c r="B42" s="2449"/>
      <c r="C42" s="2449"/>
      <c r="D42" s="2449"/>
      <c r="E42" s="2449"/>
      <c r="F42" s="2449"/>
      <c r="G42" s="2449"/>
      <c r="H42" s="2449"/>
      <c r="I42" s="2449"/>
      <c r="J42" s="2449"/>
      <c r="K42" s="2449"/>
      <c r="L42" s="2449"/>
      <c r="M42" s="2449"/>
      <c r="N42" s="2449"/>
      <c r="O42" s="2449" t="s">
        <v>2500</v>
      </c>
      <c r="P42" s="2449"/>
    </row>
    <row r="43" spans="1:17" ht="15.95" customHeight="1">
      <c r="A43" s="2489" t="s">
        <v>4012</v>
      </c>
      <c r="B43" s="2489"/>
      <c r="C43" s="2489"/>
      <c r="D43" s="2489"/>
      <c r="E43" s="2489"/>
      <c r="F43" s="2489"/>
      <c r="G43" s="2489"/>
      <c r="H43" s="2489"/>
      <c r="I43" s="2489"/>
      <c r="J43" s="2489"/>
      <c r="K43" s="2489"/>
      <c r="L43" s="2489"/>
      <c r="M43" s="2489"/>
      <c r="N43" s="2489"/>
      <c r="O43" s="2489"/>
      <c r="P43" s="2489"/>
    </row>
    <row r="44" spans="1:17" ht="15.95" customHeight="1"/>
    <row r="45" spans="1:17" ht="15.95" customHeight="1"/>
    <row r="46" spans="1:17" ht="15.95" customHeight="1"/>
    <row r="47" spans="1:17" ht="15.95" customHeight="1"/>
    <row r="48" spans="1:17"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sheetData>
  <customSheetViews>
    <customSheetView guid="{1BA452AD-1A45-4D9C-9666-ADFFA6F2F567}" colorId="22" fitToPage="1" topLeftCell="A16">
      <selection activeCell="A2" sqref="A2"/>
      <colBreaks count="1" manualBreakCount="1">
        <brk id="16" max="1048575" man="1"/>
      </colBreaks>
      <pageMargins left="0.25" right="0.25" top="0.75" bottom="0.25" header="0" footer="0"/>
      <printOptions horizontalCentered="1" verticalCentered="1"/>
      <pageSetup scale="67" orientation="landscape" r:id="rId1"/>
      <headerFooter alignWithMargins="0"/>
    </customSheetView>
    <customSheetView guid="{EEF7ABD6-0F96-4791-B749-C06F707E7673}" scale="87" colorId="22" fitToPage="1" showRuler="0">
      <selection activeCell="N33" sqref="N33"/>
      <colBreaks count="1" manualBreakCount="1">
        <brk id="16" max="1048575" man="1"/>
      </colBreaks>
      <pageMargins left="0.25" right="0.25" top="0.75" bottom="0.25" header="0" footer="0"/>
      <printOptions horizontalCentered="1" verticalCentered="1"/>
      <pageSetup scale="70" orientation="landscape" r:id="rId2"/>
      <headerFooter alignWithMargins="0"/>
    </customSheetView>
    <customSheetView guid="{A7D7DB3C-AFE6-468E-8C6B-9531F6711497}" scale="87" colorId="22" fitToPage="1" showRuler="0">
      <selection activeCell="F28" sqref="F28"/>
      <colBreaks count="1" manualBreakCount="1">
        <brk id="16" max="1048575" man="1"/>
      </colBreaks>
      <pageMargins left="0.25" right="0.25" top="0.75" bottom="0.25" header="0" footer="0"/>
      <printOptions horizontalCentered="1" verticalCentered="1"/>
      <pageSetup scale="70" orientation="landscape" r:id="rId3"/>
      <headerFooter alignWithMargins="0"/>
    </customSheetView>
    <customSheetView guid="{4436FEB5-BFEC-4348-9286-CB706802873E}" scale="87" colorId="22" fitToPage="1" showRuler="0">
      <selection activeCell="F28" sqref="F28"/>
      <colBreaks count="1" manualBreakCount="1">
        <brk id="16" max="1048575" man="1"/>
      </colBreaks>
      <pageMargins left="0.25" right="0.25" top="0.75" bottom="0.25" header="0" footer="0"/>
      <printOptions horizontalCentered="1" verticalCentered="1"/>
      <pageSetup scale="70" orientation="landscape" r:id="rId4"/>
      <headerFooter alignWithMargins="0"/>
    </customSheetView>
    <customSheetView guid="{044CF00C-469F-44B3-B2C4-9B4049CE70CB}" scale="87" colorId="22" fitToPage="1" showRuler="0" topLeftCell="G1">
      <selection activeCell="M22" sqref="M22"/>
      <colBreaks count="1" manualBreakCount="1">
        <brk id="16" max="1048575" man="1"/>
      </colBreaks>
      <pageMargins left="0.25" right="0.25" top="0.75" bottom="0.25" header="0" footer="0"/>
      <printOptions horizontalCentered="1" verticalCentered="1"/>
      <pageSetup scale="70" orientation="landscape" r:id="rId5"/>
      <headerFooter alignWithMargins="0"/>
    </customSheetView>
    <customSheetView guid="{4826FCC0-BDD6-4B2C-ACC6-ACE271DDF0E3}" scale="87" colorId="22" fitToPage="1" showRuler="0">
      <selection activeCell="N33" sqref="N33"/>
      <colBreaks count="1" manualBreakCount="1">
        <brk id="16" max="1048575" man="1"/>
      </colBreaks>
      <pageMargins left="0.25" right="0.25" top="0.75" bottom="0.25" header="0" footer="0"/>
      <printOptions horizontalCentered="1" verticalCentered="1"/>
      <pageSetup scale="70" orientation="landscape" r:id="rId6"/>
      <headerFooter alignWithMargins="0"/>
    </customSheetView>
    <customSheetView guid="{EF376D10-23D6-4FE2-AB5B-4460D52CC93F}" scale="87" colorId="22" fitToPage="1" showRuler="0">
      <selection activeCell="N33" sqref="N33"/>
      <colBreaks count="1" manualBreakCount="1">
        <brk id="16" max="1048575" man="1"/>
      </colBreaks>
      <pageMargins left="0.25" right="0.25" top="0.75" bottom="0.25" header="0" footer="0"/>
      <printOptions horizontalCentered="1" verticalCentered="1"/>
      <pageSetup scale="70" orientation="landscape" r:id="rId7"/>
      <headerFooter alignWithMargins="0"/>
    </customSheetView>
    <customSheetView guid="{1C046605-15CE-44F1-BFCD-2CA8588E7ACF}" scale="87" colorId="22" fitToPage="1" showRuler="0">
      <selection activeCell="I41" sqref="I41"/>
      <colBreaks count="1" manualBreakCount="1">
        <brk id="16" max="1048575" man="1"/>
      </colBreaks>
      <pageMargins left="0.25" right="0.25" top="0.75" bottom="0.25" header="0" footer="0"/>
      <printOptions horizontalCentered="1" verticalCentered="1"/>
      <pageSetup scale="70" orientation="landscape" r:id="rId8"/>
      <headerFooter alignWithMargins="0"/>
    </customSheetView>
    <customSheetView guid="{3911D713-188C-46A1-A299-F21DD3B7A146}" scale="87" colorId="22" fitToPage="1" showRuler="0">
      <selection activeCell="I41" sqref="I41"/>
      <colBreaks count="1" manualBreakCount="1">
        <brk id="16" max="1048575" man="1"/>
      </colBreaks>
      <pageMargins left="0.25" right="0.25" top="0.75" bottom="0.25" header="0" footer="0"/>
      <printOptions horizontalCentered="1" verticalCentered="1"/>
      <pageSetup scale="70" orientation="landscape" r:id="rId9"/>
      <headerFooter alignWithMargins="0"/>
    </customSheetView>
    <customSheetView guid="{78BB1E60-60BE-4F56-9763-075185EFEFAB}" colorId="22" fitToPage="1" topLeftCell="A16">
      <selection activeCell="A2" sqref="A2"/>
      <colBreaks count="1" manualBreakCount="1">
        <brk id="16" max="1048575" man="1"/>
      </colBreaks>
      <pageMargins left="0.25" right="0.25" top="0.75" bottom="0.25" header="0" footer="0"/>
      <printOptions horizontalCentered="1" verticalCentered="1"/>
      <pageSetup scale="67" orientation="landscape" r:id="rId10"/>
      <headerFooter alignWithMargins="0"/>
    </customSheetView>
    <customSheetView guid="{9C30803E-1E2D-4850-B0A5-591CA6F246A1}" colorId="22" fitToPage="1" topLeftCell="A16">
      <selection activeCell="A2" sqref="A2"/>
      <colBreaks count="1" manualBreakCount="1">
        <brk id="16" max="1048575" man="1"/>
      </colBreaks>
      <pageMargins left="0.25" right="0.25" top="0.75" bottom="0.25" header="0" footer="0"/>
      <printOptions horizontalCentered="1" verticalCentered="1"/>
      <pageSetup scale="67" orientation="landscape" r:id="rId11"/>
      <headerFooter alignWithMargins="0"/>
    </customSheetView>
    <customSheetView guid="{3B1006FF-A2CA-49E7-9B25-DAC8815279AF}" colorId="22" fitToPage="1" topLeftCell="A16">
      <selection activeCell="A2" sqref="A2"/>
      <colBreaks count="1" manualBreakCount="1">
        <brk id="16" max="1048575" man="1"/>
      </colBreaks>
      <pageMargins left="0.25" right="0.25" top="0.75" bottom="0.25" header="0" footer="0"/>
      <printOptions horizontalCentered="1" verticalCentered="1"/>
      <pageSetup scale="67" orientation="landscape" r:id="rId12"/>
      <headerFooter alignWithMargins="0"/>
    </customSheetView>
    <customSheetView guid="{FB1A60C8-E1F9-4DF0-8E0E-1C965F86027F}" colorId="22" fitToPage="1" topLeftCell="A16">
      <selection activeCell="A2" sqref="A2"/>
      <colBreaks count="1" manualBreakCount="1">
        <brk id="16" max="1048575" man="1"/>
      </colBreaks>
      <pageMargins left="0.25" right="0.25" top="0.75" bottom="0.25" header="0" footer="0"/>
      <printOptions horizontalCentered="1" verticalCentered="1"/>
      <pageSetup scale="67" orientation="landscape" r:id="rId13"/>
      <headerFooter alignWithMargins="0"/>
    </customSheetView>
    <customSheetView guid="{C5B6D812-CBE6-46AA-99F7-02494E9802B4}" scale="70" colorId="22" fitToPage="1" topLeftCell="A3">
      <selection activeCell="C10" sqref="C10"/>
      <colBreaks count="1" manualBreakCount="1">
        <brk id="16" max="1048575" man="1"/>
      </colBreaks>
      <pageMargins left="0.25" right="0.25" top="0.75" bottom="0.25" header="0" footer="0"/>
      <printOptions horizontalCentered="1" verticalCentered="1"/>
      <pageSetup scale="67" orientation="landscape" r:id="rId14"/>
      <headerFooter alignWithMargins="0"/>
    </customSheetView>
  </customSheetViews>
  <phoneticPr fontId="0" type="noConversion"/>
  <printOptions horizontalCentered="1" verticalCentered="1"/>
  <pageMargins left="0.25" right="0.25" top="0.75" bottom="0.25" header="0" footer="0"/>
  <pageSetup scale="67" orientation="landscape" r:id="rId15"/>
  <headerFooter alignWithMargins="0"/>
  <colBreaks count="1" manualBreakCount="1">
    <brk id="16" max="1048575" man="1"/>
  </colBreaks>
  <customProperties>
    <customPr name="_pios_id" r:id="rId16"/>
  </customProperties>
</worksheet>
</file>

<file path=xl/worksheets/sheet74.xml><?xml version="1.0" encoding="utf-8"?>
<worksheet xmlns="http://schemas.openxmlformats.org/spreadsheetml/2006/main" xmlns:r="http://schemas.openxmlformats.org/officeDocument/2006/relationships">
  <sheetPr transitionEvaluation="1" codeName="Sheet73" enableFormatConditionsCalculation="0">
    <pageSetUpPr fitToPage="1"/>
  </sheetPr>
  <dimension ref="A1:AF1561"/>
  <sheetViews>
    <sheetView defaultGridColor="0" colorId="22" zoomScale="70" zoomScaleNormal="70" workbookViewId="0"/>
  </sheetViews>
  <sheetFormatPr defaultColWidth="9.77734375" defaultRowHeight="15"/>
  <cols>
    <col min="1" max="1" width="4.77734375" style="1429" customWidth="1"/>
    <col min="2" max="2" width="16.77734375" style="1429" customWidth="1"/>
    <col min="3" max="3" width="9.77734375" style="1429"/>
    <col min="4" max="4" width="13.77734375" style="1429" customWidth="1"/>
    <col min="5" max="5" width="7.77734375" style="1429" customWidth="1"/>
    <col min="6" max="6" width="8.77734375" style="1429" customWidth="1"/>
    <col min="7" max="7" width="7.77734375" style="1429" customWidth="1"/>
    <col min="8" max="8" width="6.77734375" style="1429" customWidth="1"/>
    <col min="9" max="9" width="13.21875" style="1429" customWidth="1"/>
    <col min="10" max="10" width="11.88671875" style="1429" customWidth="1"/>
    <col min="11" max="11" width="11.77734375" style="1429" customWidth="1"/>
    <col min="12" max="12" width="9.77734375" style="1429"/>
    <col min="13" max="13" width="11.77734375" style="1429" customWidth="1"/>
    <col min="14" max="14" width="10.77734375" style="1429" customWidth="1"/>
    <col min="15" max="16384" width="9.77734375" style="1429"/>
  </cols>
  <sheetData>
    <row r="1" spans="1:32" ht="15.75" thickBot="1">
      <c r="A1" s="186" t="str">
        <f>'Data sheet'!$A$63</f>
        <v>Annual Report of New York American Water Company, Inc. (f/k/a Long Island Water Corp)                                    Year Ended  December 31, 2013</v>
      </c>
      <c r="B1" s="1436"/>
      <c r="C1" s="1436"/>
      <c r="D1" s="1436"/>
      <c r="E1" s="1436"/>
      <c r="F1" s="1436"/>
      <c r="G1" s="1436"/>
      <c r="H1" s="1436"/>
      <c r="I1" s="1436"/>
      <c r="J1" s="1436"/>
      <c r="K1" s="1436"/>
      <c r="L1" s="1436"/>
      <c r="M1" s="1436"/>
      <c r="N1" s="1436"/>
      <c r="O1" s="1436"/>
      <c r="P1" s="1436"/>
      <c r="Q1" s="1436"/>
      <c r="R1" s="1436"/>
      <c r="S1" s="1436"/>
      <c r="T1" s="1436"/>
      <c r="U1" s="1436"/>
      <c r="V1" s="1436"/>
      <c r="W1" s="1436"/>
      <c r="X1" s="1436"/>
      <c r="Y1" s="1436"/>
      <c r="Z1" s="1436"/>
      <c r="AA1" s="1436"/>
      <c r="AB1" s="1436"/>
      <c r="AC1" s="1436"/>
      <c r="AD1" s="1436"/>
      <c r="AE1" s="1436"/>
      <c r="AF1" s="1436"/>
    </row>
    <row r="2" spans="1:32">
      <c r="A2" s="1437"/>
      <c r="B2" s="1438"/>
      <c r="C2" s="1438"/>
      <c r="D2" s="1438"/>
      <c r="E2" s="1438"/>
      <c r="F2" s="1438"/>
      <c r="G2" s="1438"/>
      <c r="H2" s="1438"/>
      <c r="I2" s="1438"/>
      <c r="J2" s="1438"/>
      <c r="K2" s="1438"/>
      <c r="L2" s="1438"/>
      <c r="M2" s="1438"/>
      <c r="N2" s="1439"/>
      <c r="O2" s="1436"/>
      <c r="P2" s="1436"/>
      <c r="Q2" s="1436"/>
      <c r="R2" s="1436"/>
      <c r="S2" s="1436"/>
      <c r="T2" s="1436"/>
      <c r="U2" s="1436"/>
      <c r="V2" s="1436"/>
      <c r="W2" s="1436"/>
      <c r="X2" s="1436"/>
      <c r="Y2" s="1436"/>
      <c r="Z2" s="1436"/>
      <c r="AA2" s="1436"/>
      <c r="AB2" s="1436"/>
      <c r="AC2" s="1436"/>
      <c r="AD2" s="1436"/>
      <c r="AE2" s="1436"/>
      <c r="AF2" s="1436"/>
    </row>
    <row r="3" spans="1:32" ht="15.75">
      <c r="A3" s="1440" t="s">
        <v>4013</v>
      </c>
      <c r="B3" s="1435"/>
      <c r="C3" s="1435"/>
      <c r="D3" s="1435"/>
      <c r="E3" s="1441"/>
      <c r="F3" s="1435"/>
      <c r="G3" s="1435"/>
      <c r="H3" s="1435"/>
      <c r="I3" s="1435"/>
      <c r="J3" s="1435"/>
      <c r="K3" s="1435"/>
      <c r="L3" s="1435"/>
      <c r="M3" s="1435"/>
      <c r="N3" s="1442"/>
      <c r="O3" s="1436"/>
      <c r="P3" s="1436"/>
      <c r="Q3" s="1436"/>
      <c r="R3" s="1436"/>
      <c r="S3" s="1436"/>
      <c r="T3" s="1436"/>
      <c r="U3" s="1436"/>
      <c r="V3" s="1436"/>
      <c r="W3" s="1436"/>
      <c r="X3" s="1436"/>
      <c r="Y3" s="1436"/>
      <c r="Z3" s="1436"/>
      <c r="AA3" s="1436"/>
      <c r="AB3" s="1436"/>
      <c r="AC3" s="1436"/>
      <c r="AD3" s="1436"/>
      <c r="AE3" s="1436"/>
      <c r="AF3" s="1436"/>
    </row>
    <row r="4" spans="1:32">
      <c r="A4" s="1443"/>
      <c r="B4" s="1432"/>
      <c r="C4" s="1432"/>
      <c r="D4" s="1432"/>
      <c r="E4" s="1432"/>
      <c r="F4" s="1432"/>
      <c r="G4" s="1432"/>
      <c r="H4" s="1432"/>
      <c r="I4" s="1432"/>
      <c r="J4" s="1432"/>
      <c r="K4" s="1432"/>
      <c r="L4" s="1432"/>
      <c r="M4" s="1432"/>
      <c r="N4" s="1444"/>
      <c r="O4" s="1436"/>
      <c r="P4" s="1436"/>
      <c r="Q4" s="1436"/>
      <c r="R4" s="1436"/>
      <c r="S4" s="1436"/>
      <c r="T4" s="1436"/>
      <c r="U4" s="1436"/>
      <c r="V4" s="1436"/>
      <c r="W4" s="1436"/>
      <c r="X4" s="1436"/>
      <c r="Y4" s="1436"/>
      <c r="Z4" s="1436"/>
      <c r="AA4" s="1436"/>
      <c r="AB4" s="1436"/>
      <c r="AC4" s="1436"/>
      <c r="AD4" s="1436"/>
      <c r="AE4" s="1436"/>
      <c r="AF4" s="1436"/>
    </row>
    <row r="5" spans="1:32">
      <c r="A5" s="1445"/>
      <c r="B5" s="1433"/>
      <c r="C5" s="1433"/>
      <c r="D5" s="1433"/>
      <c r="E5" s="1433"/>
      <c r="F5" s="1433"/>
      <c r="G5" s="1433"/>
      <c r="H5" s="1433"/>
      <c r="I5" s="1433"/>
      <c r="J5" s="1433"/>
      <c r="K5" s="1433"/>
      <c r="L5" s="1433"/>
      <c r="M5" s="1433"/>
      <c r="N5" s="1446"/>
      <c r="O5" s="1436"/>
      <c r="P5" s="1436"/>
      <c r="Q5" s="1436"/>
      <c r="R5" s="1436"/>
      <c r="S5" s="1436"/>
      <c r="T5" s="1436"/>
      <c r="U5" s="1436"/>
      <c r="V5" s="1436"/>
      <c r="W5" s="1436"/>
      <c r="X5" s="1436"/>
      <c r="Y5" s="1436"/>
      <c r="Z5" s="1436"/>
      <c r="AA5" s="1436"/>
      <c r="AB5" s="1436"/>
      <c r="AC5" s="1436"/>
      <c r="AD5" s="1436"/>
      <c r="AE5" s="1436"/>
      <c r="AF5" s="1436"/>
    </row>
    <row r="6" spans="1:32">
      <c r="A6" s="1445" t="s">
        <v>3980</v>
      </c>
      <c r="B6" s="1433"/>
      <c r="C6" s="1433"/>
      <c r="D6" s="1433"/>
      <c r="E6" s="1433"/>
      <c r="F6" s="1433"/>
      <c r="G6" s="1433"/>
      <c r="H6" s="1433"/>
      <c r="I6" s="1433" t="s">
        <v>3981</v>
      </c>
      <c r="J6" s="1436"/>
      <c r="K6" s="1433"/>
      <c r="L6" s="1433"/>
      <c r="M6" s="1433"/>
      <c r="N6" s="1446"/>
      <c r="O6" s="1436"/>
      <c r="P6" s="1436"/>
      <c r="Q6" s="1436"/>
      <c r="R6" s="1436"/>
      <c r="S6" s="1436"/>
      <c r="T6" s="1436"/>
      <c r="U6" s="1436"/>
      <c r="V6" s="1436"/>
      <c r="W6" s="1436"/>
      <c r="X6" s="1436"/>
      <c r="Y6" s="1436"/>
      <c r="Z6" s="1436"/>
      <c r="AA6" s="1436"/>
      <c r="AB6" s="1436"/>
      <c r="AC6" s="1436"/>
      <c r="AD6" s="1436"/>
      <c r="AE6" s="1436"/>
      <c r="AF6" s="1436"/>
    </row>
    <row r="7" spans="1:32">
      <c r="A7" s="1445" t="s">
        <v>3982</v>
      </c>
      <c r="B7" s="1433"/>
      <c r="C7" s="1433"/>
      <c r="D7" s="1433"/>
      <c r="E7" s="1433"/>
      <c r="F7" s="1433"/>
      <c r="G7" s="1433"/>
      <c r="H7" s="1433"/>
      <c r="I7" s="1433"/>
      <c r="J7" s="1436"/>
      <c r="K7" s="1433"/>
      <c r="L7" s="1433"/>
      <c r="M7" s="1433"/>
      <c r="N7" s="1446"/>
      <c r="O7" s="1436"/>
      <c r="P7" s="1436"/>
      <c r="Q7" s="1436"/>
      <c r="R7" s="1436"/>
      <c r="S7" s="1436"/>
      <c r="T7" s="1436"/>
      <c r="U7" s="1436"/>
      <c r="V7" s="1436"/>
      <c r="W7" s="1436"/>
      <c r="X7" s="1436"/>
      <c r="Y7" s="1436"/>
      <c r="Z7" s="1436"/>
      <c r="AA7" s="1436"/>
      <c r="AB7" s="1436"/>
      <c r="AC7" s="1436"/>
      <c r="AD7" s="1436"/>
      <c r="AE7" s="1436"/>
      <c r="AF7" s="1436"/>
    </row>
    <row r="8" spans="1:32">
      <c r="A8" s="1445" t="s">
        <v>3983</v>
      </c>
      <c r="B8" s="1433"/>
      <c r="C8" s="1433"/>
      <c r="D8" s="1433"/>
      <c r="E8" s="1433"/>
      <c r="F8" s="1433"/>
      <c r="G8" s="1433"/>
      <c r="H8" s="1433"/>
      <c r="I8" s="1433" t="s">
        <v>3984</v>
      </c>
      <c r="J8" s="1436"/>
      <c r="K8" s="1433"/>
      <c r="L8" s="1433"/>
      <c r="M8" s="1433"/>
      <c r="N8" s="1446"/>
      <c r="O8" s="1436"/>
      <c r="P8" s="1436"/>
      <c r="Q8" s="1436"/>
      <c r="R8" s="1436"/>
      <c r="S8" s="1436"/>
      <c r="T8" s="1436"/>
      <c r="U8" s="1436"/>
      <c r="V8" s="1436"/>
      <c r="W8" s="1436"/>
      <c r="X8" s="1436"/>
      <c r="Y8" s="1436"/>
      <c r="Z8" s="1436"/>
      <c r="AA8" s="1436"/>
      <c r="AB8" s="1436"/>
      <c r="AC8" s="1436"/>
      <c r="AD8" s="1436"/>
      <c r="AE8" s="1436"/>
      <c r="AF8" s="1436"/>
    </row>
    <row r="9" spans="1:32">
      <c r="A9" s="1445"/>
      <c r="B9" s="1433"/>
      <c r="C9" s="1433"/>
      <c r="D9" s="1433"/>
      <c r="E9" s="1433"/>
      <c r="F9" s="1433"/>
      <c r="G9" s="1433"/>
      <c r="H9" s="1433"/>
      <c r="I9" s="1433" t="s">
        <v>3352</v>
      </c>
      <c r="J9" s="1436"/>
      <c r="K9" s="1433"/>
      <c r="L9" s="1433"/>
      <c r="M9" s="1433"/>
      <c r="N9" s="1446"/>
      <c r="O9" s="1436"/>
      <c r="P9" s="1436"/>
      <c r="Q9" s="1436"/>
      <c r="R9" s="1436"/>
      <c r="S9" s="1436"/>
      <c r="T9" s="1436"/>
      <c r="U9" s="1436"/>
      <c r="V9" s="1436"/>
      <c r="W9" s="1436"/>
      <c r="X9" s="1436"/>
      <c r="Y9" s="1436"/>
      <c r="Z9" s="1436"/>
      <c r="AA9" s="1436"/>
      <c r="AB9" s="1436"/>
      <c r="AC9" s="1436"/>
      <c r="AD9" s="1436"/>
      <c r="AE9" s="1436"/>
      <c r="AF9" s="1436"/>
    </row>
    <row r="10" spans="1:32">
      <c r="A10" s="1445" t="s">
        <v>1183</v>
      </c>
      <c r="B10" s="1433"/>
      <c r="C10" s="1433"/>
      <c r="D10" s="1433"/>
      <c r="E10" s="1433"/>
      <c r="F10" s="1433"/>
      <c r="G10" s="1433"/>
      <c r="H10" s="1433"/>
      <c r="I10" s="1433" t="s">
        <v>2253</v>
      </c>
      <c r="J10" s="1436"/>
      <c r="K10" s="1433"/>
      <c r="L10" s="1433"/>
      <c r="M10" s="1433"/>
      <c r="N10" s="1446"/>
      <c r="O10" s="1436"/>
      <c r="P10" s="1436"/>
      <c r="Q10" s="1436"/>
      <c r="R10" s="1436"/>
      <c r="S10" s="1436"/>
      <c r="T10" s="1436"/>
      <c r="U10" s="1436"/>
      <c r="V10" s="1436"/>
      <c r="W10" s="1436"/>
      <c r="X10" s="1436"/>
      <c r="Y10" s="1436"/>
      <c r="Z10" s="1436"/>
      <c r="AA10" s="1436"/>
      <c r="AB10" s="1436"/>
      <c r="AC10" s="1436"/>
      <c r="AD10" s="1436"/>
      <c r="AE10" s="1436"/>
      <c r="AF10" s="1436"/>
    </row>
    <row r="11" spans="1:32">
      <c r="A11" s="1445"/>
      <c r="B11" s="1433"/>
      <c r="C11" s="1433"/>
      <c r="D11" s="1433"/>
      <c r="E11" s="1433"/>
      <c r="F11" s="1433"/>
      <c r="G11" s="1433"/>
      <c r="H11" s="1433"/>
      <c r="I11" s="1433"/>
      <c r="J11" s="1433"/>
      <c r="K11" s="1433"/>
      <c r="L11" s="1433"/>
      <c r="M11" s="1433"/>
      <c r="N11" s="1446"/>
      <c r="O11" s="1436"/>
      <c r="P11" s="1436"/>
      <c r="Q11" s="1436"/>
      <c r="R11" s="1436"/>
      <c r="S11" s="1436"/>
      <c r="T11" s="1436"/>
      <c r="U11" s="1436"/>
      <c r="V11" s="1436"/>
      <c r="W11" s="1436"/>
      <c r="X11" s="1436"/>
      <c r="Y11" s="1436"/>
      <c r="Z11" s="1436"/>
      <c r="AA11" s="1436"/>
      <c r="AB11" s="1436"/>
      <c r="AC11" s="1436"/>
      <c r="AD11" s="1436"/>
      <c r="AE11" s="1436"/>
      <c r="AF11" s="1436"/>
    </row>
    <row r="12" spans="1:32">
      <c r="A12" s="1447"/>
      <c r="B12" s="1448"/>
      <c r="C12" s="1449" t="s">
        <v>1184</v>
      </c>
      <c r="D12" s="1449"/>
      <c r="E12" s="1449"/>
      <c r="F12" s="1449"/>
      <c r="G12" s="1450"/>
      <c r="H12" s="1449"/>
      <c r="I12" s="1451"/>
      <c r="J12" s="1449" t="s">
        <v>4363</v>
      </c>
      <c r="K12" s="1449"/>
      <c r="L12" s="1449"/>
      <c r="M12" s="1449"/>
      <c r="N12" s="1452"/>
      <c r="O12" s="1433"/>
      <c r="P12" s="1433"/>
      <c r="Q12" s="1433"/>
      <c r="R12" s="1433"/>
      <c r="S12" s="1433"/>
      <c r="T12" s="1433"/>
      <c r="U12" s="1433"/>
      <c r="V12" s="1433"/>
      <c r="W12" s="1433"/>
      <c r="X12" s="1433"/>
      <c r="Y12" s="1433"/>
      <c r="Z12" s="1433"/>
      <c r="AA12" s="1436"/>
      <c r="AB12" s="1436"/>
      <c r="AC12" s="1436"/>
      <c r="AD12" s="1436"/>
      <c r="AE12" s="1436"/>
      <c r="AF12" s="1436"/>
    </row>
    <row r="13" spans="1:32">
      <c r="A13" s="1453"/>
      <c r="B13" s="1454" t="s">
        <v>4364</v>
      </c>
      <c r="C13" s="1454" t="s">
        <v>3021</v>
      </c>
      <c r="D13" s="1454"/>
      <c r="E13" s="1454" t="s">
        <v>3022</v>
      </c>
      <c r="F13" s="1454"/>
      <c r="G13" s="1455"/>
      <c r="H13" s="1454" t="s">
        <v>3023</v>
      </c>
      <c r="I13" s="1455"/>
      <c r="J13" s="1436"/>
      <c r="K13" s="1456"/>
      <c r="L13" s="1454"/>
      <c r="M13" s="1454" t="s">
        <v>3024</v>
      </c>
      <c r="N13" s="1457"/>
      <c r="O13" s="1434"/>
      <c r="P13" s="1436"/>
      <c r="Q13" s="1436"/>
      <c r="R13" s="1436"/>
      <c r="S13" s="1436"/>
      <c r="T13" s="1436"/>
      <c r="U13" s="1436"/>
      <c r="V13" s="1436"/>
      <c r="W13" s="1436"/>
      <c r="X13" s="1436"/>
      <c r="Y13" s="1436"/>
      <c r="Z13" s="1436"/>
      <c r="AA13" s="1436"/>
      <c r="AB13" s="1436"/>
      <c r="AC13" s="1436"/>
      <c r="AD13" s="1436"/>
      <c r="AE13" s="1436"/>
      <c r="AF13" s="1436"/>
    </row>
    <row r="14" spans="1:32">
      <c r="A14" s="1458" t="s">
        <v>1939</v>
      </c>
      <c r="B14" s="1454" t="s">
        <v>3025</v>
      </c>
      <c r="C14" s="1454" t="s">
        <v>3025</v>
      </c>
      <c r="D14" s="1454" t="s">
        <v>3026</v>
      </c>
      <c r="E14" s="1454" t="s">
        <v>3027</v>
      </c>
      <c r="F14" s="1454" t="s">
        <v>3028</v>
      </c>
      <c r="G14" s="1454" t="s">
        <v>3029</v>
      </c>
      <c r="H14" s="1454" t="s">
        <v>3030</v>
      </c>
      <c r="I14" s="1454" t="s">
        <v>3031</v>
      </c>
      <c r="J14" s="1454" t="s">
        <v>3032</v>
      </c>
      <c r="K14" s="1454" t="s">
        <v>3026</v>
      </c>
      <c r="L14" s="1454" t="s">
        <v>3033</v>
      </c>
      <c r="M14" s="1454" t="s">
        <v>3034</v>
      </c>
      <c r="N14" s="1459" t="s">
        <v>3029</v>
      </c>
      <c r="O14" s="1436"/>
      <c r="P14" s="1436"/>
      <c r="Q14" s="1436"/>
      <c r="R14" s="1436"/>
      <c r="S14" s="1436"/>
      <c r="T14" s="1436"/>
      <c r="U14" s="1436"/>
      <c r="V14" s="1436"/>
      <c r="W14" s="1436"/>
      <c r="X14" s="1436"/>
      <c r="Y14" s="1436"/>
      <c r="Z14" s="1436"/>
      <c r="AA14" s="1436"/>
      <c r="AB14" s="1436"/>
      <c r="AC14" s="1436"/>
      <c r="AD14" s="1436"/>
      <c r="AE14" s="1436"/>
      <c r="AF14" s="1436"/>
    </row>
    <row r="15" spans="1:32">
      <c r="A15" s="1458"/>
      <c r="B15" s="1460"/>
      <c r="C15" s="1454" t="s">
        <v>3035</v>
      </c>
      <c r="D15" s="1454" t="s">
        <v>3036</v>
      </c>
      <c r="E15" s="1454" t="s">
        <v>3037</v>
      </c>
      <c r="F15" s="1454" t="s">
        <v>3038</v>
      </c>
      <c r="G15" s="1454" t="s">
        <v>3039</v>
      </c>
      <c r="H15" s="1454" t="s">
        <v>3040</v>
      </c>
      <c r="I15" s="1454" t="s">
        <v>3041</v>
      </c>
      <c r="J15" s="1454"/>
      <c r="K15" s="1454"/>
      <c r="L15" s="1454" t="s">
        <v>1748</v>
      </c>
      <c r="M15" s="1454" t="s">
        <v>1749</v>
      </c>
      <c r="N15" s="1459" t="s">
        <v>3039</v>
      </c>
      <c r="O15" s="1436"/>
      <c r="P15" s="1436"/>
      <c r="Q15" s="1436"/>
      <c r="R15" s="1436"/>
      <c r="S15" s="1436"/>
      <c r="T15" s="1436"/>
      <c r="U15" s="1436"/>
      <c r="V15" s="1436"/>
      <c r="W15" s="1436"/>
      <c r="X15" s="1436"/>
      <c r="Y15" s="1436"/>
      <c r="Z15" s="1436"/>
      <c r="AA15" s="1436"/>
      <c r="AB15" s="1436"/>
      <c r="AC15" s="1436"/>
      <c r="AD15" s="1436"/>
      <c r="AE15" s="1436"/>
      <c r="AF15" s="1436"/>
    </row>
    <row r="16" spans="1:32">
      <c r="A16" s="1458" t="s">
        <v>2955</v>
      </c>
      <c r="B16" s="1460"/>
      <c r="C16" s="1460"/>
      <c r="D16" s="1460"/>
      <c r="E16" s="1460"/>
      <c r="F16" s="1460"/>
      <c r="G16" s="1460"/>
      <c r="H16" s="1454" t="s">
        <v>3039</v>
      </c>
      <c r="I16" s="1460"/>
      <c r="J16" s="1454"/>
      <c r="K16" s="1454"/>
      <c r="L16" s="1454"/>
      <c r="M16" s="1454" t="s">
        <v>3039</v>
      </c>
      <c r="N16" s="1457"/>
      <c r="O16" s="1436"/>
      <c r="P16" s="1436"/>
      <c r="Q16" s="1436"/>
      <c r="R16" s="1436"/>
      <c r="S16" s="1436"/>
      <c r="T16" s="1436"/>
      <c r="U16" s="1436"/>
      <c r="V16" s="1436"/>
      <c r="W16" s="1436"/>
      <c r="X16" s="1436"/>
      <c r="Y16" s="1436"/>
      <c r="Z16" s="1436"/>
      <c r="AA16" s="1436"/>
      <c r="AB16" s="1436"/>
      <c r="AC16" s="1436"/>
      <c r="AD16" s="1436"/>
      <c r="AE16" s="1436"/>
      <c r="AF16" s="1436"/>
    </row>
    <row r="17" spans="1:32">
      <c r="A17" s="1458"/>
      <c r="B17" s="1454" t="s">
        <v>4032</v>
      </c>
      <c r="C17" s="1454" t="s">
        <v>3836</v>
      </c>
      <c r="D17" s="1454" t="s">
        <v>3837</v>
      </c>
      <c r="E17" s="1454" t="s">
        <v>3838</v>
      </c>
      <c r="F17" s="1454" t="s">
        <v>2277</v>
      </c>
      <c r="G17" s="1454" t="s">
        <v>2278</v>
      </c>
      <c r="H17" s="1454" t="s">
        <v>2279</v>
      </c>
      <c r="I17" s="1454" t="s">
        <v>2280</v>
      </c>
      <c r="J17" s="1454" t="s">
        <v>2281</v>
      </c>
      <c r="K17" s="1454" t="s">
        <v>2282</v>
      </c>
      <c r="L17" s="1454" t="s">
        <v>2283</v>
      </c>
      <c r="M17" s="1454" t="s">
        <v>2284</v>
      </c>
      <c r="N17" s="1459" t="s">
        <v>828</v>
      </c>
      <c r="O17" s="1436"/>
      <c r="P17" s="1436"/>
      <c r="Q17" s="1436"/>
      <c r="R17" s="1436"/>
      <c r="S17" s="1436"/>
      <c r="T17" s="1436"/>
      <c r="U17" s="1436"/>
      <c r="V17" s="1436"/>
      <c r="W17" s="1436"/>
      <c r="X17" s="1436"/>
      <c r="Y17" s="1436"/>
      <c r="Z17" s="1436"/>
      <c r="AA17" s="1436"/>
      <c r="AB17" s="1436"/>
      <c r="AC17" s="1436"/>
      <c r="AD17" s="1436"/>
      <c r="AE17" s="1436"/>
      <c r="AF17" s="1436"/>
    </row>
    <row r="18" spans="1:32">
      <c r="A18" s="1461">
        <v>1</v>
      </c>
      <c r="B18" s="1448" t="s">
        <v>3761</v>
      </c>
      <c r="C18" s="1448"/>
      <c r="D18" s="1448"/>
      <c r="E18" s="1448"/>
      <c r="F18" s="1448"/>
      <c r="G18" s="1448"/>
      <c r="H18" s="1448"/>
      <c r="I18" s="1448"/>
      <c r="J18" s="1448"/>
      <c r="K18" s="1448"/>
      <c r="L18" s="1448"/>
      <c r="M18" s="1448"/>
      <c r="N18" s="1462"/>
      <c r="O18" s="1436"/>
      <c r="P18" s="1436"/>
      <c r="Q18" s="1436"/>
      <c r="R18" s="1436"/>
      <c r="S18" s="1436"/>
      <c r="T18" s="1436"/>
      <c r="U18" s="1436"/>
      <c r="V18" s="1436"/>
      <c r="W18" s="1436"/>
      <c r="X18" s="1436"/>
      <c r="Y18" s="1436"/>
      <c r="Z18" s="1436"/>
      <c r="AA18" s="1436"/>
      <c r="AB18" s="1436"/>
      <c r="AC18" s="1436"/>
      <c r="AD18" s="1436"/>
      <c r="AE18" s="1436"/>
      <c r="AF18" s="1436"/>
    </row>
    <row r="19" spans="1:32">
      <c r="A19" s="1453">
        <v>2</v>
      </c>
      <c r="B19" s="1463"/>
      <c r="C19" s="1460"/>
      <c r="D19" s="1460"/>
      <c r="E19" s="1460"/>
      <c r="F19" s="1460"/>
      <c r="G19" s="1460"/>
      <c r="H19" s="1460"/>
      <c r="I19" s="1460"/>
      <c r="J19" s="1460"/>
      <c r="K19" s="1460"/>
      <c r="L19" s="1460"/>
      <c r="M19" s="1460"/>
      <c r="N19" s="1446"/>
      <c r="O19" s="1436"/>
      <c r="P19" s="1436"/>
      <c r="Q19" s="1436"/>
      <c r="R19" s="1436"/>
      <c r="S19" s="1436"/>
      <c r="T19" s="1436"/>
      <c r="U19" s="1436"/>
      <c r="V19" s="1436"/>
      <c r="W19" s="1436"/>
      <c r="X19" s="1436"/>
      <c r="Y19" s="1436"/>
      <c r="Z19" s="1436"/>
      <c r="AA19" s="1436"/>
      <c r="AB19" s="1436"/>
      <c r="AC19" s="1436"/>
      <c r="AD19" s="1436"/>
      <c r="AE19" s="1436"/>
      <c r="AF19" s="1436"/>
    </row>
    <row r="20" spans="1:32">
      <c r="A20" s="1453">
        <v>3</v>
      </c>
      <c r="B20" s="1463"/>
      <c r="C20" s="1460"/>
      <c r="D20" s="1460"/>
      <c r="E20" s="1460"/>
      <c r="F20" s="1460"/>
      <c r="G20" s="1460"/>
      <c r="H20" s="1460"/>
      <c r="I20" s="1460"/>
      <c r="J20" s="1460"/>
      <c r="K20" s="1460"/>
      <c r="L20" s="1460"/>
      <c r="M20" s="1460"/>
      <c r="N20" s="1446"/>
      <c r="O20" s="1436"/>
      <c r="P20" s="1436"/>
      <c r="Q20" s="1436"/>
      <c r="R20" s="1436"/>
      <c r="S20" s="1436"/>
      <c r="T20" s="1436"/>
      <c r="U20" s="1436"/>
      <c r="V20" s="1436"/>
      <c r="W20" s="1436"/>
      <c r="X20" s="1436"/>
      <c r="Y20" s="1436"/>
      <c r="Z20" s="1436"/>
      <c r="AA20" s="1436"/>
      <c r="AB20" s="1436"/>
      <c r="AC20" s="1436"/>
      <c r="AD20" s="1436"/>
      <c r="AE20" s="1436"/>
      <c r="AF20" s="1436"/>
    </row>
    <row r="21" spans="1:32">
      <c r="A21" s="1453">
        <v>4</v>
      </c>
      <c r="B21" s="1463"/>
      <c r="C21" s="1460"/>
      <c r="D21" s="1460"/>
      <c r="E21" s="1460"/>
      <c r="F21" s="1460"/>
      <c r="G21" s="1460"/>
      <c r="H21" s="1460"/>
      <c r="I21" s="1460"/>
      <c r="J21" s="1460"/>
      <c r="K21" s="1460"/>
      <c r="L21" s="1460"/>
      <c r="M21" s="1460"/>
      <c r="N21" s="1446"/>
      <c r="O21" s="1436"/>
      <c r="P21" s="1436"/>
      <c r="Q21" s="1436"/>
      <c r="R21" s="1436"/>
      <c r="S21" s="1436"/>
      <c r="T21" s="1436"/>
      <c r="U21" s="1436"/>
      <c r="V21" s="1436"/>
      <c r="W21" s="1436"/>
      <c r="X21" s="1436"/>
      <c r="Y21" s="1436"/>
      <c r="Z21" s="1436"/>
      <c r="AA21" s="1436"/>
      <c r="AB21" s="1436"/>
      <c r="AC21" s="1436"/>
      <c r="AD21" s="1436"/>
      <c r="AE21" s="1436"/>
      <c r="AF21" s="1436"/>
    </row>
    <row r="22" spans="1:32">
      <c r="A22" s="1453">
        <v>5</v>
      </c>
      <c r="B22" s="1463"/>
      <c r="C22" s="1460"/>
      <c r="D22" s="1460"/>
      <c r="E22" s="1460"/>
      <c r="F22" s="1460"/>
      <c r="G22" s="1460"/>
      <c r="H22" s="1460"/>
      <c r="I22" s="1460"/>
      <c r="J22" s="1460"/>
      <c r="K22" s="1460"/>
      <c r="L22" s="1460"/>
      <c r="M22" s="1460"/>
      <c r="N22" s="1446"/>
      <c r="O22" s="1436"/>
      <c r="P22" s="1436"/>
      <c r="Q22" s="1436"/>
      <c r="R22" s="1436"/>
      <c r="S22" s="1436"/>
      <c r="T22" s="1436"/>
      <c r="U22" s="1436"/>
      <c r="V22" s="1436"/>
      <c r="W22" s="1436"/>
      <c r="X22" s="1436"/>
      <c r="Y22" s="1436"/>
      <c r="Z22" s="1436"/>
      <c r="AA22" s="1436"/>
      <c r="AB22" s="1436"/>
      <c r="AC22" s="1436"/>
      <c r="AD22" s="1436"/>
      <c r="AE22" s="1436"/>
      <c r="AF22" s="1436"/>
    </row>
    <row r="23" spans="1:32">
      <c r="A23" s="1453">
        <v>6</v>
      </c>
      <c r="B23" s="1463"/>
      <c r="C23" s="1460"/>
      <c r="D23" s="1460"/>
      <c r="E23" s="1460"/>
      <c r="F23" s="1460"/>
      <c r="G23" s="1460"/>
      <c r="H23" s="1460"/>
      <c r="I23" s="1460"/>
      <c r="J23" s="1460"/>
      <c r="K23" s="1460"/>
      <c r="L23" s="1460"/>
      <c r="M23" s="1460"/>
      <c r="N23" s="1446"/>
      <c r="O23" s="1436"/>
      <c r="P23" s="1436"/>
      <c r="Q23" s="1436"/>
      <c r="R23" s="1436"/>
      <c r="S23" s="1436"/>
      <c r="T23" s="1436"/>
      <c r="U23" s="1436"/>
      <c r="V23" s="1436"/>
      <c r="W23" s="1436"/>
      <c r="X23" s="1436"/>
      <c r="Y23" s="1436"/>
      <c r="Z23" s="1436"/>
      <c r="AA23" s="1436"/>
      <c r="AB23" s="1436"/>
      <c r="AC23" s="1436"/>
      <c r="AD23" s="1436"/>
      <c r="AE23" s="1436"/>
      <c r="AF23" s="1436"/>
    </row>
    <row r="24" spans="1:32">
      <c r="A24" s="1453">
        <v>7</v>
      </c>
      <c r="B24" s="1463"/>
      <c r="C24" s="1460"/>
      <c r="D24" s="1460"/>
      <c r="E24" s="1460"/>
      <c r="F24" s="1460"/>
      <c r="G24" s="1460"/>
      <c r="H24" s="1460"/>
      <c r="I24" s="1460"/>
      <c r="J24" s="1460"/>
      <c r="K24" s="1460"/>
      <c r="L24" s="1460"/>
      <c r="M24" s="1460"/>
      <c r="N24" s="1446"/>
      <c r="O24" s="1436"/>
      <c r="P24" s="1436"/>
      <c r="Q24" s="1436"/>
      <c r="R24" s="1436"/>
      <c r="S24" s="1436"/>
      <c r="T24" s="1436"/>
      <c r="U24" s="1436"/>
      <c r="V24" s="1436"/>
      <c r="W24" s="1436"/>
      <c r="X24" s="1436"/>
      <c r="Y24" s="1436"/>
      <c r="Z24" s="1436"/>
      <c r="AA24" s="1436"/>
      <c r="AB24" s="1436"/>
      <c r="AC24" s="1436"/>
      <c r="AD24" s="1436"/>
      <c r="AE24" s="1436"/>
      <c r="AF24" s="1436"/>
    </row>
    <row r="25" spans="1:32">
      <c r="A25" s="1453">
        <v>8</v>
      </c>
      <c r="B25" s="1463"/>
      <c r="C25" s="1460"/>
      <c r="D25" s="1460"/>
      <c r="E25" s="1460"/>
      <c r="F25" s="1460"/>
      <c r="G25" s="1460"/>
      <c r="H25" s="1460"/>
      <c r="I25" s="1460"/>
      <c r="J25" s="1460"/>
      <c r="K25" s="1460"/>
      <c r="L25" s="1460"/>
      <c r="M25" s="1460"/>
      <c r="N25" s="1446"/>
      <c r="O25" s="1436"/>
      <c r="P25" s="1436"/>
      <c r="Q25" s="1436"/>
      <c r="R25" s="1436"/>
      <c r="S25" s="1436"/>
      <c r="T25" s="1436"/>
      <c r="U25" s="1436"/>
      <c r="V25" s="1436"/>
      <c r="W25" s="1436"/>
      <c r="X25" s="1436"/>
      <c r="Y25" s="1436"/>
      <c r="Z25" s="1436"/>
      <c r="AA25" s="1436"/>
      <c r="AB25" s="1436"/>
      <c r="AC25" s="1436"/>
      <c r="AD25" s="1436"/>
      <c r="AE25" s="1436"/>
      <c r="AF25" s="1436"/>
    </row>
    <row r="26" spans="1:32">
      <c r="A26" s="1453">
        <v>9</v>
      </c>
      <c r="B26" s="1463"/>
      <c r="C26" s="1460"/>
      <c r="D26" s="1460"/>
      <c r="E26" s="1460"/>
      <c r="F26" s="1460"/>
      <c r="G26" s="1460"/>
      <c r="H26" s="1460"/>
      <c r="I26" s="1460"/>
      <c r="J26" s="1460"/>
      <c r="K26" s="1460"/>
      <c r="L26" s="1460"/>
      <c r="M26" s="1460"/>
      <c r="N26" s="1446"/>
      <c r="O26" s="1436"/>
      <c r="P26" s="1436"/>
      <c r="Q26" s="1436"/>
      <c r="R26" s="1436"/>
      <c r="S26" s="1436"/>
      <c r="T26" s="1436"/>
      <c r="U26" s="1436"/>
      <c r="V26" s="1436"/>
      <c r="W26" s="1436"/>
      <c r="X26" s="1436"/>
      <c r="Y26" s="1436"/>
      <c r="Z26" s="1436"/>
      <c r="AA26" s="1436"/>
      <c r="AB26" s="1436"/>
      <c r="AC26" s="1436"/>
      <c r="AD26" s="1436"/>
      <c r="AE26" s="1436"/>
      <c r="AF26" s="1436"/>
    </row>
    <row r="27" spans="1:32">
      <c r="A27" s="1453">
        <v>10</v>
      </c>
      <c r="B27" s="1463"/>
      <c r="C27" s="1460"/>
      <c r="D27" s="1460"/>
      <c r="E27" s="1460"/>
      <c r="F27" s="1460"/>
      <c r="G27" s="1460"/>
      <c r="H27" s="1460"/>
      <c r="I27" s="1460"/>
      <c r="J27" s="1460"/>
      <c r="K27" s="1460"/>
      <c r="L27" s="1460"/>
      <c r="M27" s="1460"/>
      <c r="N27" s="1446"/>
      <c r="O27" s="1436"/>
      <c r="P27" s="1436"/>
      <c r="Q27" s="1436"/>
      <c r="R27" s="1436"/>
      <c r="S27" s="1436"/>
      <c r="T27" s="1436"/>
      <c r="U27" s="1436"/>
      <c r="V27" s="1436"/>
      <c r="W27" s="1436"/>
      <c r="X27" s="1436"/>
      <c r="Y27" s="1436"/>
      <c r="Z27" s="1436"/>
      <c r="AA27" s="1436"/>
      <c r="AB27" s="1436"/>
      <c r="AC27" s="1436"/>
      <c r="AD27" s="1436"/>
      <c r="AE27" s="1436"/>
      <c r="AF27" s="1436"/>
    </row>
    <row r="28" spans="1:32">
      <c r="A28" s="1453">
        <v>11</v>
      </c>
      <c r="B28" s="1463"/>
      <c r="C28" s="1460"/>
      <c r="D28" s="1460"/>
      <c r="E28" s="1460"/>
      <c r="F28" s="1460"/>
      <c r="G28" s="1460"/>
      <c r="H28" s="1460"/>
      <c r="I28" s="1460"/>
      <c r="J28" s="1460"/>
      <c r="K28" s="1460"/>
      <c r="L28" s="1460"/>
      <c r="M28" s="1460"/>
      <c r="N28" s="1446"/>
      <c r="O28" s="1436"/>
      <c r="P28" s="1436"/>
      <c r="Q28" s="1436"/>
      <c r="R28" s="1436"/>
      <c r="S28" s="1436"/>
      <c r="T28" s="1436"/>
      <c r="U28" s="1436"/>
      <c r="V28" s="1436"/>
      <c r="W28" s="1436"/>
      <c r="X28" s="1436"/>
      <c r="Y28" s="1436"/>
      <c r="Z28" s="1436"/>
      <c r="AA28" s="1436"/>
      <c r="AB28" s="1436"/>
      <c r="AC28" s="1436"/>
      <c r="AD28" s="1436"/>
      <c r="AE28" s="1436"/>
      <c r="AF28" s="1436"/>
    </row>
    <row r="29" spans="1:32">
      <c r="A29" s="1464">
        <v>12</v>
      </c>
      <c r="B29" s="1465"/>
      <c r="C29" s="1466"/>
      <c r="D29" s="1466"/>
      <c r="E29" s="1466"/>
      <c r="F29" s="1466"/>
      <c r="G29" s="1466"/>
      <c r="H29" s="1466"/>
      <c r="I29" s="1466"/>
      <c r="J29" s="1466"/>
      <c r="K29" s="1466"/>
      <c r="L29" s="1466"/>
      <c r="M29" s="1466"/>
      <c r="N29" s="1444"/>
      <c r="O29" s="1433"/>
      <c r="P29" s="1433"/>
      <c r="Q29" s="1433"/>
      <c r="R29" s="1433"/>
      <c r="S29" s="1433"/>
      <c r="T29" s="1433"/>
      <c r="U29" s="1436"/>
      <c r="V29" s="1436"/>
      <c r="W29" s="1436"/>
      <c r="X29" s="1436"/>
      <c r="Y29" s="1436"/>
      <c r="Z29" s="1436"/>
      <c r="AA29" s="1436"/>
      <c r="AB29" s="1436"/>
      <c r="AC29" s="1436"/>
      <c r="AD29" s="1436"/>
      <c r="AE29" s="1436"/>
      <c r="AF29" s="1436"/>
    </row>
    <row r="30" spans="1:32">
      <c r="A30" s="1467"/>
      <c r="B30" s="1433"/>
      <c r="C30" s="1433"/>
      <c r="D30" s="1433"/>
      <c r="E30" s="1433"/>
      <c r="F30" s="1433"/>
      <c r="G30" s="1433"/>
      <c r="H30" s="1433"/>
      <c r="I30" s="1433"/>
      <c r="J30" s="1433"/>
      <c r="K30" s="1433"/>
      <c r="L30" s="1433"/>
      <c r="M30" s="1433"/>
      <c r="N30" s="1446"/>
      <c r="O30" s="1433"/>
      <c r="P30" s="1433"/>
      <c r="Q30" s="1433"/>
      <c r="R30" s="1433"/>
      <c r="S30" s="1433"/>
      <c r="T30" s="1433"/>
      <c r="U30" s="1436"/>
      <c r="V30" s="1436"/>
      <c r="W30" s="1436"/>
      <c r="X30" s="1436"/>
      <c r="Y30" s="1436"/>
      <c r="Z30" s="1436"/>
      <c r="AA30" s="1436"/>
      <c r="AB30" s="1436"/>
      <c r="AC30" s="1436"/>
      <c r="AD30" s="1436"/>
      <c r="AE30" s="1436"/>
      <c r="AF30" s="1436"/>
    </row>
    <row r="31" spans="1:32">
      <c r="A31" s="1461">
        <v>13</v>
      </c>
      <c r="B31" s="1448"/>
      <c r="C31" s="1449" t="s">
        <v>1750</v>
      </c>
      <c r="D31" s="1449"/>
      <c r="E31" s="1449"/>
      <c r="F31" s="1449"/>
      <c r="G31" s="1468"/>
      <c r="H31" s="1469"/>
      <c r="I31" s="1469" t="s">
        <v>1751</v>
      </c>
      <c r="J31" s="1470"/>
      <c r="K31" s="1449" t="s">
        <v>1752</v>
      </c>
      <c r="L31" s="1449"/>
      <c r="M31" s="1449"/>
      <c r="N31" s="1452"/>
      <c r="O31" s="1436"/>
      <c r="P31" s="1436"/>
      <c r="Q31" s="1436"/>
      <c r="R31" s="1436"/>
      <c r="S31" s="1436"/>
      <c r="T31" s="1436"/>
      <c r="U31" s="1436"/>
      <c r="V31" s="1436"/>
      <c r="W31" s="1436"/>
      <c r="X31" s="1436"/>
      <c r="Y31" s="1436"/>
      <c r="Z31" s="1436"/>
      <c r="AA31" s="1436"/>
      <c r="AB31" s="1436"/>
      <c r="AC31" s="1436"/>
      <c r="AD31" s="1436"/>
      <c r="AE31" s="1436"/>
      <c r="AF31" s="1436"/>
    </row>
    <row r="32" spans="1:32">
      <c r="A32" s="1453">
        <v>14</v>
      </c>
      <c r="B32" s="1454" t="s">
        <v>3967</v>
      </c>
      <c r="C32" s="1454" t="s">
        <v>3968</v>
      </c>
      <c r="D32" s="1454" t="s">
        <v>3969</v>
      </c>
      <c r="E32" s="1454"/>
      <c r="F32" s="1454" t="s">
        <v>3970</v>
      </c>
      <c r="G32" s="1454" t="s">
        <v>3971</v>
      </c>
      <c r="H32" s="1454"/>
      <c r="I32" s="1454" t="s">
        <v>3972</v>
      </c>
      <c r="J32" s="1454" t="s">
        <v>3973</v>
      </c>
      <c r="K32" s="1433"/>
      <c r="L32" s="1460"/>
      <c r="M32" s="1433"/>
      <c r="N32" s="1446"/>
      <c r="O32" s="1436"/>
      <c r="P32" s="1436"/>
      <c r="Q32" s="1436"/>
      <c r="R32" s="1436"/>
      <c r="S32" s="1436"/>
      <c r="T32" s="1436"/>
      <c r="U32" s="1436"/>
      <c r="V32" s="1436"/>
      <c r="W32" s="1436"/>
      <c r="X32" s="1436"/>
      <c r="Y32" s="1436"/>
      <c r="Z32" s="1436"/>
      <c r="AA32" s="1436"/>
      <c r="AB32" s="1436"/>
      <c r="AC32" s="1436"/>
      <c r="AD32" s="1436"/>
      <c r="AE32" s="1436"/>
      <c r="AF32" s="1436"/>
    </row>
    <row r="33" spans="1:32">
      <c r="A33" s="1453">
        <v>15</v>
      </c>
      <c r="B33" s="1460"/>
      <c r="C33" s="1454" t="s">
        <v>3974</v>
      </c>
      <c r="D33" s="1454" t="s">
        <v>3975</v>
      </c>
      <c r="E33" s="1454" t="s">
        <v>2002</v>
      </c>
      <c r="F33" s="1454" t="s">
        <v>2003</v>
      </c>
      <c r="G33" s="1454" t="s">
        <v>2004</v>
      </c>
      <c r="H33" s="1454" t="s">
        <v>1525</v>
      </c>
      <c r="I33" s="1454" t="s">
        <v>2118</v>
      </c>
      <c r="J33" s="1454" t="s">
        <v>2118</v>
      </c>
      <c r="K33" s="1471" t="s">
        <v>2119</v>
      </c>
      <c r="L33" s="1472"/>
      <c r="M33" s="1471" t="s">
        <v>2120</v>
      </c>
      <c r="N33" s="1473"/>
      <c r="O33" s="1436"/>
      <c r="P33" s="1436"/>
      <c r="Q33" s="1436"/>
      <c r="R33" s="1436"/>
      <c r="S33" s="1436"/>
      <c r="T33" s="1436"/>
      <c r="U33" s="1436"/>
      <c r="V33" s="1436"/>
      <c r="W33" s="1436"/>
      <c r="X33" s="1436"/>
      <c r="Y33" s="1436"/>
      <c r="Z33" s="1436"/>
      <c r="AA33" s="1436"/>
      <c r="AB33" s="1436"/>
      <c r="AC33" s="1436"/>
      <c r="AD33" s="1436"/>
      <c r="AE33" s="1436"/>
      <c r="AF33" s="1436"/>
    </row>
    <row r="34" spans="1:32">
      <c r="A34" s="1453">
        <v>16</v>
      </c>
      <c r="B34" s="1460"/>
      <c r="C34" s="1454" t="s">
        <v>3037</v>
      </c>
      <c r="D34" s="1454" t="s">
        <v>2121</v>
      </c>
      <c r="E34" s="1454" t="s">
        <v>2122</v>
      </c>
      <c r="F34" s="1454" t="s">
        <v>3039</v>
      </c>
      <c r="G34" s="1454" t="s">
        <v>2123</v>
      </c>
      <c r="H34" s="1454" t="s">
        <v>2124</v>
      </c>
      <c r="I34" s="1454"/>
      <c r="J34" s="1454"/>
      <c r="K34" s="1454"/>
      <c r="L34" s="1454"/>
      <c r="M34" s="1454"/>
      <c r="N34" s="1459"/>
      <c r="O34" s="1436"/>
      <c r="P34" s="1436"/>
      <c r="Q34" s="1436"/>
      <c r="R34" s="1436"/>
      <c r="S34" s="1436"/>
      <c r="T34" s="1436"/>
      <c r="U34" s="1436"/>
      <c r="V34" s="1436"/>
      <c r="W34" s="1436"/>
      <c r="X34" s="1436"/>
      <c r="Y34" s="1436"/>
      <c r="Z34" s="1436"/>
      <c r="AA34" s="1436"/>
      <c r="AB34" s="1436"/>
      <c r="AC34" s="1436"/>
      <c r="AD34" s="1436"/>
      <c r="AE34" s="1436"/>
      <c r="AF34" s="1436"/>
    </row>
    <row r="35" spans="1:32">
      <c r="A35" s="1453">
        <v>17</v>
      </c>
      <c r="B35" s="1460"/>
      <c r="C35" s="1454"/>
      <c r="D35" s="1454"/>
      <c r="E35" s="1454"/>
      <c r="F35" s="1454"/>
      <c r="G35" s="1454" t="s">
        <v>2122</v>
      </c>
      <c r="H35" s="1454" t="s">
        <v>2122</v>
      </c>
      <c r="I35" s="1454" t="s">
        <v>2122</v>
      </c>
      <c r="J35" s="1454" t="s">
        <v>2122</v>
      </c>
      <c r="K35" s="1454" t="s">
        <v>2122</v>
      </c>
      <c r="L35" s="1454" t="s">
        <v>2268</v>
      </c>
      <c r="M35" s="1454" t="s">
        <v>2122</v>
      </c>
      <c r="N35" s="1459" t="s">
        <v>2268</v>
      </c>
      <c r="O35" s="1436"/>
      <c r="P35" s="1436"/>
      <c r="Q35" s="1436"/>
      <c r="R35" s="1436"/>
      <c r="S35" s="1436"/>
      <c r="T35" s="1436"/>
      <c r="U35" s="1436"/>
      <c r="V35" s="1436"/>
      <c r="W35" s="1436"/>
      <c r="X35" s="1436"/>
      <c r="Y35" s="1436"/>
      <c r="Z35" s="1436"/>
      <c r="AA35" s="1436"/>
      <c r="AB35" s="1436"/>
      <c r="AC35" s="1436"/>
      <c r="AD35" s="1436"/>
      <c r="AE35" s="1436"/>
      <c r="AF35" s="1436"/>
    </row>
    <row r="36" spans="1:32">
      <c r="A36" s="1453">
        <v>18</v>
      </c>
      <c r="B36" s="1454" t="s">
        <v>829</v>
      </c>
      <c r="C36" s="1454" t="s">
        <v>830</v>
      </c>
      <c r="D36" s="1454" t="s">
        <v>831</v>
      </c>
      <c r="E36" s="1454" t="s">
        <v>832</v>
      </c>
      <c r="F36" s="1454" t="s">
        <v>2125</v>
      </c>
      <c r="G36" s="1454" t="s">
        <v>2126</v>
      </c>
      <c r="H36" s="1454" t="s">
        <v>2127</v>
      </c>
      <c r="I36" s="1454" t="s">
        <v>1847</v>
      </c>
      <c r="J36" s="1454" t="s">
        <v>1848</v>
      </c>
      <c r="K36" s="1454" t="s">
        <v>1849</v>
      </c>
      <c r="L36" s="1454" t="s">
        <v>1850</v>
      </c>
      <c r="M36" s="1454" t="s">
        <v>1851</v>
      </c>
      <c r="N36" s="1459" t="s">
        <v>1852</v>
      </c>
      <c r="O36" s="1433"/>
      <c r="P36" s="1433"/>
      <c r="Q36" s="1433"/>
      <c r="R36" s="1433"/>
      <c r="S36" s="1433"/>
      <c r="T36" s="1433"/>
      <c r="U36" s="1433"/>
      <c r="V36" s="1433"/>
      <c r="W36" s="1433"/>
      <c r="X36" s="1433"/>
      <c r="Y36" s="1433"/>
      <c r="Z36" s="1433"/>
      <c r="AA36" s="1433"/>
      <c r="AB36" s="1433"/>
      <c r="AC36" s="1433"/>
      <c r="AD36" s="1433"/>
      <c r="AE36" s="1433"/>
      <c r="AF36" s="1436"/>
    </row>
    <row r="37" spans="1:32">
      <c r="A37" s="1453">
        <v>19</v>
      </c>
      <c r="B37" s="1448"/>
      <c r="C37" s="1448"/>
      <c r="D37" s="1448"/>
      <c r="E37" s="1448"/>
      <c r="F37" s="1448"/>
      <c r="G37" s="1448"/>
      <c r="H37" s="1448"/>
      <c r="I37" s="1448"/>
      <c r="J37" s="1448"/>
      <c r="K37" s="1448"/>
      <c r="L37" s="1448"/>
      <c r="M37" s="1448"/>
      <c r="N37" s="1462"/>
      <c r="O37" s="1436"/>
      <c r="P37" s="1436"/>
      <c r="Q37" s="1436"/>
      <c r="R37" s="1436"/>
      <c r="S37" s="1436"/>
      <c r="T37" s="1436"/>
      <c r="U37" s="1436"/>
      <c r="V37" s="1436"/>
      <c r="W37" s="1436"/>
      <c r="X37" s="1436"/>
      <c r="Y37" s="1436"/>
      <c r="Z37" s="1436"/>
      <c r="AA37" s="1436"/>
      <c r="AB37" s="1436"/>
      <c r="AC37" s="1436"/>
      <c r="AD37" s="1436"/>
      <c r="AE37" s="1436"/>
      <c r="AF37" s="1436"/>
    </row>
    <row r="38" spans="1:32">
      <c r="A38" s="1453">
        <v>20</v>
      </c>
      <c r="B38" s="1460"/>
      <c r="C38" s="1460"/>
      <c r="D38" s="1460"/>
      <c r="E38" s="1460"/>
      <c r="F38" s="1460"/>
      <c r="G38" s="1460"/>
      <c r="H38" s="1460"/>
      <c r="I38" s="1460"/>
      <c r="J38" s="1460"/>
      <c r="K38" s="1460"/>
      <c r="L38" s="1460"/>
      <c r="M38" s="1460"/>
      <c r="N38" s="1446"/>
      <c r="O38" s="1436"/>
      <c r="P38" s="1436"/>
      <c r="Q38" s="1436"/>
      <c r="R38" s="1436"/>
      <c r="S38" s="1436"/>
      <c r="T38" s="1436"/>
      <c r="U38" s="1436"/>
      <c r="V38" s="1436"/>
      <c r="W38" s="1436"/>
      <c r="X38" s="1436"/>
      <c r="Y38" s="1436"/>
      <c r="Z38" s="1436"/>
      <c r="AA38" s="1436"/>
      <c r="AB38" s="1436"/>
      <c r="AC38" s="1436"/>
      <c r="AD38" s="1436"/>
      <c r="AE38" s="1436"/>
      <c r="AF38" s="1436"/>
    </row>
    <row r="39" spans="1:32">
      <c r="A39" s="1453">
        <v>21</v>
      </c>
      <c r="B39" s="1460"/>
      <c r="C39" s="1460"/>
      <c r="D39" s="1460"/>
      <c r="E39" s="1460"/>
      <c r="F39" s="1460"/>
      <c r="G39" s="1460"/>
      <c r="H39" s="1460"/>
      <c r="I39" s="1460"/>
      <c r="J39" s="1460"/>
      <c r="K39" s="1460"/>
      <c r="L39" s="1460"/>
      <c r="M39" s="1460"/>
      <c r="N39" s="1446"/>
      <c r="O39" s="1436"/>
      <c r="P39" s="1436"/>
      <c r="Q39" s="1436"/>
      <c r="R39" s="1436"/>
      <c r="S39" s="1436"/>
      <c r="T39" s="1436"/>
      <c r="U39" s="1436"/>
      <c r="V39" s="1436"/>
      <c r="W39" s="1436"/>
      <c r="X39" s="1436"/>
      <c r="Y39" s="1436"/>
      <c r="Z39" s="1436"/>
      <c r="AA39" s="1436"/>
      <c r="AB39" s="1436"/>
      <c r="AC39" s="1436"/>
      <c r="AD39" s="1436"/>
      <c r="AE39" s="1436"/>
      <c r="AF39" s="1436"/>
    </row>
    <row r="40" spans="1:32">
      <c r="A40" s="1453">
        <v>22</v>
      </c>
      <c r="B40" s="1460"/>
      <c r="C40" s="1460"/>
      <c r="D40" s="1460"/>
      <c r="E40" s="1460"/>
      <c r="F40" s="1460"/>
      <c r="G40" s="1460"/>
      <c r="H40" s="1460"/>
      <c r="I40" s="1460"/>
      <c r="J40" s="1460"/>
      <c r="K40" s="1460"/>
      <c r="L40" s="1460"/>
      <c r="M40" s="1460"/>
      <c r="N40" s="1446"/>
      <c r="O40" s="1436"/>
      <c r="P40" s="1436"/>
      <c r="Q40" s="1436"/>
      <c r="R40" s="1436"/>
      <c r="S40" s="1436"/>
      <c r="T40" s="1436"/>
      <c r="U40" s="1436"/>
      <c r="V40" s="1436"/>
      <c r="W40" s="1436"/>
      <c r="X40" s="1436"/>
      <c r="Y40" s="1436"/>
      <c r="Z40" s="1436"/>
      <c r="AA40" s="1436"/>
      <c r="AB40" s="1436"/>
      <c r="AC40" s="1436"/>
      <c r="AD40" s="1436"/>
      <c r="AE40" s="1436"/>
      <c r="AF40" s="1436"/>
    </row>
    <row r="41" spans="1:32">
      <c r="A41" s="1453">
        <v>23</v>
      </c>
      <c r="B41" s="1460"/>
      <c r="C41" s="1460"/>
      <c r="D41" s="1460"/>
      <c r="E41" s="1460"/>
      <c r="F41" s="1460"/>
      <c r="G41" s="1460"/>
      <c r="H41" s="1460"/>
      <c r="I41" s="1460"/>
      <c r="J41" s="1460"/>
      <c r="K41" s="1460"/>
      <c r="L41" s="1460"/>
      <c r="M41" s="1460"/>
      <c r="N41" s="1446"/>
      <c r="O41" s="1436"/>
      <c r="P41" s="1436"/>
      <c r="Q41" s="1436"/>
      <c r="R41" s="1436"/>
      <c r="S41" s="1436"/>
      <c r="T41" s="1436"/>
      <c r="U41" s="1436"/>
      <c r="V41" s="1436"/>
      <c r="W41" s="1436"/>
      <c r="X41" s="1436"/>
      <c r="Y41" s="1436"/>
      <c r="Z41" s="1436"/>
      <c r="AA41" s="1436"/>
      <c r="AB41" s="1436"/>
      <c r="AC41" s="1436"/>
      <c r="AD41" s="1436"/>
      <c r="AE41" s="1436"/>
      <c r="AF41" s="1436"/>
    </row>
    <row r="42" spans="1:32">
      <c r="A42" s="1453">
        <v>24</v>
      </c>
      <c r="B42" s="1460"/>
      <c r="C42" s="1460"/>
      <c r="D42" s="1460"/>
      <c r="E42" s="1460"/>
      <c r="F42" s="1460"/>
      <c r="G42" s="1460"/>
      <c r="H42" s="1460"/>
      <c r="I42" s="1460"/>
      <c r="J42" s="1460"/>
      <c r="K42" s="1460"/>
      <c r="L42" s="1460"/>
      <c r="M42" s="1460"/>
      <c r="N42" s="1446"/>
      <c r="O42" s="1436"/>
      <c r="P42" s="1436"/>
      <c r="Q42" s="1436"/>
      <c r="R42" s="1436"/>
      <c r="S42" s="1436"/>
      <c r="T42" s="1436"/>
      <c r="U42" s="1436"/>
      <c r="V42" s="1436"/>
      <c r="W42" s="1436"/>
      <c r="X42" s="1436"/>
      <c r="Y42" s="1436"/>
      <c r="Z42" s="1436"/>
      <c r="AA42" s="1436"/>
      <c r="AB42" s="1436"/>
      <c r="AC42" s="1436"/>
      <c r="AD42" s="1436"/>
      <c r="AE42" s="1436"/>
      <c r="AF42" s="1436"/>
    </row>
    <row r="43" spans="1:32">
      <c r="A43" s="1453">
        <v>25</v>
      </c>
      <c r="B43" s="1460"/>
      <c r="C43" s="1460"/>
      <c r="D43" s="1460"/>
      <c r="E43" s="1460"/>
      <c r="F43" s="1460"/>
      <c r="G43" s="1460"/>
      <c r="H43" s="1460"/>
      <c r="I43" s="1460"/>
      <c r="J43" s="1460"/>
      <c r="K43" s="1460"/>
      <c r="L43" s="1460"/>
      <c r="M43" s="1460"/>
      <c r="N43" s="1446"/>
      <c r="O43" s="1433"/>
      <c r="P43" s="1436"/>
      <c r="Q43" s="1436"/>
      <c r="R43" s="1436"/>
      <c r="S43" s="1436"/>
      <c r="T43" s="1436"/>
      <c r="U43" s="1436"/>
      <c r="V43" s="1436"/>
      <c r="W43" s="1436"/>
      <c r="X43" s="1436"/>
      <c r="Y43" s="1436"/>
      <c r="Z43" s="1436"/>
      <c r="AA43" s="1436"/>
      <c r="AB43" s="1436"/>
      <c r="AC43" s="1436"/>
      <c r="AD43" s="1436"/>
      <c r="AE43" s="1436"/>
      <c r="AF43" s="1436"/>
    </row>
    <row r="44" spans="1:32">
      <c r="A44" s="1453">
        <v>26</v>
      </c>
      <c r="B44" s="1460"/>
      <c r="C44" s="1460"/>
      <c r="D44" s="1460"/>
      <c r="E44" s="1460"/>
      <c r="F44" s="1460"/>
      <c r="G44" s="1460"/>
      <c r="H44" s="1460"/>
      <c r="I44" s="1460"/>
      <c r="J44" s="1460"/>
      <c r="K44" s="1460"/>
      <c r="L44" s="1460"/>
      <c r="M44" s="1460"/>
      <c r="N44" s="1446"/>
      <c r="O44" s="1433"/>
      <c r="P44" s="1436"/>
      <c r="Q44" s="1436"/>
      <c r="R44" s="1436"/>
      <c r="S44" s="1436"/>
      <c r="T44" s="1436"/>
      <c r="U44" s="1436"/>
      <c r="V44" s="1436"/>
      <c r="W44" s="1436"/>
      <c r="X44" s="1436"/>
      <c r="Y44" s="1436"/>
      <c r="Z44" s="1436"/>
      <c r="AA44" s="1436"/>
      <c r="AB44" s="1436"/>
      <c r="AC44" s="1436"/>
      <c r="AD44" s="1436"/>
      <c r="AE44" s="1436"/>
      <c r="AF44" s="1436"/>
    </row>
    <row r="45" spans="1:32">
      <c r="A45" s="1453">
        <v>27</v>
      </c>
      <c r="B45" s="1460"/>
      <c r="C45" s="1460"/>
      <c r="D45" s="1460"/>
      <c r="E45" s="1460"/>
      <c r="F45" s="1460"/>
      <c r="G45" s="1460"/>
      <c r="H45" s="1460"/>
      <c r="I45" s="1460"/>
      <c r="J45" s="1460"/>
      <c r="K45" s="1460"/>
      <c r="L45" s="1460"/>
      <c r="M45" s="1460"/>
      <c r="N45" s="1446"/>
      <c r="O45" s="1433"/>
      <c r="P45" s="1436"/>
      <c r="Q45" s="1436"/>
      <c r="R45" s="1436"/>
      <c r="S45" s="1436"/>
      <c r="T45" s="1436"/>
      <c r="U45" s="1436"/>
      <c r="V45" s="1436"/>
      <c r="W45" s="1436"/>
      <c r="X45" s="1436"/>
      <c r="Y45" s="1436"/>
      <c r="Z45" s="1436"/>
      <c r="AA45" s="1436"/>
      <c r="AB45" s="1436"/>
      <c r="AC45" s="1436"/>
      <c r="AD45" s="1436"/>
      <c r="AE45" s="1436"/>
      <c r="AF45" s="1436"/>
    </row>
    <row r="46" spans="1:32">
      <c r="A46" s="1453">
        <v>28</v>
      </c>
      <c r="B46" s="1460"/>
      <c r="C46" s="1460"/>
      <c r="D46" s="1460"/>
      <c r="E46" s="1460"/>
      <c r="F46" s="1460"/>
      <c r="G46" s="1460"/>
      <c r="H46" s="1460"/>
      <c r="I46" s="1460"/>
      <c r="J46" s="1460"/>
      <c r="K46" s="1460"/>
      <c r="L46" s="1460"/>
      <c r="M46" s="1460"/>
      <c r="N46" s="1446"/>
      <c r="O46" s="1433"/>
      <c r="P46" s="1436"/>
      <c r="Q46" s="1436"/>
      <c r="R46" s="1436"/>
      <c r="S46" s="1436"/>
      <c r="T46" s="1436"/>
      <c r="U46" s="1436"/>
      <c r="V46" s="1436"/>
      <c r="W46" s="1436"/>
      <c r="X46" s="1436"/>
      <c r="Y46" s="1436"/>
      <c r="Z46" s="1436"/>
      <c r="AA46" s="1436"/>
      <c r="AB46" s="1436"/>
      <c r="AC46" s="1436"/>
      <c r="AD46" s="1436"/>
      <c r="AE46" s="1436"/>
      <c r="AF46" s="1436"/>
    </row>
    <row r="47" spans="1:32">
      <c r="A47" s="1453">
        <v>29</v>
      </c>
      <c r="B47" s="1460"/>
      <c r="C47" s="1460"/>
      <c r="D47" s="1460"/>
      <c r="E47" s="1460"/>
      <c r="F47" s="1460"/>
      <c r="G47" s="1460"/>
      <c r="H47" s="1460"/>
      <c r="I47" s="1460"/>
      <c r="J47" s="1460"/>
      <c r="K47" s="1460"/>
      <c r="L47" s="1460"/>
      <c r="M47" s="1460"/>
      <c r="N47" s="1446"/>
      <c r="O47" s="1433"/>
      <c r="P47" s="1436"/>
      <c r="Q47" s="1436"/>
      <c r="R47" s="1436"/>
      <c r="S47" s="1436"/>
      <c r="T47" s="1436"/>
      <c r="U47" s="1436"/>
      <c r="V47" s="1436"/>
      <c r="W47" s="1436"/>
      <c r="X47" s="1436"/>
      <c r="Y47" s="1436"/>
      <c r="Z47" s="1436"/>
      <c r="AA47" s="1436"/>
      <c r="AB47" s="1436"/>
      <c r="AC47" s="1436"/>
      <c r="AD47" s="1436"/>
      <c r="AE47" s="1436"/>
      <c r="AF47" s="1436"/>
    </row>
    <row r="48" spans="1:32">
      <c r="A48" s="1453">
        <v>30</v>
      </c>
      <c r="B48" s="1460"/>
      <c r="C48" s="1460"/>
      <c r="D48" s="1460"/>
      <c r="E48" s="1460"/>
      <c r="F48" s="1460"/>
      <c r="G48" s="1460"/>
      <c r="H48" s="1460"/>
      <c r="I48" s="1460"/>
      <c r="J48" s="1460"/>
      <c r="K48" s="1460"/>
      <c r="L48" s="1460"/>
      <c r="M48" s="1460"/>
      <c r="N48" s="1446"/>
      <c r="O48" s="1433"/>
      <c r="P48" s="1436"/>
      <c r="Q48" s="1436"/>
      <c r="R48" s="1436"/>
      <c r="S48" s="1436"/>
      <c r="T48" s="1436"/>
      <c r="U48" s="1436"/>
      <c r="V48" s="1436"/>
      <c r="W48" s="1436"/>
      <c r="X48" s="1436"/>
      <c r="Y48" s="1436"/>
      <c r="Z48" s="1436"/>
      <c r="AA48" s="1436"/>
      <c r="AB48" s="1436"/>
      <c r="AC48" s="1436"/>
      <c r="AD48" s="1436"/>
      <c r="AE48" s="1436"/>
      <c r="AF48" s="1436"/>
    </row>
    <row r="49" spans="1:32">
      <c r="A49" s="1453">
        <v>31</v>
      </c>
      <c r="B49" s="1460"/>
      <c r="C49" s="1460"/>
      <c r="D49" s="1460"/>
      <c r="E49" s="1460"/>
      <c r="F49" s="1460"/>
      <c r="G49" s="1460"/>
      <c r="H49" s="1460"/>
      <c r="I49" s="1460"/>
      <c r="J49" s="1460"/>
      <c r="K49" s="1460"/>
      <c r="L49" s="1460"/>
      <c r="M49" s="1460"/>
      <c r="N49" s="1446"/>
      <c r="O49" s="1433"/>
      <c r="P49" s="1436"/>
      <c r="Q49" s="1436"/>
      <c r="R49" s="1436"/>
      <c r="S49" s="1436"/>
      <c r="T49" s="1436"/>
      <c r="U49" s="1436"/>
      <c r="V49" s="1436"/>
      <c r="W49" s="1436"/>
      <c r="X49" s="1436"/>
      <c r="Y49" s="1436"/>
      <c r="Z49" s="1436"/>
      <c r="AA49" s="1436"/>
      <c r="AB49" s="1436"/>
      <c r="AC49" s="1436"/>
      <c r="AD49" s="1436"/>
      <c r="AE49" s="1436"/>
      <c r="AF49" s="1436"/>
    </row>
    <row r="50" spans="1:32">
      <c r="A50" s="1453">
        <v>32</v>
      </c>
      <c r="B50" s="1460"/>
      <c r="C50" s="1460"/>
      <c r="D50" s="1460"/>
      <c r="E50" s="1460"/>
      <c r="F50" s="1460"/>
      <c r="G50" s="1460"/>
      <c r="H50" s="1460"/>
      <c r="I50" s="1460"/>
      <c r="J50" s="1460"/>
      <c r="K50" s="1460"/>
      <c r="L50" s="1460"/>
      <c r="M50" s="1460"/>
      <c r="N50" s="1446"/>
      <c r="O50" s="1433"/>
      <c r="P50" s="1436"/>
      <c r="Q50" s="1436"/>
      <c r="R50" s="1436"/>
      <c r="S50" s="1436"/>
      <c r="T50" s="1436"/>
      <c r="U50" s="1436"/>
      <c r="V50" s="1436"/>
      <c r="W50" s="1436"/>
      <c r="X50" s="1436"/>
      <c r="Y50" s="1436"/>
      <c r="Z50" s="1436"/>
      <c r="AA50" s="1436"/>
      <c r="AB50" s="1436"/>
      <c r="AC50" s="1436"/>
      <c r="AD50" s="1436"/>
      <c r="AE50" s="1436"/>
      <c r="AF50" s="1436"/>
    </row>
    <row r="51" spans="1:32" ht="15.75" thickBot="1">
      <c r="A51" s="1474">
        <v>33</v>
      </c>
      <c r="B51" s="1475"/>
      <c r="C51" s="1475"/>
      <c r="D51" s="1475"/>
      <c r="E51" s="1475"/>
      <c r="F51" s="1475"/>
      <c r="G51" s="1475"/>
      <c r="H51" s="1475"/>
      <c r="I51" s="1475"/>
      <c r="J51" s="1475"/>
      <c r="K51" s="1475"/>
      <c r="L51" s="1475"/>
      <c r="M51" s="1475"/>
      <c r="N51" s="1476"/>
      <c r="O51" s="1433"/>
      <c r="P51" s="1436"/>
      <c r="Q51" s="1436"/>
      <c r="R51" s="1436"/>
      <c r="S51" s="1436"/>
      <c r="T51" s="1436"/>
      <c r="U51" s="1436"/>
      <c r="V51" s="1436"/>
      <c r="W51" s="1436"/>
      <c r="X51" s="1436"/>
      <c r="Y51" s="1436"/>
      <c r="Z51" s="1436"/>
      <c r="AA51" s="1436"/>
      <c r="AB51" s="1436"/>
      <c r="AC51" s="1436"/>
      <c r="AD51" s="1436"/>
      <c r="AE51" s="1436"/>
      <c r="AF51" s="1436"/>
    </row>
    <row r="52" spans="1:32">
      <c r="A52" s="1436"/>
      <c r="B52" s="1436"/>
      <c r="C52" s="1436"/>
      <c r="D52" s="1436"/>
      <c r="E52" s="1436"/>
      <c r="F52" s="1436"/>
      <c r="G52" s="1436"/>
      <c r="H52" s="1436"/>
      <c r="I52" s="1436"/>
      <c r="J52" s="1436"/>
      <c r="K52" s="1436"/>
      <c r="L52" s="1436"/>
      <c r="M52" s="1436"/>
      <c r="N52" s="1477" t="s">
        <v>3184</v>
      </c>
      <c r="O52" s="1433"/>
      <c r="P52" s="1436"/>
      <c r="Q52" s="1436"/>
      <c r="R52" s="1436"/>
      <c r="S52" s="1436"/>
      <c r="T52" s="1436"/>
      <c r="U52" s="1436"/>
      <c r="V52" s="1436"/>
      <c r="W52" s="1436"/>
      <c r="X52" s="1436"/>
      <c r="Y52" s="1436"/>
      <c r="Z52" s="1436"/>
      <c r="AA52" s="1436"/>
      <c r="AB52" s="1436"/>
      <c r="AC52" s="1436"/>
      <c r="AD52" s="1436"/>
      <c r="AE52" s="1436"/>
      <c r="AF52" s="1436"/>
    </row>
    <row r="53" spans="1:32">
      <c r="A53" s="1435" t="s">
        <v>1853</v>
      </c>
      <c r="B53" s="1441"/>
      <c r="C53" s="1441"/>
      <c r="D53" s="1441"/>
      <c r="E53" s="1441"/>
      <c r="F53" s="1441"/>
      <c r="G53" s="1441"/>
      <c r="H53" s="1441"/>
      <c r="I53" s="1441"/>
      <c r="J53" s="1441"/>
      <c r="K53" s="1441"/>
      <c r="L53" s="1441"/>
      <c r="M53" s="1441"/>
      <c r="N53" s="1441"/>
      <c r="O53" s="1433"/>
      <c r="P53" s="1436"/>
      <c r="Q53" s="1436"/>
      <c r="R53" s="1436"/>
      <c r="S53" s="1436"/>
      <c r="T53" s="1436"/>
      <c r="U53" s="1436"/>
      <c r="V53" s="1436"/>
      <c r="W53" s="1436"/>
      <c r="X53" s="1436"/>
      <c r="Y53" s="1436"/>
      <c r="Z53" s="1436"/>
      <c r="AA53" s="1436"/>
      <c r="AB53" s="1436"/>
      <c r="AC53" s="1436"/>
      <c r="AD53" s="1436"/>
      <c r="AE53" s="1436"/>
      <c r="AF53" s="1436"/>
    </row>
    <row r="54" spans="1:32">
      <c r="A54" s="1436"/>
      <c r="B54" s="1436"/>
      <c r="C54" s="1436"/>
      <c r="D54" s="1436"/>
      <c r="E54" s="1436"/>
      <c r="F54" s="1436"/>
      <c r="G54" s="1436"/>
      <c r="H54" s="1436"/>
      <c r="I54" s="1436"/>
      <c r="J54" s="1436"/>
      <c r="K54" s="1436"/>
      <c r="L54" s="1436"/>
      <c r="M54" s="1436"/>
      <c r="N54" s="1436"/>
      <c r="O54" s="1433"/>
      <c r="P54" s="1436"/>
      <c r="Q54" s="1436"/>
      <c r="R54" s="1436"/>
      <c r="S54" s="1436"/>
      <c r="T54" s="1436"/>
      <c r="U54" s="1436"/>
      <c r="V54" s="1436"/>
      <c r="W54" s="1436"/>
      <c r="X54" s="1436"/>
      <c r="Y54" s="1436"/>
      <c r="Z54" s="1436"/>
      <c r="AA54" s="1436"/>
      <c r="AB54" s="1436"/>
      <c r="AC54" s="1436"/>
      <c r="AD54" s="1436"/>
      <c r="AE54" s="1436"/>
      <c r="AF54" s="1436"/>
    </row>
    <row r="55" spans="1:32">
      <c r="A55" s="1436"/>
      <c r="B55" s="1436"/>
      <c r="C55" s="1436"/>
      <c r="D55" s="1436"/>
      <c r="E55" s="1436"/>
      <c r="F55" s="1436"/>
      <c r="G55" s="1436"/>
      <c r="H55" s="1436"/>
      <c r="I55" s="1436"/>
      <c r="J55" s="1436"/>
      <c r="K55" s="1436"/>
      <c r="L55" s="1436"/>
      <c r="M55" s="1436"/>
      <c r="N55" s="1436"/>
      <c r="O55" s="1436"/>
      <c r="P55" s="1436"/>
      <c r="Q55" s="1436"/>
      <c r="R55" s="1436"/>
      <c r="S55" s="1436"/>
      <c r="T55" s="1436"/>
      <c r="U55" s="1436"/>
      <c r="V55" s="1436"/>
      <c r="W55" s="1436"/>
      <c r="X55" s="1436"/>
      <c r="Y55" s="1436"/>
      <c r="Z55" s="1436"/>
      <c r="AA55" s="1436"/>
      <c r="AB55" s="1436"/>
      <c r="AC55" s="1436"/>
      <c r="AD55" s="1436"/>
      <c r="AE55" s="1436"/>
      <c r="AF55" s="1436"/>
    </row>
    <row r="56" spans="1:32">
      <c r="A56" s="1436"/>
      <c r="B56" s="1436"/>
      <c r="C56" s="1436"/>
      <c r="D56" s="1436"/>
      <c r="E56" s="1436"/>
      <c r="F56" s="1436"/>
      <c r="G56" s="1436"/>
      <c r="H56" s="1436"/>
      <c r="I56" s="1436"/>
      <c r="J56" s="1436"/>
      <c r="K56" s="1436"/>
      <c r="L56" s="1436"/>
      <c r="M56" s="1436"/>
      <c r="N56" s="1436"/>
      <c r="O56" s="1436"/>
      <c r="P56" s="1436"/>
      <c r="Q56" s="1436"/>
      <c r="R56" s="1436"/>
      <c r="S56" s="1436"/>
      <c r="T56" s="1436"/>
      <c r="U56" s="1436"/>
      <c r="V56" s="1436"/>
      <c r="W56" s="1436"/>
      <c r="X56" s="1436"/>
      <c r="Y56" s="1436"/>
      <c r="Z56" s="1436"/>
      <c r="AA56" s="1436"/>
      <c r="AB56" s="1436"/>
      <c r="AC56" s="1436"/>
      <c r="AD56" s="1436"/>
      <c r="AE56" s="1436"/>
      <c r="AF56" s="1436"/>
    </row>
    <row r="57" spans="1:32">
      <c r="A57" s="1436"/>
      <c r="B57" s="1436"/>
      <c r="C57" s="1436"/>
      <c r="D57" s="1436"/>
      <c r="E57" s="1436"/>
      <c r="F57" s="1436"/>
      <c r="G57" s="1436"/>
      <c r="H57" s="1436"/>
      <c r="I57" s="1436"/>
      <c r="J57" s="1436"/>
      <c r="K57" s="1436"/>
      <c r="L57" s="1436"/>
      <c r="M57" s="1436"/>
      <c r="N57" s="1436"/>
      <c r="O57" s="1436"/>
      <c r="P57" s="1436"/>
      <c r="Q57" s="1436"/>
      <c r="R57" s="1436"/>
      <c r="S57" s="1436"/>
      <c r="T57" s="1436"/>
      <c r="U57" s="1436"/>
      <c r="V57" s="1436"/>
      <c r="W57" s="1436"/>
      <c r="X57" s="1436"/>
      <c r="Y57" s="1436"/>
      <c r="Z57" s="1436"/>
      <c r="AA57" s="1436"/>
      <c r="AB57" s="1436"/>
      <c r="AC57" s="1436"/>
      <c r="AD57" s="1436"/>
      <c r="AE57" s="1436"/>
      <c r="AF57" s="1436"/>
    </row>
    <row r="58" spans="1:32">
      <c r="A58" s="1436"/>
      <c r="B58" s="1436"/>
      <c r="C58" s="1436"/>
      <c r="D58" s="1436"/>
      <c r="E58" s="1436"/>
      <c r="F58" s="1436"/>
      <c r="G58" s="1436"/>
      <c r="H58" s="1436"/>
      <c r="I58" s="1436"/>
      <c r="J58" s="1436"/>
      <c r="K58" s="1436"/>
      <c r="L58" s="1436"/>
      <c r="M58" s="1436"/>
      <c r="N58" s="1436"/>
      <c r="O58" s="1436"/>
      <c r="P58" s="1436"/>
      <c r="Q58" s="1436"/>
      <c r="R58" s="1436"/>
      <c r="S58" s="1436"/>
      <c r="T58" s="1436"/>
      <c r="U58" s="1436"/>
      <c r="V58" s="1436"/>
      <c r="W58" s="1436"/>
      <c r="X58" s="1436"/>
      <c r="Y58" s="1436"/>
      <c r="Z58" s="1436"/>
      <c r="AA58" s="1436"/>
      <c r="AB58" s="1436"/>
      <c r="AC58" s="1436"/>
      <c r="AD58" s="1436"/>
      <c r="AE58" s="1436"/>
      <c r="AF58" s="1436"/>
    </row>
    <row r="59" spans="1:32">
      <c r="A59" s="1436"/>
      <c r="B59" s="1436"/>
      <c r="C59" s="1436"/>
      <c r="D59" s="1436"/>
      <c r="E59" s="1436"/>
      <c r="F59" s="1436"/>
      <c r="G59" s="1436"/>
      <c r="H59" s="1436"/>
      <c r="I59" s="1436"/>
      <c r="J59" s="1436"/>
      <c r="K59" s="1436"/>
      <c r="L59" s="1436"/>
      <c r="M59" s="1436"/>
      <c r="N59" s="1436"/>
      <c r="O59" s="1436"/>
      <c r="P59" s="1436"/>
      <c r="Q59" s="1436"/>
      <c r="R59" s="1436"/>
      <c r="S59" s="1436"/>
      <c r="T59" s="1436"/>
      <c r="U59" s="1436"/>
      <c r="V59" s="1436"/>
      <c r="W59" s="1436"/>
      <c r="X59" s="1436"/>
      <c r="Y59" s="1436"/>
      <c r="Z59" s="1436"/>
      <c r="AA59" s="1436"/>
      <c r="AB59" s="1436"/>
      <c r="AC59" s="1436"/>
      <c r="AD59" s="1436"/>
      <c r="AE59" s="1436"/>
      <c r="AF59" s="1436"/>
    </row>
    <row r="60" spans="1:32">
      <c r="A60" s="1436"/>
      <c r="B60" s="1436"/>
      <c r="C60" s="1436"/>
      <c r="D60" s="1436"/>
      <c r="E60" s="1436"/>
      <c r="F60" s="1436"/>
      <c r="G60" s="1436"/>
      <c r="H60" s="1436"/>
      <c r="I60" s="1436"/>
      <c r="J60" s="1436"/>
      <c r="K60" s="1436"/>
      <c r="L60" s="1436"/>
      <c r="M60" s="1436"/>
      <c r="N60" s="1436"/>
      <c r="O60" s="1436"/>
      <c r="P60" s="1436"/>
      <c r="Q60" s="1436"/>
      <c r="R60" s="1436"/>
      <c r="S60" s="1436"/>
      <c r="T60" s="1436"/>
      <c r="U60" s="1436"/>
      <c r="V60" s="1436"/>
      <c r="W60" s="1436"/>
      <c r="X60" s="1436"/>
      <c r="Y60" s="1436"/>
      <c r="Z60" s="1436"/>
      <c r="AA60" s="1436"/>
      <c r="AB60" s="1436"/>
      <c r="AC60" s="1436"/>
      <c r="AD60" s="1436"/>
      <c r="AE60" s="1436"/>
      <c r="AF60" s="1436"/>
    </row>
    <row r="61" spans="1:32">
      <c r="A61" s="1436"/>
      <c r="B61" s="1436"/>
      <c r="C61" s="1436"/>
      <c r="D61" s="1436"/>
      <c r="E61" s="1436"/>
      <c r="F61" s="1436"/>
      <c r="G61" s="1436"/>
      <c r="H61" s="1436"/>
      <c r="I61" s="1436"/>
      <c r="J61" s="1436"/>
      <c r="K61" s="1436"/>
      <c r="L61" s="1436"/>
      <c r="M61" s="1436"/>
      <c r="N61" s="1436"/>
      <c r="O61" s="1436"/>
      <c r="P61" s="1436"/>
      <c r="Q61" s="1436"/>
      <c r="R61" s="1436"/>
      <c r="S61" s="1436"/>
      <c r="T61" s="1436"/>
      <c r="U61" s="1436"/>
      <c r="V61" s="1436"/>
      <c r="W61" s="1436"/>
      <c r="X61" s="1436"/>
      <c r="Y61" s="1436"/>
      <c r="Z61" s="1436"/>
      <c r="AA61" s="1436"/>
      <c r="AB61" s="1436"/>
      <c r="AC61" s="1436"/>
      <c r="AD61" s="1436"/>
      <c r="AE61" s="1436"/>
      <c r="AF61" s="1436"/>
    </row>
    <row r="62" spans="1:32">
      <c r="A62" s="1436"/>
      <c r="B62" s="1436"/>
      <c r="C62" s="1436"/>
      <c r="D62" s="1436"/>
      <c r="E62" s="1436"/>
      <c r="F62" s="1436"/>
      <c r="G62" s="1436"/>
      <c r="H62" s="1436"/>
      <c r="I62" s="1436"/>
      <c r="J62" s="1436"/>
      <c r="K62" s="1436"/>
      <c r="L62" s="1436"/>
      <c r="M62" s="1436"/>
      <c r="N62" s="1436"/>
      <c r="O62" s="1436"/>
      <c r="P62" s="1436"/>
      <c r="Q62" s="1436"/>
      <c r="R62" s="1436"/>
      <c r="S62" s="1436"/>
      <c r="T62" s="1436"/>
      <c r="U62" s="1436"/>
      <c r="V62" s="1436"/>
      <c r="W62" s="1436"/>
      <c r="X62" s="1436"/>
      <c r="Y62" s="1436"/>
      <c r="Z62" s="1436"/>
      <c r="AA62" s="1436"/>
      <c r="AB62" s="1436"/>
      <c r="AC62" s="1436"/>
      <c r="AD62" s="1436"/>
      <c r="AE62" s="1436"/>
      <c r="AF62" s="1436"/>
    </row>
    <row r="63" spans="1:32">
      <c r="A63" s="1436"/>
      <c r="B63" s="1436"/>
      <c r="C63" s="1436"/>
      <c r="D63" s="1436"/>
      <c r="E63" s="1436"/>
      <c r="F63" s="1436"/>
      <c r="G63" s="1436"/>
      <c r="H63" s="1436"/>
      <c r="I63" s="1436"/>
      <c r="J63" s="1436"/>
      <c r="K63" s="1436"/>
      <c r="L63" s="1436"/>
      <c r="M63" s="1436"/>
      <c r="N63" s="1436"/>
      <c r="O63" s="1436"/>
      <c r="P63" s="1436"/>
      <c r="Q63" s="1436"/>
      <c r="R63" s="1436"/>
      <c r="S63" s="1436"/>
      <c r="T63" s="1436"/>
      <c r="U63" s="1436"/>
      <c r="V63" s="1436"/>
      <c r="W63" s="1436"/>
      <c r="X63" s="1436"/>
      <c r="Y63" s="1436"/>
      <c r="Z63" s="1436"/>
      <c r="AA63" s="1436"/>
      <c r="AB63" s="1436"/>
      <c r="AC63" s="1436"/>
      <c r="AD63" s="1436"/>
      <c r="AE63" s="1436"/>
      <c r="AF63" s="1436"/>
    </row>
    <row r="64" spans="1:32">
      <c r="A64" s="1436"/>
      <c r="B64" s="1436"/>
      <c r="C64" s="1436"/>
      <c r="D64" s="1436"/>
      <c r="E64" s="1436"/>
      <c r="F64" s="1436"/>
      <c r="G64" s="1436"/>
      <c r="H64" s="1436"/>
      <c r="I64" s="1436"/>
      <c r="J64" s="1436"/>
      <c r="K64" s="1436"/>
      <c r="L64" s="1436"/>
      <c r="M64" s="1436"/>
      <c r="N64" s="1436"/>
      <c r="O64" s="1436"/>
      <c r="P64" s="1436"/>
      <c r="Q64" s="1436"/>
      <c r="R64" s="1436"/>
      <c r="S64" s="1436"/>
      <c r="T64" s="1436"/>
      <c r="U64" s="1436"/>
      <c r="V64" s="1436"/>
      <c r="W64" s="1436"/>
      <c r="X64" s="1436"/>
      <c r="Y64" s="1436"/>
      <c r="Z64" s="1436"/>
      <c r="AA64" s="1436"/>
      <c r="AB64" s="1436"/>
      <c r="AC64" s="1436"/>
      <c r="AD64" s="1436"/>
      <c r="AE64" s="1436"/>
      <c r="AF64" s="1436"/>
    </row>
    <row r="65" spans="1:32">
      <c r="A65" s="1436"/>
      <c r="B65" s="1436"/>
      <c r="C65" s="1436"/>
      <c r="D65" s="1436"/>
      <c r="E65" s="1436"/>
      <c r="F65" s="1436"/>
      <c r="G65" s="1436"/>
      <c r="H65" s="1436"/>
      <c r="I65" s="1436"/>
      <c r="J65" s="1436"/>
      <c r="K65" s="1436"/>
      <c r="L65" s="1436"/>
      <c r="M65" s="1436"/>
      <c r="N65" s="1436"/>
      <c r="O65" s="1436"/>
      <c r="P65" s="1436"/>
      <c r="Q65" s="1436"/>
      <c r="R65" s="1436"/>
      <c r="S65" s="1436"/>
      <c r="T65" s="1436"/>
      <c r="U65" s="1436"/>
      <c r="V65" s="1436"/>
      <c r="W65" s="1436"/>
      <c r="X65" s="1436"/>
      <c r="Y65" s="1436"/>
      <c r="Z65" s="1436"/>
      <c r="AA65" s="1436"/>
      <c r="AB65" s="1436"/>
      <c r="AC65" s="1436"/>
      <c r="AD65" s="1436"/>
      <c r="AE65" s="1436"/>
      <c r="AF65" s="1436"/>
    </row>
    <row r="66" spans="1:32">
      <c r="A66" s="1436"/>
      <c r="B66" s="1436"/>
      <c r="C66" s="1436"/>
      <c r="D66" s="1436"/>
      <c r="E66" s="1436"/>
      <c r="F66" s="1436"/>
      <c r="G66" s="1436"/>
      <c r="H66" s="1436"/>
      <c r="I66" s="1436"/>
      <c r="J66" s="1436"/>
      <c r="K66" s="1436"/>
      <c r="L66" s="1436"/>
      <c r="M66" s="1436"/>
      <c r="N66" s="1436"/>
      <c r="O66" s="1436"/>
      <c r="P66" s="1436"/>
      <c r="Q66" s="1436"/>
      <c r="R66" s="1436"/>
      <c r="S66" s="1436"/>
      <c r="T66" s="1436"/>
      <c r="U66" s="1436"/>
      <c r="V66" s="1436"/>
      <c r="W66" s="1436"/>
      <c r="X66" s="1436"/>
      <c r="Y66" s="1436"/>
      <c r="Z66" s="1436"/>
      <c r="AA66" s="1436"/>
      <c r="AB66" s="1436"/>
      <c r="AC66" s="1436"/>
      <c r="AD66" s="1436"/>
      <c r="AE66" s="1436"/>
      <c r="AF66" s="1436"/>
    </row>
    <row r="67" spans="1:32">
      <c r="A67" s="1436"/>
      <c r="B67" s="1436"/>
      <c r="C67" s="1436"/>
      <c r="D67" s="1436"/>
      <c r="E67" s="1436"/>
      <c r="F67" s="1436"/>
      <c r="G67" s="1436"/>
      <c r="H67" s="1436"/>
      <c r="I67" s="1436"/>
      <c r="J67" s="1436"/>
      <c r="K67" s="1436"/>
      <c r="L67" s="1436"/>
      <c r="M67" s="1436"/>
      <c r="N67" s="1436"/>
      <c r="O67" s="1436"/>
      <c r="P67" s="1436"/>
      <c r="Q67" s="1436"/>
      <c r="R67" s="1436"/>
      <c r="S67" s="1436"/>
      <c r="T67" s="1436"/>
      <c r="U67" s="1436"/>
      <c r="V67" s="1436"/>
      <c r="W67" s="1436"/>
      <c r="X67" s="1436"/>
      <c r="Y67" s="1436"/>
      <c r="Z67" s="1436"/>
      <c r="AA67" s="1436"/>
      <c r="AB67" s="1436"/>
      <c r="AC67" s="1436"/>
      <c r="AD67" s="1436"/>
      <c r="AE67" s="1436"/>
      <c r="AF67" s="1436"/>
    </row>
    <row r="68" spans="1:32">
      <c r="A68" s="1436"/>
      <c r="B68" s="1436"/>
      <c r="C68" s="1436"/>
      <c r="D68" s="1436"/>
      <c r="E68" s="1436"/>
      <c r="F68" s="1436"/>
      <c r="G68" s="1436"/>
      <c r="H68" s="1436"/>
      <c r="I68" s="1436"/>
      <c r="J68" s="1436"/>
      <c r="K68" s="1436"/>
      <c r="L68" s="1436"/>
      <c r="M68" s="1436"/>
      <c r="N68" s="1436"/>
      <c r="O68" s="1436"/>
      <c r="P68" s="1436"/>
      <c r="Q68" s="1436"/>
      <c r="R68" s="1436"/>
      <c r="S68" s="1436"/>
      <c r="T68" s="1436"/>
      <c r="U68" s="1436"/>
      <c r="V68" s="1436"/>
      <c r="W68" s="1436"/>
      <c r="X68" s="1436"/>
      <c r="Y68" s="1436"/>
      <c r="Z68" s="1436"/>
      <c r="AA68" s="1436"/>
      <c r="AB68" s="1436"/>
      <c r="AC68" s="1436"/>
      <c r="AD68" s="1436"/>
      <c r="AE68" s="1436"/>
      <c r="AF68" s="1436"/>
    </row>
    <row r="69" spans="1:32">
      <c r="A69" s="1436"/>
      <c r="B69" s="1436"/>
      <c r="C69" s="1436"/>
      <c r="D69" s="1436"/>
      <c r="E69" s="1436"/>
      <c r="F69" s="1436"/>
      <c r="G69" s="1436"/>
      <c r="H69" s="1436"/>
      <c r="I69" s="1436"/>
      <c r="J69" s="1436"/>
      <c r="K69" s="1436"/>
      <c r="L69" s="1436"/>
      <c r="M69" s="1436"/>
      <c r="N69" s="1436"/>
      <c r="O69" s="1436"/>
      <c r="P69" s="1436"/>
      <c r="Q69" s="1436"/>
      <c r="R69" s="1436"/>
      <c r="S69" s="1436"/>
      <c r="T69" s="1436"/>
      <c r="U69" s="1436"/>
      <c r="V69" s="1436"/>
      <c r="W69" s="1436"/>
      <c r="X69" s="1436"/>
      <c r="Y69" s="1436"/>
      <c r="Z69" s="1436"/>
      <c r="AA69" s="1436"/>
      <c r="AB69" s="1436"/>
      <c r="AC69" s="1436"/>
      <c r="AD69" s="1436"/>
      <c r="AE69" s="1436"/>
      <c r="AF69" s="1436"/>
    </row>
    <row r="70" spans="1:32">
      <c r="A70" s="1436"/>
      <c r="B70" s="1436"/>
      <c r="C70" s="1436"/>
      <c r="D70" s="1436"/>
      <c r="E70" s="1436"/>
      <c r="F70" s="1436"/>
      <c r="G70" s="1436"/>
      <c r="H70" s="1436"/>
      <c r="I70" s="1436"/>
      <c r="J70" s="1436"/>
      <c r="K70" s="1436"/>
      <c r="L70" s="1436"/>
      <c r="M70" s="1436"/>
      <c r="N70" s="1436"/>
      <c r="O70" s="1436"/>
      <c r="P70" s="1436"/>
      <c r="Q70" s="1436"/>
      <c r="R70" s="1436"/>
      <c r="S70" s="1436"/>
      <c r="T70" s="1436"/>
      <c r="U70" s="1436"/>
      <c r="V70" s="1436"/>
      <c r="W70" s="1436"/>
      <c r="X70" s="1436"/>
      <c r="Y70" s="1436"/>
      <c r="Z70" s="1436"/>
      <c r="AA70" s="1436"/>
      <c r="AB70" s="1436"/>
      <c r="AC70" s="1436"/>
      <c r="AD70" s="1436"/>
      <c r="AE70" s="1436"/>
      <c r="AF70" s="1436"/>
    </row>
    <row r="71" spans="1:32">
      <c r="A71" s="1436"/>
      <c r="B71" s="1436"/>
      <c r="C71" s="1436"/>
      <c r="D71" s="1436"/>
      <c r="E71" s="1436"/>
      <c r="F71" s="1436"/>
      <c r="G71" s="1436"/>
      <c r="H71" s="1436"/>
      <c r="I71" s="1436"/>
      <c r="J71" s="1436"/>
      <c r="K71" s="1436"/>
      <c r="L71" s="1436"/>
      <c r="M71" s="1436"/>
      <c r="N71" s="1436"/>
      <c r="O71" s="1436"/>
      <c r="P71" s="1436"/>
      <c r="Q71" s="1436"/>
      <c r="R71" s="1436"/>
      <c r="S71" s="1436"/>
      <c r="T71" s="1436"/>
      <c r="U71" s="1436"/>
      <c r="V71" s="1436"/>
      <c r="W71" s="1436"/>
      <c r="X71" s="1436"/>
      <c r="Y71" s="1436"/>
      <c r="Z71" s="1436"/>
      <c r="AA71" s="1436"/>
      <c r="AB71" s="1436"/>
      <c r="AC71" s="1436"/>
      <c r="AD71" s="1436"/>
      <c r="AE71" s="1436"/>
      <c r="AF71" s="1436"/>
    </row>
    <row r="72" spans="1:32">
      <c r="A72" s="1436"/>
      <c r="B72" s="1436"/>
      <c r="C72" s="1436"/>
      <c r="D72" s="1436"/>
      <c r="E72" s="1436"/>
      <c r="F72" s="1436"/>
      <c r="G72" s="1436"/>
      <c r="H72" s="1436"/>
      <c r="I72" s="1436"/>
      <c r="J72" s="1436"/>
      <c r="K72" s="1436"/>
      <c r="L72" s="1436"/>
      <c r="M72" s="1436"/>
      <c r="N72" s="1436"/>
      <c r="O72" s="1436"/>
      <c r="P72" s="1436"/>
      <c r="Q72" s="1436"/>
      <c r="R72" s="1436"/>
      <c r="S72" s="1436"/>
      <c r="T72" s="1436"/>
      <c r="U72" s="1436"/>
      <c r="V72" s="1436"/>
      <c r="W72" s="1436"/>
      <c r="X72" s="1436"/>
      <c r="Y72" s="1436"/>
      <c r="Z72" s="1436"/>
      <c r="AA72" s="1436"/>
      <c r="AB72" s="1436"/>
      <c r="AC72" s="1436"/>
      <c r="AD72" s="1436"/>
      <c r="AE72" s="1436"/>
      <c r="AF72" s="1436"/>
    </row>
    <row r="73" spans="1:32">
      <c r="A73" s="1436"/>
      <c r="B73" s="1436"/>
      <c r="C73" s="1436"/>
      <c r="D73" s="1436"/>
      <c r="E73" s="1436"/>
      <c r="F73" s="1436"/>
      <c r="G73" s="1436"/>
      <c r="H73" s="1436"/>
      <c r="I73" s="1436"/>
      <c r="J73" s="1436"/>
      <c r="K73" s="1436"/>
      <c r="L73" s="1436"/>
      <c r="M73" s="1436"/>
      <c r="N73" s="1436"/>
      <c r="O73" s="1436"/>
      <c r="P73" s="1436"/>
      <c r="Q73" s="1436"/>
      <c r="R73" s="1436"/>
      <c r="S73" s="1436"/>
      <c r="T73" s="1436"/>
      <c r="U73" s="1436"/>
      <c r="V73" s="1436"/>
      <c r="W73" s="1436"/>
      <c r="X73" s="1436"/>
      <c r="Y73" s="1436"/>
      <c r="Z73" s="1436"/>
      <c r="AA73" s="1436"/>
      <c r="AB73" s="1436"/>
      <c r="AC73" s="1436"/>
      <c r="AD73" s="1436"/>
      <c r="AE73" s="1436"/>
      <c r="AF73" s="1436"/>
    </row>
    <row r="74" spans="1:32">
      <c r="A74" s="1436"/>
      <c r="B74" s="1436"/>
      <c r="C74" s="1436"/>
      <c r="D74" s="1436"/>
      <c r="E74" s="1436"/>
      <c r="F74" s="1436"/>
      <c r="G74" s="1436"/>
      <c r="H74" s="1436"/>
      <c r="I74" s="1436"/>
      <c r="J74" s="1436"/>
      <c r="K74" s="1436"/>
      <c r="L74" s="1436"/>
      <c r="M74" s="1436"/>
      <c r="N74" s="1436"/>
      <c r="O74" s="1436"/>
      <c r="P74" s="1436"/>
      <c r="Q74" s="1436"/>
      <c r="R74" s="1436"/>
      <c r="S74" s="1436"/>
      <c r="T74" s="1436"/>
      <c r="U74" s="1436"/>
      <c r="V74" s="1436"/>
      <c r="W74" s="1436"/>
      <c r="X74" s="1436"/>
      <c r="Y74" s="1436"/>
      <c r="Z74" s="1436"/>
      <c r="AA74" s="1436"/>
      <c r="AB74" s="1436"/>
      <c r="AC74" s="1436"/>
      <c r="AD74" s="1436"/>
      <c r="AE74" s="1436"/>
      <c r="AF74" s="1436"/>
    </row>
    <row r="75" spans="1:32">
      <c r="A75" s="1436"/>
      <c r="B75" s="1436"/>
      <c r="C75" s="1436"/>
      <c r="D75" s="1436"/>
      <c r="E75" s="1436"/>
      <c r="F75" s="1436"/>
      <c r="G75" s="1436"/>
      <c r="H75" s="1436"/>
      <c r="I75" s="1436"/>
      <c r="J75" s="1436"/>
      <c r="K75" s="1436"/>
      <c r="L75" s="1436"/>
      <c r="M75" s="1436"/>
      <c r="N75" s="1436"/>
      <c r="O75" s="1436"/>
      <c r="P75" s="1436"/>
      <c r="Q75" s="1436"/>
      <c r="R75" s="1436"/>
      <c r="S75" s="1436"/>
      <c r="T75" s="1436"/>
      <c r="U75" s="1436"/>
      <c r="V75" s="1436"/>
      <c r="W75" s="1436"/>
      <c r="X75" s="1436"/>
      <c r="Y75" s="1436"/>
      <c r="Z75" s="1436"/>
      <c r="AA75" s="1436"/>
      <c r="AB75" s="1436"/>
      <c r="AC75" s="1436"/>
      <c r="AD75" s="1436"/>
      <c r="AE75" s="1436"/>
      <c r="AF75" s="1436"/>
    </row>
    <row r="76" spans="1:32">
      <c r="A76" s="1436"/>
      <c r="B76" s="1436"/>
      <c r="C76" s="1436"/>
      <c r="D76" s="1436"/>
      <c r="E76" s="1436"/>
      <c r="F76" s="1436"/>
      <c r="G76" s="1436"/>
      <c r="H76" s="1436"/>
      <c r="I76" s="1436"/>
      <c r="J76" s="1436"/>
      <c r="K76" s="1436"/>
      <c r="L76" s="1436"/>
      <c r="M76" s="1436"/>
      <c r="N76" s="1436"/>
      <c r="O76" s="1436"/>
      <c r="P76" s="1436"/>
      <c r="Q76" s="1436"/>
      <c r="R76" s="1436"/>
      <c r="S76" s="1436"/>
      <c r="T76" s="1436"/>
      <c r="U76" s="1436"/>
      <c r="V76" s="1436"/>
      <c r="W76" s="1436"/>
      <c r="X76" s="1436"/>
      <c r="Y76" s="1436"/>
      <c r="Z76" s="1436"/>
      <c r="AA76" s="1436"/>
      <c r="AB76" s="1436"/>
      <c r="AC76" s="1436"/>
      <c r="AD76" s="1436"/>
      <c r="AE76" s="1436"/>
      <c r="AF76" s="1436"/>
    </row>
    <row r="77" spans="1:32">
      <c r="A77" s="1436"/>
      <c r="B77" s="1436"/>
      <c r="C77" s="1436"/>
      <c r="D77" s="1436"/>
      <c r="E77" s="1436"/>
      <c r="F77" s="1436"/>
      <c r="G77" s="1436"/>
      <c r="H77" s="1436"/>
      <c r="I77" s="1436"/>
      <c r="J77" s="1436"/>
      <c r="K77" s="1436"/>
      <c r="L77" s="1436"/>
      <c r="M77" s="1436"/>
      <c r="N77" s="1436"/>
      <c r="O77" s="1436"/>
      <c r="P77" s="1436"/>
      <c r="Q77" s="1436"/>
      <c r="R77" s="1436"/>
      <c r="S77" s="1436"/>
      <c r="T77" s="1436"/>
      <c r="U77" s="1436"/>
      <c r="V77" s="1436"/>
      <c r="W77" s="1436"/>
      <c r="X77" s="1436"/>
      <c r="Y77" s="1436"/>
      <c r="Z77" s="1436"/>
      <c r="AA77" s="1436"/>
      <c r="AB77" s="1436"/>
      <c r="AC77" s="1436"/>
      <c r="AD77" s="1436"/>
      <c r="AE77" s="1436"/>
      <c r="AF77" s="1436"/>
    </row>
    <row r="78" spans="1:32">
      <c r="A78" s="1436"/>
      <c r="B78" s="1436"/>
      <c r="C78" s="1436"/>
      <c r="D78" s="1436"/>
      <c r="E78" s="1436"/>
      <c r="F78" s="1436"/>
      <c r="G78" s="1436"/>
      <c r="H78" s="1436"/>
      <c r="I78" s="1436"/>
      <c r="J78" s="1436"/>
      <c r="K78" s="1436"/>
      <c r="L78" s="1436"/>
      <c r="M78" s="1436"/>
      <c r="N78" s="1436"/>
      <c r="O78" s="1436"/>
      <c r="P78" s="1436"/>
      <c r="Q78" s="1436"/>
      <c r="R78" s="1436"/>
      <c r="S78" s="1436"/>
      <c r="T78" s="1436"/>
      <c r="U78" s="1436"/>
      <c r="V78" s="1436"/>
      <c r="W78" s="1436"/>
      <c r="X78" s="1436"/>
      <c r="Y78" s="1436"/>
      <c r="Z78" s="1436"/>
      <c r="AA78" s="1436"/>
      <c r="AB78" s="1436"/>
      <c r="AC78" s="1436"/>
      <c r="AD78" s="1436"/>
      <c r="AE78" s="1436"/>
      <c r="AF78" s="1436"/>
    </row>
    <row r="79" spans="1:32">
      <c r="A79" s="1436"/>
      <c r="B79" s="1436"/>
      <c r="C79" s="1436"/>
      <c r="D79" s="1436"/>
      <c r="E79" s="1436"/>
      <c r="F79" s="1436"/>
      <c r="G79" s="1436"/>
      <c r="H79" s="1436"/>
      <c r="I79" s="1436"/>
      <c r="J79" s="1436"/>
      <c r="K79" s="1436"/>
      <c r="L79" s="1436"/>
      <c r="M79" s="1436"/>
      <c r="N79" s="1436"/>
      <c r="O79" s="1436"/>
      <c r="P79" s="1436"/>
      <c r="Q79" s="1436"/>
      <c r="R79" s="1436"/>
      <c r="S79" s="1436"/>
      <c r="T79" s="1436"/>
      <c r="U79" s="1436"/>
      <c r="V79" s="1436"/>
      <c r="W79" s="1436"/>
      <c r="X79" s="1436"/>
      <c r="Y79" s="1436"/>
      <c r="Z79" s="1436"/>
      <c r="AA79" s="1436"/>
      <c r="AB79" s="1436"/>
      <c r="AC79" s="1436"/>
      <c r="AD79" s="1436"/>
      <c r="AE79" s="1436"/>
      <c r="AF79" s="1436"/>
    </row>
    <row r="80" spans="1:32">
      <c r="A80" s="1436"/>
      <c r="B80" s="1436"/>
      <c r="C80" s="1436"/>
      <c r="D80" s="1436"/>
      <c r="E80" s="1436"/>
      <c r="F80" s="1436"/>
      <c r="G80" s="1436"/>
      <c r="H80" s="1436"/>
      <c r="I80" s="1436"/>
      <c r="J80" s="1436"/>
      <c r="K80" s="1436"/>
      <c r="L80" s="1436"/>
      <c r="M80" s="1436"/>
      <c r="N80" s="1436"/>
      <c r="O80" s="1436"/>
      <c r="P80" s="1436"/>
      <c r="Q80" s="1436"/>
      <c r="R80" s="1436"/>
      <c r="S80" s="1436"/>
      <c r="T80" s="1436"/>
      <c r="U80" s="1436"/>
      <c r="V80" s="1436"/>
      <c r="W80" s="1436"/>
      <c r="X80" s="1436"/>
      <c r="Y80" s="1436"/>
      <c r="Z80" s="1436"/>
      <c r="AA80" s="1436"/>
      <c r="AB80" s="1436"/>
      <c r="AC80" s="1436"/>
      <c r="AD80" s="1436"/>
      <c r="AE80" s="1436"/>
      <c r="AF80" s="1436"/>
    </row>
    <row r="81" spans="1:32">
      <c r="A81" s="1436"/>
      <c r="B81" s="1436"/>
      <c r="C81" s="1436"/>
      <c r="D81" s="1436"/>
      <c r="E81" s="1436"/>
      <c r="F81" s="1436"/>
      <c r="G81" s="1436"/>
      <c r="H81" s="1436"/>
      <c r="I81" s="1436"/>
      <c r="J81" s="1436"/>
      <c r="K81" s="1436"/>
      <c r="L81" s="1436"/>
      <c r="M81" s="1436"/>
      <c r="N81" s="1436"/>
      <c r="O81" s="1436"/>
      <c r="P81" s="1436"/>
      <c r="Q81" s="1436"/>
      <c r="R81" s="1436"/>
      <c r="S81" s="1436"/>
      <c r="T81" s="1436"/>
      <c r="U81" s="1436"/>
      <c r="V81" s="1436"/>
      <c r="W81" s="1436"/>
      <c r="X81" s="1436"/>
      <c r="Y81" s="1436"/>
      <c r="Z81" s="1436"/>
      <c r="AA81" s="1436"/>
      <c r="AB81" s="1436"/>
      <c r="AC81" s="1436"/>
      <c r="AD81" s="1436"/>
      <c r="AE81" s="1436"/>
      <c r="AF81" s="1436"/>
    </row>
    <row r="82" spans="1:32">
      <c r="A82" s="1436"/>
      <c r="B82" s="1436"/>
      <c r="C82" s="1436"/>
      <c r="D82" s="1436"/>
      <c r="E82" s="1436"/>
      <c r="F82" s="1436"/>
      <c r="G82" s="1436"/>
      <c r="H82" s="1436"/>
      <c r="I82" s="1436"/>
      <c r="J82" s="1436"/>
      <c r="K82" s="1436"/>
      <c r="L82" s="1436"/>
      <c r="M82" s="1436"/>
      <c r="N82" s="1436"/>
      <c r="O82" s="1436"/>
      <c r="P82" s="1436"/>
      <c r="Q82" s="1436"/>
      <c r="R82" s="1436"/>
      <c r="S82" s="1436"/>
      <c r="T82" s="1436"/>
      <c r="U82" s="1436"/>
      <c r="V82" s="1436"/>
      <c r="W82" s="1436"/>
      <c r="X82" s="1436"/>
      <c r="Y82" s="1436"/>
      <c r="Z82" s="1436"/>
      <c r="AA82" s="1436"/>
      <c r="AB82" s="1436"/>
      <c r="AC82" s="1436"/>
      <c r="AD82" s="1436"/>
      <c r="AE82" s="1436"/>
      <c r="AF82" s="1436"/>
    </row>
    <row r="83" spans="1:32">
      <c r="A83" s="1436"/>
      <c r="B83" s="1436"/>
      <c r="C83" s="1436"/>
      <c r="D83" s="1436"/>
      <c r="E83" s="1436"/>
      <c r="F83" s="1436"/>
      <c r="G83" s="1436"/>
      <c r="H83" s="1436"/>
      <c r="I83" s="1436"/>
      <c r="J83" s="1436"/>
      <c r="K83" s="1436"/>
      <c r="L83" s="1436"/>
      <c r="M83" s="1436"/>
      <c r="N83" s="1436"/>
      <c r="O83" s="1436"/>
      <c r="P83" s="1436"/>
      <c r="Q83" s="1436"/>
      <c r="R83" s="1436"/>
      <c r="S83" s="1436"/>
      <c r="T83" s="1436"/>
      <c r="U83" s="1436"/>
      <c r="V83" s="1436"/>
      <c r="W83" s="1436"/>
      <c r="X83" s="1436"/>
      <c r="Y83" s="1436"/>
      <c r="Z83" s="1436"/>
      <c r="AA83" s="1436"/>
      <c r="AB83" s="1436"/>
      <c r="AC83" s="1436"/>
      <c r="AD83" s="1436"/>
      <c r="AE83" s="1436"/>
      <c r="AF83" s="1436"/>
    </row>
    <row r="84" spans="1:32">
      <c r="A84" s="1436"/>
      <c r="B84" s="1436"/>
      <c r="C84" s="1436"/>
      <c r="D84" s="1436"/>
      <c r="E84" s="1436"/>
      <c r="F84" s="1436"/>
      <c r="G84" s="1436"/>
      <c r="H84" s="1436"/>
      <c r="I84" s="1436"/>
      <c r="J84" s="1436"/>
      <c r="K84" s="1436"/>
      <c r="L84" s="1436"/>
      <c r="M84" s="1436"/>
      <c r="N84" s="1436"/>
      <c r="O84" s="1436"/>
      <c r="P84" s="1436"/>
      <c r="Q84" s="1436"/>
      <c r="R84" s="1436"/>
      <c r="S84" s="1436"/>
      <c r="T84" s="1436"/>
      <c r="U84" s="1436"/>
      <c r="V84" s="1436"/>
      <c r="W84" s="1436"/>
      <c r="X84" s="1436"/>
      <c r="Y84" s="1436"/>
      <c r="Z84" s="1436"/>
      <c r="AA84" s="1436"/>
      <c r="AB84" s="1436"/>
      <c r="AC84" s="1436"/>
      <c r="AD84" s="1436"/>
      <c r="AE84" s="1436"/>
      <c r="AF84" s="1436"/>
    </row>
    <row r="85" spans="1:32">
      <c r="A85" s="1436"/>
      <c r="B85" s="1436"/>
      <c r="C85" s="1436"/>
      <c r="D85" s="1436"/>
      <c r="E85" s="1436"/>
      <c r="F85" s="1436"/>
      <c r="G85" s="1436"/>
      <c r="H85" s="1436"/>
      <c r="I85" s="1436"/>
      <c r="J85" s="1436"/>
      <c r="K85" s="1436"/>
      <c r="L85" s="1436"/>
      <c r="M85" s="1436"/>
      <c r="N85" s="1436"/>
      <c r="O85" s="1436"/>
      <c r="P85" s="1436"/>
      <c r="Q85" s="1436"/>
      <c r="R85" s="1436"/>
      <c r="S85" s="1436"/>
      <c r="T85" s="1436"/>
      <c r="U85" s="1436"/>
      <c r="V85" s="1436"/>
      <c r="W85" s="1436"/>
      <c r="X85" s="1436"/>
      <c r="Y85" s="1436"/>
      <c r="Z85" s="1436"/>
      <c r="AA85" s="1436"/>
      <c r="AB85" s="1436"/>
      <c r="AC85" s="1436"/>
      <c r="AD85" s="1436"/>
      <c r="AE85" s="1436"/>
      <c r="AF85" s="1436"/>
    </row>
    <row r="86" spans="1:32">
      <c r="A86" s="1436"/>
      <c r="B86" s="1436"/>
      <c r="C86" s="1436"/>
      <c r="D86" s="1436"/>
      <c r="E86" s="1436"/>
      <c r="F86" s="1436"/>
      <c r="G86" s="1436"/>
      <c r="H86" s="1436"/>
      <c r="I86" s="1436"/>
      <c r="J86" s="1436"/>
      <c r="K86" s="1436"/>
      <c r="L86" s="1436"/>
      <c r="M86" s="1436"/>
      <c r="N86" s="1436"/>
      <c r="O86" s="1436"/>
      <c r="P86" s="1436"/>
      <c r="Q86" s="1436"/>
      <c r="R86" s="1436"/>
      <c r="S86" s="1436"/>
      <c r="T86" s="1436"/>
      <c r="U86" s="1436"/>
      <c r="V86" s="1436"/>
      <c r="W86" s="1436"/>
      <c r="X86" s="1436"/>
      <c r="Y86" s="1436"/>
      <c r="Z86" s="1436"/>
      <c r="AA86" s="1436"/>
      <c r="AB86" s="1436"/>
      <c r="AC86" s="1436"/>
      <c r="AD86" s="1436"/>
      <c r="AE86" s="1436"/>
      <c r="AF86" s="1436"/>
    </row>
    <row r="87" spans="1:32">
      <c r="A87" s="1436"/>
      <c r="B87" s="1436"/>
      <c r="C87" s="1436"/>
      <c r="D87" s="1436"/>
      <c r="E87" s="1436"/>
      <c r="F87" s="1436"/>
      <c r="G87" s="1436"/>
      <c r="H87" s="1436"/>
      <c r="I87" s="1436"/>
      <c r="J87" s="1436"/>
      <c r="K87" s="1436"/>
      <c r="L87" s="1436"/>
      <c r="M87" s="1436"/>
      <c r="N87" s="1436"/>
      <c r="O87" s="1436"/>
      <c r="P87" s="1436"/>
      <c r="Q87" s="1436"/>
      <c r="R87" s="1436"/>
      <c r="S87" s="1436"/>
      <c r="T87" s="1436"/>
      <c r="U87" s="1436"/>
      <c r="V87" s="1436"/>
      <c r="W87" s="1436"/>
      <c r="X87" s="1436"/>
      <c r="Y87" s="1436"/>
      <c r="Z87" s="1436"/>
      <c r="AA87" s="1436"/>
      <c r="AB87" s="1436"/>
      <c r="AC87" s="1436"/>
      <c r="AD87" s="1436"/>
      <c r="AE87" s="1436"/>
      <c r="AF87" s="1436"/>
    </row>
    <row r="88" spans="1:32">
      <c r="A88" s="1436"/>
      <c r="B88" s="1436"/>
      <c r="C88" s="1436"/>
      <c r="D88" s="1436"/>
      <c r="E88" s="1436"/>
      <c r="F88" s="1436"/>
      <c r="G88" s="1436"/>
      <c r="H88" s="1436"/>
      <c r="I88" s="1436"/>
      <c r="J88" s="1436"/>
      <c r="K88" s="1436"/>
      <c r="L88" s="1436"/>
      <c r="M88" s="1436"/>
      <c r="N88" s="1436"/>
      <c r="O88" s="1436"/>
      <c r="P88" s="1436"/>
      <c r="Q88" s="1436"/>
      <c r="R88" s="1436"/>
      <c r="S88" s="1436"/>
      <c r="T88" s="1436"/>
      <c r="U88" s="1436"/>
      <c r="V88" s="1436"/>
      <c r="W88" s="1436"/>
      <c r="X88" s="1436"/>
      <c r="Y88" s="1436"/>
      <c r="Z88" s="1436"/>
      <c r="AA88" s="1436"/>
      <c r="AB88" s="1436"/>
      <c r="AC88" s="1436"/>
      <c r="AD88" s="1436"/>
      <c r="AE88" s="1436"/>
      <c r="AF88" s="1436"/>
    </row>
    <row r="89" spans="1:32">
      <c r="A89" s="1436"/>
      <c r="B89" s="1436"/>
      <c r="C89" s="1436"/>
      <c r="D89" s="1436"/>
      <c r="E89" s="1436"/>
      <c r="F89" s="1436"/>
      <c r="G89" s="1436"/>
      <c r="H89" s="1436"/>
      <c r="I89" s="1436"/>
      <c r="J89" s="1436"/>
      <c r="K89" s="1436"/>
      <c r="L89" s="1436"/>
      <c r="M89" s="1436"/>
      <c r="N89" s="1436"/>
      <c r="O89" s="1436"/>
      <c r="P89" s="1436"/>
      <c r="Q89" s="1436"/>
      <c r="R89" s="1436"/>
      <c r="S89" s="1436"/>
      <c r="T89" s="1436"/>
      <c r="U89" s="1436"/>
      <c r="V89" s="1436"/>
      <c r="W89" s="1436"/>
      <c r="X89" s="1436"/>
      <c r="Y89" s="1436"/>
      <c r="Z89" s="1436"/>
      <c r="AA89" s="1436"/>
      <c r="AB89" s="1436"/>
      <c r="AC89" s="1436"/>
      <c r="AD89" s="1436"/>
      <c r="AE89" s="1436"/>
      <c r="AF89" s="1436"/>
    </row>
    <row r="90" spans="1:32">
      <c r="A90" s="1436"/>
      <c r="B90" s="1436"/>
      <c r="C90" s="1436"/>
      <c r="D90" s="1436"/>
      <c r="E90" s="1436"/>
      <c r="F90" s="1436"/>
      <c r="G90" s="1436"/>
      <c r="H90" s="1436"/>
      <c r="I90" s="1436"/>
      <c r="J90" s="1436"/>
      <c r="K90" s="1436"/>
      <c r="L90" s="1436"/>
      <c r="M90" s="1436"/>
      <c r="N90" s="1436"/>
      <c r="O90" s="1436"/>
      <c r="P90" s="1436"/>
      <c r="Q90" s="1436"/>
      <c r="R90" s="1436"/>
      <c r="S90" s="1436"/>
      <c r="T90" s="1436"/>
      <c r="U90" s="1436"/>
      <c r="V90" s="1436"/>
      <c r="W90" s="1436"/>
      <c r="X90" s="1436"/>
      <c r="Y90" s="1436"/>
      <c r="Z90" s="1436"/>
      <c r="AA90" s="1436"/>
      <c r="AB90" s="1436"/>
      <c r="AC90" s="1436"/>
      <c r="AD90" s="1436"/>
      <c r="AE90" s="1436"/>
      <c r="AF90" s="1436"/>
    </row>
    <row r="91" spans="1:32">
      <c r="A91" s="1436"/>
      <c r="B91" s="1436"/>
      <c r="C91" s="1436"/>
      <c r="D91" s="1436"/>
      <c r="E91" s="1436"/>
      <c r="F91" s="1436"/>
      <c r="G91" s="1436"/>
      <c r="H91" s="1436"/>
      <c r="I91" s="1436"/>
      <c r="J91" s="1436"/>
      <c r="K91" s="1436"/>
      <c r="L91" s="1436"/>
      <c r="M91" s="1436"/>
      <c r="N91" s="1436"/>
      <c r="O91" s="1436"/>
      <c r="P91" s="1436"/>
      <c r="Q91" s="1436"/>
      <c r="R91" s="1436"/>
      <c r="S91" s="1436"/>
      <c r="T91" s="1436"/>
      <c r="U91" s="1436"/>
      <c r="V91" s="1436"/>
      <c r="W91" s="1436"/>
      <c r="X91" s="1436"/>
      <c r="Y91" s="1436"/>
      <c r="Z91" s="1436"/>
      <c r="AA91" s="1436"/>
      <c r="AB91" s="1436"/>
      <c r="AC91" s="1436"/>
      <c r="AD91" s="1436"/>
      <c r="AE91" s="1436"/>
      <c r="AF91" s="1436"/>
    </row>
    <row r="92" spans="1:32">
      <c r="A92" s="1436"/>
      <c r="B92" s="1436"/>
      <c r="C92" s="1436"/>
      <c r="D92" s="1436"/>
      <c r="E92" s="1436"/>
      <c r="F92" s="1436"/>
      <c r="G92" s="1436"/>
      <c r="H92" s="1436"/>
      <c r="I92" s="1436"/>
      <c r="J92" s="1436"/>
      <c r="K92" s="1436"/>
      <c r="L92" s="1436"/>
      <c r="M92" s="1436"/>
      <c r="N92" s="1436"/>
      <c r="O92" s="1436"/>
      <c r="P92" s="1436"/>
      <c r="Q92" s="1436"/>
      <c r="R92" s="1436"/>
      <c r="S92" s="1436"/>
      <c r="T92" s="1436"/>
      <c r="U92" s="1436"/>
      <c r="V92" s="1436"/>
      <c r="W92" s="1436"/>
      <c r="X92" s="1436"/>
      <c r="Y92" s="1436"/>
      <c r="Z92" s="1436"/>
      <c r="AA92" s="1436"/>
      <c r="AB92" s="1436"/>
      <c r="AC92" s="1436"/>
      <c r="AD92" s="1436"/>
      <c r="AE92" s="1436"/>
      <c r="AF92" s="1436"/>
    </row>
    <row r="93" spans="1:32">
      <c r="A93" s="1436"/>
      <c r="B93" s="1436"/>
      <c r="C93" s="1436"/>
      <c r="D93" s="1436"/>
      <c r="E93" s="1436"/>
      <c r="F93" s="1436"/>
      <c r="G93" s="1436"/>
      <c r="H93" s="1436"/>
      <c r="I93" s="1436"/>
      <c r="J93" s="1436"/>
      <c r="K93" s="1436"/>
      <c r="L93" s="1436"/>
      <c r="M93" s="1436"/>
      <c r="N93" s="1436"/>
      <c r="O93" s="1436"/>
      <c r="P93" s="1436"/>
      <c r="Q93" s="1436"/>
      <c r="R93" s="1436"/>
      <c r="S93" s="1436"/>
      <c r="T93" s="1436"/>
      <c r="U93" s="1436"/>
      <c r="V93" s="1436"/>
      <c r="W93" s="1436"/>
      <c r="X93" s="1436"/>
      <c r="Y93" s="1436"/>
      <c r="Z93" s="1436"/>
      <c r="AA93" s="1436"/>
      <c r="AB93" s="1436"/>
      <c r="AC93" s="1436"/>
      <c r="AD93" s="1436"/>
      <c r="AE93" s="1436"/>
      <c r="AF93" s="1436"/>
    </row>
    <row r="94" spans="1:32">
      <c r="A94" s="1436"/>
      <c r="B94" s="1436"/>
      <c r="C94" s="1436"/>
      <c r="D94" s="1436"/>
      <c r="E94" s="1436"/>
      <c r="F94" s="1436"/>
      <c r="G94" s="1436"/>
      <c r="H94" s="1436"/>
      <c r="I94" s="1436"/>
      <c r="J94" s="1436"/>
      <c r="K94" s="1436"/>
      <c r="L94" s="1436"/>
      <c r="M94" s="1436"/>
      <c r="N94" s="1436"/>
      <c r="O94" s="1436"/>
      <c r="P94" s="1436"/>
      <c r="Q94" s="1436"/>
      <c r="R94" s="1436"/>
      <c r="S94" s="1436"/>
      <c r="T94" s="1436"/>
      <c r="U94" s="1436"/>
      <c r="V94" s="1436"/>
      <c r="W94" s="1436"/>
      <c r="X94" s="1436"/>
      <c r="Y94" s="1436"/>
      <c r="Z94" s="1436"/>
      <c r="AA94" s="1436"/>
      <c r="AB94" s="1436"/>
      <c r="AC94" s="1436"/>
      <c r="AD94" s="1436"/>
      <c r="AE94" s="1436"/>
      <c r="AF94" s="1436"/>
    </row>
    <row r="95" spans="1:32">
      <c r="A95" s="1436"/>
      <c r="B95" s="1436"/>
      <c r="C95" s="1436"/>
      <c r="D95" s="1436"/>
      <c r="E95" s="1436"/>
      <c r="F95" s="1436"/>
      <c r="G95" s="1436"/>
      <c r="H95" s="1436"/>
      <c r="I95" s="1436"/>
      <c r="J95" s="1436"/>
      <c r="K95" s="1436"/>
      <c r="L95" s="1436"/>
      <c r="M95" s="1436"/>
      <c r="N95" s="1436"/>
      <c r="O95" s="1436"/>
      <c r="P95" s="1436"/>
      <c r="Q95" s="1436"/>
      <c r="R95" s="1436"/>
      <c r="S95" s="1436"/>
      <c r="T95" s="1436"/>
      <c r="U95" s="1436"/>
      <c r="V95" s="1436"/>
      <c r="W95" s="1436"/>
      <c r="X95" s="1436"/>
      <c r="Y95" s="1436"/>
      <c r="Z95" s="1436"/>
      <c r="AA95" s="1436"/>
      <c r="AB95" s="1436"/>
      <c r="AC95" s="1436"/>
      <c r="AD95" s="1436"/>
      <c r="AE95" s="1436"/>
      <c r="AF95" s="1436"/>
    </row>
    <row r="96" spans="1:32">
      <c r="A96" s="1436"/>
      <c r="B96" s="1436"/>
      <c r="C96" s="1436"/>
      <c r="D96" s="1436"/>
      <c r="E96" s="1436"/>
      <c r="F96" s="1436"/>
      <c r="G96" s="1436"/>
      <c r="H96" s="1436"/>
      <c r="I96" s="1436"/>
      <c r="J96" s="1436"/>
      <c r="K96" s="1436"/>
      <c r="L96" s="1436"/>
      <c r="M96" s="1436"/>
      <c r="N96" s="1436"/>
      <c r="O96" s="1436"/>
      <c r="P96" s="1436"/>
      <c r="Q96" s="1436"/>
      <c r="R96" s="1436"/>
      <c r="S96" s="1436"/>
      <c r="T96" s="1436"/>
      <c r="U96" s="1436"/>
      <c r="V96" s="1436"/>
      <c r="W96" s="1436"/>
      <c r="X96" s="1436"/>
      <c r="Y96" s="1436"/>
      <c r="Z96" s="1436"/>
      <c r="AA96" s="1436"/>
      <c r="AB96" s="1436"/>
      <c r="AC96" s="1436"/>
      <c r="AD96" s="1436"/>
      <c r="AE96" s="1436"/>
      <c r="AF96" s="1436"/>
    </row>
    <row r="97" spans="1:32">
      <c r="A97" s="1436"/>
      <c r="B97" s="1436"/>
      <c r="C97" s="1436"/>
      <c r="D97" s="1436"/>
      <c r="E97" s="1436"/>
      <c r="F97" s="1436"/>
      <c r="G97" s="1436"/>
      <c r="H97" s="1436"/>
      <c r="I97" s="1436"/>
      <c r="J97" s="1436"/>
      <c r="K97" s="1436"/>
      <c r="L97" s="1436"/>
      <c r="M97" s="1436"/>
      <c r="N97" s="1436"/>
      <c r="O97" s="1436"/>
      <c r="P97" s="1436"/>
      <c r="Q97" s="1436"/>
      <c r="R97" s="1436"/>
      <c r="S97" s="1436"/>
      <c r="T97" s="1436"/>
      <c r="U97" s="1436"/>
      <c r="V97" s="1436"/>
      <c r="W97" s="1436"/>
      <c r="X97" s="1436"/>
      <c r="Y97" s="1436"/>
      <c r="Z97" s="1436"/>
      <c r="AA97" s="1436"/>
      <c r="AB97" s="1436"/>
      <c r="AC97" s="1436"/>
      <c r="AD97" s="1436"/>
      <c r="AE97" s="1436"/>
      <c r="AF97" s="1436"/>
    </row>
    <row r="98" spans="1:32">
      <c r="A98" s="1436"/>
      <c r="B98" s="1436"/>
      <c r="C98" s="1436"/>
      <c r="D98" s="1436"/>
      <c r="E98" s="1436"/>
      <c r="F98" s="1436"/>
      <c r="G98" s="1436"/>
      <c r="H98" s="1436"/>
      <c r="I98" s="1436"/>
      <c r="J98" s="1436"/>
      <c r="K98" s="1436"/>
      <c r="L98" s="1436"/>
      <c r="M98" s="1436"/>
      <c r="N98" s="1436"/>
      <c r="O98" s="1436"/>
      <c r="P98" s="1436"/>
      <c r="Q98" s="1436"/>
      <c r="R98" s="1436"/>
      <c r="S98" s="1436"/>
      <c r="T98" s="1436"/>
      <c r="U98" s="1436"/>
      <c r="V98" s="1436"/>
      <c r="W98" s="1436"/>
      <c r="X98" s="1436"/>
      <c r="Y98" s="1436"/>
      <c r="Z98" s="1436"/>
      <c r="AA98" s="1436"/>
      <c r="AB98" s="1436"/>
      <c r="AC98" s="1436"/>
      <c r="AD98" s="1436"/>
      <c r="AE98" s="1436"/>
      <c r="AF98" s="1436"/>
    </row>
    <row r="99" spans="1:32">
      <c r="A99" s="1436"/>
      <c r="B99" s="1436"/>
      <c r="C99" s="1436"/>
      <c r="D99" s="1436"/>
      <c r="E99" s="1436"/>
      <c r="F99" s="1436"/>
      <c r="G99" s="1436"/>
      <c r="H99" s="1436"/>
      <c r="I99" s="1436"/>
      <c r="J99" s="1436"/>
      <c r="K99" s="1436"/>
      <c r="L99" s="1436"/>
      <c r="M99" s="1436"/>
      <c r="N99" s="1436"/>
      <c r="O99" s="1436"/>
      <c r="P99" s="1436"/>
      <c r="Q99" s="1436"/>
      <c r="R99" s="1436"/>
      <c r="S99" s="1436"/>
      <c r="T99" s="1436"/>
      <c r="U99" s="1436"/>
      <c r="V99" s="1436"/>
      <c r="W99" s="1436"/>
      <c r="X99" s="1436"/>
      <c r="Y99" s="1436"/>
      <c r="Z99" s="1436"/>
      <c r="AA99" s="1436"/>
      <c r="AB99" s="1436"/>
      <c r="AC99" s="1436"/>
      <c r="AD99" s="1436"/>
      <c r="AE99" s="1436"/>
      <c r="AF99" s="1436"/>
    </row>
    <row r="100" spans="1:32">
      <c r="A100" s="1436"/>
      <c r="B100" s="1436"/>
      <c r="C100" s="1436"/>
      <c r="D100" s="1436"/>
      <c r="E100" s="1436"/>
      <c r="F100" s="1436"/>
      <c r="G100" s="1436"/>
      <c r="H100" s="1436"/>
      <c r="I100" s="1436"/>
      <c r="J100" s="1436"/>
      <c r="K100" s="1436"/>
      <c r="L100" s="1436"/>
      <c r="M100" s="1436"/>
      <c r="N100" s="1436"/>
      <c r="O100" s="1436"/>
      <c r="P100" s="1436"/>
      <c r="Q100" s="1436"/>
      <c r="R100" s="1436"/>
      <c r="S100" s="1436"/>
      <c r="T100" s="1436"/>
      <c r="U100" s="1436"/>
      <c r="V100" s="1436"/>
      <c r="W100" s="1436"/>
      <c r="X100" s="1436"/>
      <c r="Y100" s="1436"/>
      <c r="Z100" s="1436"/>
      <c r="AA100" s="1436"/>
      <c r="AB100" s="1436"/>
      <c r="AC100" s="1436"/>
      <c r="AD100" s="1436"/>
      <c r="AE100" s="1436"/>
      <c r="AF100" s="1436"/>
    </row>
    <row r="101" spans="1:32">
      <c r="A101" s="1436"/>
      <c r="B101" s="1436"/>
      <c r="C101" s="1436"/>
      <c r="D101" s="1436"/>
      <c r="E101" s="1436"/>
      <c r="F101" s="1436"/>
      <c r="G101" s="1436"/>
      <c r="H101" s="1436"/>
      <c r="I101" s="1436"/>
      <c r="J101" s="1436"/>
      <c r="K101" s="1436"/>
      <c r="L101" s="1436"/>
      <c r="M101" s="1436"/>
      <c r="N101" s="1436"/>
      <c r="O101" s="1436"/>
      <c r="P101" s="1436"/>
      <c r="Q101" s="1436"/>
      <c r="R101" s="1436"/>
      <c r="S101" s="1436"/>
      <c r="T101" s="1436"/>
      <c r="U101" s="1436"/>
      <c r="V101" s="1436"/>
      <c r="W101" s="1436"/>
      <c r="X101" s="1436"/>
      <c r="Y101" s="1436"/>
      <c r="Z101" s="1436"/>
      <c r="AA101" s="1436"/>
      <c r="AB101" s="1436"/>
      <c r="AC101" s="1436"/>
      <c r="AD101" s="1436"/>
      <c r="AE101" s="1436"/>
      <c r="AF101" s="1436"/>
    </row>
    <row r="102" spans="1:32">
      <c r="A102" s="1436"/>
      <c r="B102" s="1436"/>
      <c r="C102" s="1436"/>
      <c r="D102" s="1436"/>
      <c r="E102" s="1436"/>
      <c r="F102" s="1436"/>
      <c r="G102" s="1436"/>
      <c r="H102" s="1436"/>
      <c r="I102" s="1436"/>
      <c r="J102" s="1436"/>
      <c r="K102" s="1436"/>
      <c r="L102" s="1436"/>
      <c r="M102" s="1436"/>
      <c r="N102" s="1436"/>
      <c r="O102" s="1436"/>
      <c r="P102" s="1436"/>
      <c r="Q102" s="1436"/>
      <c r="R102" s="1436"/>
      <c r="S102" s="1436"/>
      <c r="T102" s="1436"/>
      <c r="U102" s="1436"/>
      <c r="V102" s="1436"/>
      <c r="W102" s="1436"/>
      <c r="X102" s="1436"/>
      <c r="Y102" s="1436"/>
      <c r="Z102" s="1436"/>
      <c r="AA102" s="1436"/>
      <c r="AB102" s="1436"/>
      <c r="AC102" s="1436"/>
      <c r="AD102" s="1436"/>
      <c r="AE102" s="1436"/>
      <c r="AF102" s="1436"/>
    </row>
    <row r="103" spans="1:32">
      <c r="A103" s="1436"/>
      <c r="B103" s="1436"/>
      <c r="C103" s="1436"/>
      <c r="D103" s="1436"/>
      <c r="E103" s="1436"/>
      <c r="F103" s="1436"/>
      <c r="G103" s="1436"/>
      <c r="H103" s="1436"/>
      <c r="I103" s="1436"/>
      <c r="J103" s="1436"/>
      <c r="K103" s="1436"/>
      <c r="L103" s="1436"/>
      <c r="M103" s="1436"/>
      <c r="N103" s="1436"/>
      <c r="O103" s="1436"/>
      <c r="P103" s="1436"/>
      <c r="Q103" s="1436"/>
      <c r="R103" s="1436"/>
      <c r="S103" s="1436"/>
      <c r="T103" s="1436"/>
      <c r="U103" s="1436"/>
      <c r="V103" s="1436"/>
      <c r="W103" s="1436"/>
      <c r="X103" s="1436"/>
      <c r="Y103" s="1436"/>
      <c r="Z103" s="1436"/>
      <c r="AA103" s="1436"/>
      <c r="AB103" s="1436"/>
      <c r="AC103" s="1436"/>
      <c r="AD103" s="1436"/>
      <c r="AE103" s="1436"/>
      <c r="AF103" s="1436"/>
    </row>
    <row r="104" spans="1:32">
      <c r="A104" s="1436"/>
      <c r="B104" s="1436"/>
      <c r="C104" s="1436"/>
      <c r="D104" s="1436"/>
      <c r="E104" s="1436"/>
      <c r="F104" s="1436"/>
      <c r="G104" s="1436"/>
      <c r="H104" s="1436"/>
      <c r="I104" s="1436"/>
      <c r="J104" s="1436"/>
      <c r="K104" s="1436"/>
      <c r="L104" s="1436"/>
      <c r="M104" s="1436"/>
      <c r="N104" s="1436"/>
      <c r="O104" s="1436"/>
      <c r="P104" s="1436"/>
      <c r="Q104" s="1436"/>
      <c r="R104" s="1436"/>
      <c r="S104" s="1436"/>
      <c r="T104" s="1436"/>
      <c r="U104" s="1436"/>
      <c r="V104" s="1436"/>
      <c r="W104" s="1436"/>
      <c r="X104" s="1436"/>
      <c r="Y104" s="1436"/>
      <c r="Z104" s="1436"/>
      <c r="AA104" s="1436"/>
      <c r="AB104" s="1436"/>
      <c r="AC104" s="1436"/>
      <c r="AD104" s="1436"/>
      <c r="AE104" s="1436"/>
      <c r="AF104" s="1436"/>
    </row>
    <row r="105" spans="1:32">
      <c r="A105" s="1436"/>
      <c r="B105" s="1436"/>
      <c r="C105" s="1436"/>
      <c r="D105" s="1436"/>
      <c r="E105" s="1436"/>
      <c r="F105" s="1436"/>
      <c r="G105" s="1436"/>
      <c r="H105" s="1436"/>
      <c r="I105" s="1436"/>
      <c r="J105" s="1436"/>
      <c r="K105" s="1436"/>
      <c r="L105" s="1436"/>
      <c r="M105" s="1436"/>
      <c r="N105" s="1436"/>
      <c r="O105" s="1436"/>
      <c r="P105" s="1436"/>
      <c r="Q105" s="1436"/>
      <c r="R105" s="1436"/>
      <c r="S105" s="1436"/>
      <c r="T105" s="1436"/>
      <c r="U105" s="1436"/>
      <c r="V105" s="1436"/>
      <c r="W105" s="1436"/>
      <c r="X105" s="1436"/>
      <c r="Y105" s="1436"/>
      <c r="Z105" s="1436"/>
      <c r="AA105" s="1436"/>
      <c r="AB105" s="1436"/>
      <c r="AC105" s="1436"/>
      <c r="AD105" s="1436"/>
      <c r="AE105" s="1436"/>
      <c r="AF105" s="1436"/>
    </row>
    <row r="106" spans="1:32">
      <c r="A106" s="1436"/>
      <c r="B106" s="1436"/>
      <c r="C106" s="1436"/>
      <c r="D106" s="1436"/>
      <c r="E106" s="1436"/>
      <c r="F106" s="1436"/>
      <c r="G106" s="1436"/>
      <c r="H106" s="1436"/>
      <c r="I106" s="1436"/>
      <c r="J106" s="1436"/>
      <c r="K106" s="1436"/>
      <c r="L106" s="1436"/>
      <c r="M106" s="1436"/>
      <c r="N106" s="1436"/>
      <c r="O106" s="1436"/>
      <c r="P106" s="1436"/>
      <c r="Q106" s="1436"/>
      <c r="R106" s="1436"/>
      <c r="S106" s="1436"/>
      <c r="T106" s="1436"/>
      <c r="U106" s="1436"/>
      <c r="V106" s="1436"/>
      <c r="W106" s="1436"/>
      <c r="X106" s="1436"/>
      <c r="Y106" s="1436"/>
      <c r="Z106" s="1436"/>
      <c r="AA106" s="1436"/>
      <c r="AB106" s="1436"/>
      <c r="AC106" s="1436"/>
      <c r="AD106" s="1436"/>
      <c r="AE106" s="1436"/>
      <c r="AF106" s="1436"/>
    </row>
    <row r="107" spans="1:32">
      <c r="A107" s="1436"/>
      <c r="B107" s="1436"/>
      <c r="C107" s="1436"/>
      <c r="D107" s="1436"/>
      <c r="E107" s="1436"/>
      <c r="F107" s="1436"/>
      <c r="G107" s="1436"/>
      <c r="H107" s="1436"/>
      <c r="I107" s="1436"/>
      <c r="J107" s="1436"/>
      <c r="K107" s="1436"/>
      <c r="L107" s="1436"/>
      <c r="M107" s="1436"/>
      <c r="N107" s="1436"/>
      <c r="O107" s="1436"/>
      <c r="P107" s="1436"/>
      <c r="Q107" s="1436"/>
      <c r="R107" s="1436"/>
      <c r="S107" s="1436"/>
      <c r="T107" s="1436"/>
      <c r="U107" s="1436"/>
      <c r="V107" s="1436"/>
      <c r="W107" s="1436"/>
      <c r="X107" s="1436"/>
      <c r="Y107" s="1436"/>
      <c r="Z107" s="1436"/>
      <c r="AA107" s="1436"/>
      <c r="AB107" s="1436"/>
      <c r="AC107" s="1436"/>
      <c r="AD107" s="1436"/>
      <c r="AE107" s="1436"/>
      <c r="AF107" s="1436"/>
    </row>
    <row r="108" spans="1:32">
      <c r="A108" s="1436"/>
      <c r="B108" s="1436"/>
      <c r="C108" s="1436"/>
      <c r="D108" s="1436"/>
      <c r="E108" s="1436"/>
      <c r="F108" s="1436"/>
      <c r="G108" s="1436"/>
      <c r="H108" s="1436"/>
      <c r="I108" s="1436"/>
      <c r="J108" s="1436"/>
      <c r="K108" s="1436"/>
      <c r="L108" s="1436"/>
      <c r="M108" s="1436"/>
      <c r="N108" s="1436"/>
      <c r="O108" s="1436"/>
      <c r="P108" s="1436"/>
      <c r="Q108" s="1436"/>
      <c r="R108" s="1436"/>
      <c r="S108" s="1436"/>
      <c r="T108" s="1436"/>
      <c r="U108" s="1436"/>
      <c r="V108" s="1436"/>
      <c r="W108" s="1436"/>
      <c r="X108" s="1436"/>
      <c r="Y108" s="1436"/>
      <c r="Z108" s="1436"/>
      <c r="AA108" s="1436"/>
      <c r="AB108" s="1436"/>
      <c r="AC108" s="1436"/>
      <c r="AD108" s="1436"/>
      <c r="AE108" s="1436"/>
      <c r="AF108" s="1436"/>
    </row>
    <row r="109" spans="1:32">
      <c r="A109" s="1436"/>
      <c r="B109" s="1436"/>
      <c r="C109" s="1436"/>
      <c r="D109" s="1436"/>
      <c r="E109" s="1436"/>
      <c r="F109" s="1436"/>
      <c r="G109" s="1436"/>
      <c r="H109" s="1436"/>
      <c r="I109" s="1436"/>
      <c r="J109" s="1436"/>
      <c r="K109" s="1436"/>
      <c r="L109" s="1436"/>
      <c r="M109" s="1436"/>
      <c r="N109" s="1436"/>
      <c r="O109" s="1436"/>
      <c r="P109" s="1436"/>
      <c r="Q109" s="1436"/>
      <c r="R109" s="1436"/>
      <c r="S109" s="1436"/>
      <c r="T109" s="1436"/>
      <c r="U109" s="1436"/>
      <c r="V109" s="1436"/>
      <c r="W109" s="1436"/>
      <c r="X109" s="1436"/>
      <c r="Y109" s="1436"/>
      <c r="Z109" s="1436"/>
      <c r="AA109" s="1436"/>
      <c r="AB109" s="1436"/>
      <c r="AC109" s="1436"/>
      <c r="AD109" s="1436"/>
      <c r="AE109" s="1436"/>
      <c r="AF109" s="1436"/>
    </row>
    <row r="110" spans="1:32">
      <c r="A110" s="1436"/>
      <c r="B110" s="1436"/>
      <c r="C110" s="1436"/>
      <c r="D110" s="1436"/>
      <c r="E110" s="1436"/>
      <c r="F110" s="1436"/>
      <c r="G110" s="1436"/>
      <c r="H110" s="1436"/>
      <c r="I110" s="1436"/>
      <c r="J110" s="1436"/>
      <c r="K110" s="1436"/>
      <c r="L110" s="1436"/>
      <c r="M110" s="1436"/>
      <c r="N110" s="1436"/>
      <c r="O110" s="1436"/>
      <c r="P110" s="1436"/>
      <c r="Q110" s="1436"/>
      <c r="R110" s="1436"/>
      <c r="S110" s="1436"/>
      <c r="T110" s="1436"/>
      <c r="U110" s="1436"/>
      <c r="V110" s="1436"/>
      <c r="W110" s="1436"/>
      <c r="X110" s="1436"/>
      <c r="Y110" s="1436"/>
      <c r="Z110" s="1436"/>
      <c r="AA110" s="1436"/>
      <c r="AB110" s="1436"/>
      <c r="AC110" s="1436"/>
      <c r="AD110" s="1436"/>
      <c r="AE110" s="1436"/>
      <c r="AF110" s="1436"/>
    </row>
    <row r="111" spans="1:32">
      <c r="A111" s="1436"/>
      <c r="B111" s="1436"/>
      <c r="C111" s="1436"/>
      <c r="D111" s="1436"/>
      <c r="E111" s="1436"/>
      <c r="F111" s="1436"/>
      <c r="G111" s="1436"/>
      <c r="H111" s="1436"/>
      <c r="I111" s="1436"/>
      <c r="J111" s="1436"/>
      <c r="K111" s="1436"/>
      <c r="L111" s="1436"/>
      <c r="M111" s="1436"/>
      <c r="N111" s="1436"/>
      <c r="O111" s="1436"/>
      <c r="P111" s="1436"/>
      <c r="Q111" s="1436"/>
      <c r="R111" s="1436"/>
      <c r="S111" s="1436"/>
      <c r="T111" s="1436"/>
      <c r="U111" s="1436"/>
      <c r="V111" s="1436"/>
      <c r="W111" s="1436"/>
      <c r="X111" s="1436"/>
      <c r="Y111" s="1436"/>
      <c r="Z111" s="1436"/>
      <c r="AA111" s="1436"/>
      <c r="AB111" s="1436"/>
      <c r="AC111" s="1436"/>
      <c r="AD111" s="1436"/>
      <c r="AE111" s="1436"/>
      <c r="AF111" s="1436"/>
    </row>
    <row r="112" spans="1:32">
      <c r="A112" s="1436"/>
      <c r="B112" s="1436"/>
      <c r="C112" s="1436"/>
      <c r="D112" s="1436"/>
      <c r="E112" s="1436"/>
      <c r="F112" s="1436"/>
      <c r="G112" s="1436"/>
      <c r="H112" s="1436"/>
      <c r="I112" s="1436"/>
      <c r="J112" s="1436"/>
      <c r="K112" s="1436"/>
      <c r="L112" s="1436"/>
      <c r="M112" s="1436"/>
      <c r="N112" s="1436"/>
      <c r="O112" s="1436"/>
      <c r="P112" s="1436"/>
      <c r="Q112" s="1436"/>
      <c r="R112" s="1436"/>
      <c r="S112" s="1436"/>
      <c r="T112" s="1436"/>
      <c r="U112" s="1436"/>
      <c r="V112" s="1436"/>
      <c r="W112" s="1436"/>
      <c r="X112" s="1436"/>
      <c r="Y112" s="1436"/>
      <c r="Z112" s="1436"/>
      <c r="AA112" s="1436"/>
      <c r="AB112" s="1436"/>
      <c r="AC112" s="1436"/>
      <c r="AD112" s="1436"/>
      <c r="AE112" s="1436"/>
      <c r="AF112" s="1436"/>
    </row>
    <row r="113" spans="1:32">
      <c r="A113" s="1436"/>
      <c r="B113" s="1436"/>
      <c r="C113" s="1436"/>
      <c r="D113" s="1436"/>
      <c r="E113" s="1436"/>
      <c r="F113" s="1436"/>
      <c r="G113" s="1436"/>
      <c r="H113" s="1436"/>
      <c r="I113" s="1436"/>
      <c r="J113" s="1436"/>
      <c r="K113" s="1436"/>
      <c r="L113" s="1436"/>
      <c r="M113" s="1436"/>
      <c r="N113" s="1436"/>
      <c r="O113" s="1436"/>
      <c r="P113" s="1436"/>
      <c r="Q113" s="1436"/>
      <c r="R113" s="1436"/>
      <c r="S113" s="1436"/>
      <c r="T113" s="1436"/>
      <c r="U113" s="1436"/>
      <c r="V113" s="1436"/>
      <c r="W113" s="1436"/>
      <c r="X113" s="1436"/>
      <c r="Y113" s="1436"/>
      <c r="Z113" s="1436"/>
      <c r="AA113" s="1436"/>
      <c r="AB113" s="1436"/>
      <c r="AC113" s="1436"/>
      <c r="AD113" s="1436"/>
      <c r="AE113" s="1436"/>
      <c r="AF113" s="1436"/>
    </row>
    <row r="114" spans="1:32">
      <c r="A114" s="1436"/>
      <c r="B114" s="1436"/>
      <c r="C114" s="1436"/>
      <c r="D114" s="1436"/>
      <c r="E114" s="1436"/>
      <c r="F114" s="1436"/>
      <c r="G114" s="1436"/>
      <c r="H114" s="1436"/>
      <c r="I114" s="1436"/>
      <c r="J114" s="1436"/>
      <c r="K114" s="1436"/>
      <c r="L114" s="1436"/>
      <c r="M114" s="1436"/>
      <c r="N114" s="1436"/>
      <c r="O114" s="1436"/>
      <c r="P114" s="1436"/>
      <c r="Q114" s="1436"/>
      <c r="R114" s="1436"/>
      <c r="S114" s="1436"/>
      <c r="T114" s="1436"/>
      <c r="U114" s="1436"/>
      <c r="V114" s="1436"/>
      <c r="W114" s="1436"/>
      <c r="X114" s="1436"/>
      <c r="Y114" s="1436"/>
      <c r="Z114" s="1436"/>
      <c r="AA114" s="1436"/>
      <c r="AB114" s="1436"/>
      <c r="AC114" s="1436"/>
      <c r="AD114" s="1436"/>
      <c r="AE114" s="1436"/>
      <c r="AF114" s="1436"/>
    </row>
    <row r="115" spans="1:32">
      <c r="A115" s="1436"/>
      <c r="B115" s="1436"/>
      <c r="C115" s="1436"/>
      <c r="D115" s="1436"/>
      <c r="E115" s="1436"/>
      <c r="F115" s="1436"/>
      <c r="G115" s="1436"/>
      <c r="H115" s="1436"/>
      <c r="I115" s="1436"/>
      <c r="J115" s="1436"/>
      <c r="K115" s="1436"/>
      <c r="L115" s="1436"/>
      <c r="M115" s="1436"/>
      <c r="N115" s="1436"/>
      <c r="O115" s="1436"/>
      <c r="P115" s="1436"/>
      <c r="Q115" s="1436"/>
      <c r="R115" s="1436"/>
      <c r="S115" s="1436"/>
      <c r="T115" s="1436"/>
      <c r="U115" s="1436"/>
      <c r="V115" s="1436"/>
      <c r="W115" s="1436"/>
      <c r="X115" s="1436"/>
      <c r="Y115" s="1436"/>
      <c r="Z115" s="1436"/>
      <c r="AA115" s="1436"/>
      <c r="AB115" s="1436"/>
      <c r="AC115" s="1436"/>
      <c r="AD115" s="1436"/>
      <c r="AE115" s="1436"/>
      <c r="AF115" s="1436"/>
    </row>
    <row r="116" spans="1:32">
      <c r="A116" s="1436"/>
      <c r="B116" s="1436"/>
      <c r="C116" s="1436"/>
      <c r="D116" s="1436"/>
      <c r="E116" s="1436"/>
      <c r="F116" s="1436"/>
      <c r="G116" s="1436"/>
      <c r="H116" s="1436"/>
      <c r="I116" s="1436"/>
      <c r="J116" s="1436"/>
      <c r="K116" s="1436"/>
      <c r="L116" s="1436"/>
      <c r="M116" s="1436"/>
      <c r="N116" s="1436"/>
      <c r="O116" s="1436"/>
      <c r="P116" s="1436"/>
      <c r="Q116" s="1436"/>
      <c r="R116" s="1436"/>
      <c r="S116" s="1436"/>
      <c r="T116" s="1436"/>
      <c r="U116" s="1436"/>
      <c r="V116" s="1436"/>
      <c r="W116" s="1436"/>
      <c r="X116" s="1436"/>
      <c r="Y116" s="1436"/>
      <c r="Z116" s="1436"/>
      <c r="AA116" s="1436"/>
      <c r="AB116" s="1436"/>
      <c r="AC116" s="1436"/>
      <c r="AD116" s="1436"/>
      <c r="AE116" s="1436"/>
      <c r="AF116" s="1436"/>
    </row>
    <row r="117" spans="1:32">
      <c r="A117" s="1436"/>
      <c r="B117" s="1436"/>
      <c r="C117" s="1436"/>
      <c r="D117" s="1436"/>
      <c r="E117" s="1436"/>
      <c r="F117" s="1436"/>
      <c r="G117" s="1436"/>
      <c r="H117" s="1436"/>
      <c r="I117" s="1436"/>
      <c r="J117" s="1436"/>
      <c r="K117" s="1436"/>
      <c r="L117" s="1436"/>
      <c r="M117" s="1436"/>
      <c r="N117" s="1436"/>
      <c r="O117" s="1436"/>
      <c r="P117" s="1436"/>
      <c r="Q117" s="1436"/>
      <c r="R117" s="1436"/>
      <c r="S117" s="1436"/>
      <c r="T117" s="1436"/>
      <c r="U117" s="1436"/>
      <c r="V117" s="1436"/>
      <c r="W117" s="1436"/>
      <c r="X117" s="1436"/>
      <c r="Y117" s="1436"/>
      <c r="Z117" s="1436"/>
      <c r="AA117" s="1436"/>
      <c r="AB117" s="1436"/>
      <c r="AC117" s="1436"/>
      <c r="AD117" s="1436"/>
      <c r="AE117" s="1436"/>
      <c r="AF117" s="1436"/>
    </row>
    <row r="118" spans="1:32">
      <c r="A118" s="1436"/>
      <c r="B118" s="1436"/>
      <c r="C118" s="1436"/>
      <c r="D118" s="1436"/>
      <c r="E118" s="1436"/>
      <c r="F118" s="1436"/>
      <c r="G118" s="1436"/>
      <c r="H118" s="1436"/>
      <c r="I118" s="1436"/>
      <c r="J118" s="1436"/>
      <c r="K118" s="1436"/>
      <c r="L118" s="1436"/>
      <c r="M118" s="1436"/>
      <c r="N118" s="1436"/>
      <c r="O118" s="1436"/>
      <c r="P118" s="1436"/>
      <c r="Q118" s="1436"/>
      <c r="R118" s="1436"/>
      <c r="S118" s="1436"/>
      <c r="T118" s="1436"/>
      <c r="U118" s="1436"/>
      <c r="V118" s="1436"/>
      <c r="W118" s="1436"/>
      <c r="X118" s="1436"/>
      <c r="Y118" s="1436"/>
      <c r="Z118" s="1436"/>
      <c r="AA118" s="1436"/>
      <c r="AB118" s="1436"/>
      <c r="AC118" s="1436"/>
      <c r="AD118" s="1436"/>
      <c r="AE118" s="1436"/>
      <c r="AF118" s="1436"/>
    </row>
    <row r="119" spans="1:32">
      <c r="A119" s="1436"/>
      <c r="B119" s="1436"/>
      <c r="C119" s="1436"/>
      <c r="D119" s="1436"/>
      <c r="E119" s="1436"/>
      <c r="F119" s="1436"/>
      <c r="G119" s="1436"/>
      <c r="H119" s="1436"/>
      <c r="I119" s="1436"/>
      <c r="J119" s="1436"/>
      <c r="K119" s="1436"/>
      <c r="L119" s="1436"/>
      <c r="M119" s="1436"/>
      <c r="N119" s="1436"/>
      <c r="O119" s="1436"/>
      <c r="P119" s="1436"/>
      <c r="Q119" s="1436"/>
      <c r="R119" s="1436"/>
      <c r="S119" s="1436"/>
      <c r="T119" s="1436"/>
      <c r="U119" s="1436"/>
      <c r="V119" s="1436"/>
      <c r="W119" s="1436"/>
      <c r="X119" s="1436"/>
      <c r="Y119" s="1436"/>
      <c r="Z119" s="1436"/>
      <c r="AA119" s="1436"/>
      <c r="AB119" s="1436"/>
      <c r="AC119" s="1436"/>
      <c r="AD119" s="1436"/>
      <c r="AE119" s="1436"/>
      <c r="AF119" s="1436"/>
    </row>
    <row r="120" spans="1:32">
      <c r="A120" s="1436"/>
      <c r="B120" s="1436"/>
      <c r="C120" s="1436"/>
      <c r="D120" s="1436"/>
      <c r="E120" s="1436"/>
      <c r="F120" s="1436"/>
      <c r="G120" s="1436"/>
      <c r="H120" s="1436"/>
      <c r="I120" s="1436"/>
      <c r="J120" s="1436"/>
      <c r="K120" s="1436"/>
      <c r="L120" s="1436"/>
      <c r="M120" s="1436"/>
      <c r="N120" s="1436"/>
      <c r="O120" s="1436"/>
      <c r="P120" s="1436"/>
      <c r="Q120" s="1436"/>
      <c r="R120" s="1436"/>
      <c r="S120" s="1436"/>
      <c r="T120" s="1436"/>
      <c r="U120" s="1436"/>
      <c r="V120" s="1436"/>
      <c r="W120" s="1436"/>
      <c r="X120" s="1436"/>
      <c r="Y120" s="1436"/>
      <c r="Z120" s="1436"/>
      <c r="AA120" s="1436"/>
      <c r="AB120" s="1436"/>
      <c r="AC120" s="1436"/>
      <c r="AD120" s="1436"/>
      <c r="AE120" s="1436"/>
      <c r="AF120" s="1436"/>
    </row>
    <row r="121" spans="1:32">
      <c r="A121" s="1436"/>
      <c r="B121" s="1436"/>
      <c r="C121" s="1436"/>
      <c r="D121" s="1436"/>
      <c r="E121" s="1436"/>
      <c r="F121" s="1436"/>
      <c r="G121" s="1436"/>
      <c r="H121" s="1436"/>
      <c r="I121" s="1436"/>
      <c r="J121" s="1436"/>
      <c r="K121" s="1436"/>
      <c r="L121" s="1436"/>
      <c r="M121" s="1436"/>
      <c r="N121" s="1436"/>
      <c r="O121" s="1436"/>
      <c r="P121" s="1436"/>
      <c r="Q121" s="1436"/>
      <c r="R121" s="1436"/>
      <c r="S121" s="1436"/>
      <c r="T121" s="1436"/>
      <c r="U121" s="1436"/>
      <c r="V121" s="1436"/>
      <c r="W121" s="1436"/>
      <c r="X121" s="1436"/>
      <c r="Y121" s="1436"/>
      <c r="Z121" s="1436"/>
      <c r="AA121" s="1436"/>
      <c r="AB121" s="1436"/>
      <c r="AC121" s="1436"/>
      <c r="AD121" s="1436"/>
      <c r="AE121" s="1436"/>
      <c r="AF121" s="1436"/>
    </row>
    <row r="122" spans="1:32">
      <c r="A122" s="1436"/>
      <c r="B122" s="1436"/>
      <c r="C122" s="1436"/>
      <c r="D122" s="1436"/>
      <c r="E122" s="1436"/>
      <c r="F122" s="1436"/>
      <c r="G122" s="1436"/>
      <c r="H122" s="1436"/>
      <c r="I122" s="1436"/>
      <c r="J122" s="1436"/>
      <c r="K122" s="1436"/>
      <c r="L122" s="1436"/>
      <c r="M122" s="1436"/>
      <c r="N122" s="1436"/>
      <c r="O122" s="1436"/>
      <c r="P122" s="1436"/>
      <c r="Q122" s="1436"/>
      <c r="R122" s="1436"/>
      <c r="S122" s="1436"/>
      <c r="T122" s="1436"/>
      <c r="U122" s="1436"/>
      <c r="V122" s="1436"/>
      <c r="W122" s="1436"/>
      <c r="X122" s="1436"/>
      <c r="Y122" s="1436"/>
      <c r="Z122" s="1436"/>
      <c r="AA122" s="1436"/>
      <c r="AB122" s="1436"/>
      <c r="AC122" s="1436"/>
      <c r="AD122" s="1436"/>
      <c r="AE122" s="1436"/>
      <c r="AF122" s="1436"/>
    </row>
    <row r="123" spans="1:32">
      <c r="A123" s="1436"/>
      <c r="B123" s="1436"/>
      <c r="C123" s="1436"/>
      <c r="D123" s="1436"/>
      <c r="E123" s="1436"/>
      <c r="F123" s="1436"/>
      <c r="G123" s="1436"/>
      <c r="H123" s="1436"/>
      <c r="I123" s="1436"/>
      <c r="J123" s="1436"/>
      <c r="K123" s="1436"/>
      <c r="L123" s="1436"/>
      <c r="M123" s="1436"/>
      <c r="N123" s="1436"/>
      <c r="O123" s="1436"/>
      <c r="P123" s="1436"/>
      <c r="Q123" s="1436"/>
      <c r="R123" s="1436"/>
      <c r="S123" s="1436"/>
      <c r="T123" s="1436"/>
      <c r="U123" s="1436"/>
      <c r="V123" s="1436"/>
      <c r="W123" s="1436"/>
      <c r="X123" s="1436"/>
      <c r="Y123" s="1436"/>
      <c r="Z123" s="1436"/>
      <c r="AA123" s="1436"/>
      <c r="AB123" s="1436"/>
      <c r="AC123" s="1436"/>
      <c r="AD123" s="1436"/>
      <c r="AE123" s="1436"/>
      <c r="AF123" s="1436"/>
    </row>
    <row r="124" spans="1:32">
      <c r="A124" s="1436"/>
      <c r="B124" s="1436"/>
      <c r="C124" s="1436"/>
      <c r="D124" s="1436"/>
      <c r="E124" s="1436"/>
      <c r="F124" s="1436"/>
      <c r="G124" s="1436"/>
      <c r="H124" s="1436"/>
      <c r="I124" s="1436"/>
      <c r="J124" s="1436"/>
      <c r="K124" s="1436"/>
      <c r="L124" s="1436"/>
      <c r="M124" s="1436"/>
      <c r="N124" s="1436"/>
      <c r="O124" s="1436"/>
      <c r="P124" s="1436"/>
      <c r="Q124" s="1436"/>
      <c r="R124" s="1436"/>
      <c r="S124" s="1436"/>
      <c r="T124" s="1436"/>
      <c r="U124" s="1436"/>
      <c r="V124" s="1436"/>
      <c r="W124" s="1436"/>
      <c r="X124" s="1436"/>
      <c r="Y124" s="1436"/>
      <c r="Z124" s="1436"/>
      <c r="AA124" s="1436"/>
      <c r="AB124" s="1436"/>
      <c r="AC124" s="1436"/>
      <c r="AD124" s="1436"/>
      <c r="AE124" s="1436"/>
      <c r="AF124" s="1436"/>
    </row>
    <row r="125" spans="1:32">
      <c r="A125" s="1436"/>
      <c r="B125" s="1436"/>
      <c r="C125" s="1436"/>
      <c r="D125" s="1436"/>
      <c r="E125" s="1436"/>
      <c r="F125" s="1436"/>
      <c r="G125" s="1436"/>
      <c r="H125" s="1436"/>
      <c r="I125" s="1436"/>
      <c r="J125" s="1436"/>
      <c r="K125" s="1436"/>
      <c r="L125" s="1436"/>
      <c r="M125" s="1436"/>
      <c r="N125" s="1436"/>
      <c r="O125" s="1436"/>
      <c r="P125" s="1436"/>
      <c r="Q125" s="1436"/>
      <c r="R125" s="1436"/>
      <c r="S125" s="1436"/>
      <c r="T125" s="1436"/>
      <c r="U125" s="1436"/>
      <c r="V125" s="1436"/>
      <c r="W125" s="1436"/>
      <c r="X125" s="1436"/>
      <c r="Y125" s="1436"/>
      <c r="Z125" s="1436"/>
      <c r="AA125" s="1436"/>
      <c r="AB125" s="1436"/>
      <c r="AC125" s="1436"/>
      <c r="AD125" s="1436"/>
      <c r="AE125" s="1436"/>
      <c r="AF125" s="1436"/>
    </row>
    <row r="126" spans="1:32">
      <c r="A126" s="1436"/>
      <c r="B126" s="1436"/>
      <c r="C126" s="1436"/>
      <c r="D126" s="1436"/>
      <c r="E126" s="1436"/>
      <c r="F126" s="1436"/>
      <c r="G126" s="1436"/>
      <c r="H126" s="1436"/>
      <c r="I126" s="1436"/>
      <c r="J126" s="1436"/>
      <c r="K126" s="1436"/>
      <c r="L126" s="1436"/>
      <c r="M126" s="1436"/>
      <c r="N126" s="1436"/>
      <c r="O126" s="1436"/>
      <c r="P126" s="1436"/>
      <c r="Q126" s="1436"/>
      <c r="R126" s="1436"/>
      <c r="S126" s="1436"/>
      <c r="T126" s="1436"/>
      <c r="U126" s="1436"/>
      <c r="V126" s="1436"/>
      <c r="W126" s="1436"/>
      <c r="X126" s="1436"/>
      <c r="Y126" s="1436"/>
      <c r="Z126" s="1436"/>
      <c r="AA126" s="1436"/>
      <c r="AB126" s="1436"/>
      <c r="AC126" s="1436"/>
      <c r="AD126" s="1436"/>
      <c r="AE126" s="1436"/>
      <c r="AF126" s="1436"/>
    </row>
    <row r="127" spans="1:32">
      <c r="A127" s="1436"/>
      <c r="B127" s="1436"/>
      <c r="C127" s="1436"/>
      <c r="D127" s="1436"/>
      <c r="E127" s="1436"/>
      <c r="F127" s="1436"/>
      <c r="G127" s="1436"/>
      <c r="H127" s="1436"/>
      <c r="I127" s="1436"/>
      <c r="J127" s="1436"/>
      <c r="K127" s="1436"/>
      <c r="L127" s="1436"/>
      <c r="M127" s="1436"/>
      <c r="N127" s="1436"/>
      <c r="O127" s="1436"/>
      <c r="P127" s="1436"/>
      <c r="Q127" s="1436"/>
      <c r="R127" s="1436"/>
      <c r="S127" s="1436"/>
      <c r="T127" s="1436"/>
      <c r="U127" s="1436"/>
      <c r="V127" s="1436"/>
      <c r="W127" s="1436"/>
      <c r="X127" s="1436"/>
      <c r="Y127" s="1436"/>
      <c r="Z127" s="1436"/>
      <c r="AA127" s="1436"/>
      <c r="AB127" s="1436"/>
      <c r="AC127" s="1436"/>
      <c r="AD127" s="1436"/>
      <c r="AE127" s="1436"/>
      <c r="AF127" s="1436"/>
    </row>
    <row r="128" spans="1:32">
      <c r="A128" s="1436"/>
      <c r="B128" s="1436"/>
      <c r="C128" s="1436"/>
      <c r="D128" s="1436"/>
      <c r="E128" s="1436"/>
      <c r="F128" s="1436"/>
      <c r="G128" s="1436"/>
      <c r="H128" s="1436"/>
      <c r="I128" s="1436"/>
      <c r="J128" s="1436"/>
      <c r="K128" s="1436"/>
      <c r="L128" s="1436"/>
      <c r="M128" s="1436"/>
      <c r="N128" s="1436"/>
      <c r="O128" s="1436"/>
      <c r="P128" s="1436"/>
      <c r="Q128" s="1436"/>
      <c r="R128" s="1436"/>
      <c r="S128" s="1436"/>
      <c r="T128" s="1436"/>
      <c r="U128" s="1436"/>
      <c r="V128" s="1436"/>
      <c r="W128" s="1436"/>
      <c r="X128" s="1436"/>
      <c r="Y128" s="1436"/>
      <c r="Z128" s="1436"/>
      <c r="AA128" s="1436"/>
      <c r="AB128" s="1436"/>
      <c r="AC128" s="1436"/>
      <c r="AD128" s="1436"/>
      <c r="AE128" s="1436"/>
      <c r="AF128" s="1436"/>
    </row>
    <row r="129" spans="1:32">
      <c r="A129" s="1436"/>
      <c r="B129" s="1436"/>
      <c r="C129" s="1436"/>
      <c r="D129" s="1436"/>
      <c r="E129" s="1436"/>
      <c r="F129" s="1436"/>
      <c r="G129" s="1436"/>
      <c r="H129" s="1436"/>
      <c r="I129" s="1436"/>
      <c r="J129" s="1436"/>
      <c r="K129" s="1436"/>
      <c r="L129" s="1436"/>
      <c r="M129" s="1436"/>
      <c r="N129" s="1436"/>
      <c r="O129" s="1436"/>
      <c r="P129" s="1436"/>
      <c r="Q129" s="1436"/>
      <c r="R129" s="1436"/>
      <c r="S129" s="1436"/>
      <c r="T129" s="1436"/>
      <c r="U129" s="1436"/>
      <c r="V129" s="1436"/>
      <c r="W129" s="1436"/>
      <c r="X129" s="1436"/>
      <c r="Y129" s="1436"/>
      <c r="Z129" s="1436"/>
      <c r="AA129" s="1436"/>
      <c r="AB129" s="1436"/>
      <c r="AC129" s="1436"/>
      <c r="AD129" s="1436"/>
      <c r="AE129" s="1436"/>
      <c r="AF129" s="1436"/>
    </row>
    <row r="130" spans="1:32">
      <c r="A130" s="1436"/>
      <c r="B130" s="1436"/>
      <c r="C130" s="1436"/>
      <c r="D130" s="1436"/>
      <c r="E130" s="1436"/>
      <c r="F130" s="1436"/>
      <c r="G130" s="1436"/>
      <c r="H130" s="1436"/>
      <c r="I130" s="1436"/>
      <c r="J130" s="1436"/>
      <c r="K130" s="1436"/>
      <c r="L130" s="1436"/>
      <c r="M130" s="1436"/>
      <c r="N130" s="1436"/>
      <c r="O130" s="1436"/>
      <c r="P130" s="1436"/>
      <c r="Q130" s="1436"/>
      <c r="R130" s="1436"/>
      <c r="S130" s="1436"/>
      <c r="T130" s="1436"/>
      <c r="U130" s="1436"/>
      <c r="V130" s="1436"/>
      <c r="W130" s="1436"/>
      <c r="X130" s="1436"/>
      <c r="Y130" s="1436"/>
      <c r="Z130" s="1436"/>
      <c r="AA130" s="1436"/>
      <c r="AB130" s="1436"/>
      <c r="AC130" s="1436"/>
      <c r="AD130" s="1436"/>
      <c r="AE130" s="1436"/>
      <c r="AF130" s="1436"/>
    </row>
    <row r="131" spans="1:32">
      <c r="A131" s="1436"/>
      <c r="B131" s="1436"/>
      <c r="C131" s="1436"/>
      <c r="D131" s="1436"/>
      <c r="E131" s="1436"/>
      <c r="F131" s="1436"/>
      <c r="G131" s="1436"/>
      <c r="H131" s="1436"/>
      <c r="I131" s="1436"/>
      <c r="J131" s="1436"/>
      <c r="K131" s="1436"/>
      <c r="L131" s="1436"/>
      <c r="M131" s="1436"/>
      <c r="N131" s="1436"/>
      <c r="O131" s="1436"/>
      <c r="P131" s="1436"/>
      <c r="Q131" s="1436"/>
      <c r="R131" s="1436"/>
      <c r="S131" s="1436"/>
      <c r="T131" s="1436"/>
      <c r="U131" s="1436"/>
      <c r="V131" s="1436"/>
      <c r="W131" s="1436"/>
      <c r="X131" s="1436"/>
      <c r="Y131" s="1436"/>
      <c r="Z131" s="1436"/>
      <c r="AA131" s="1436"/>
      <c r="AB131" s="1436"/>
      <c r="AC131" s="1436"/>
      <c r="AD131" s="1436"/>
      <c r="AE131" s="1436"/>
      <c r="AF131" s="1436"/>
    </row>
    <row r="132" spans="1:32">
      <c r="A132" s="1436"/>
      <c r="B132" s="1436"/>
      <c r="C132" s="1436"/>
      <c r="D132" s="1436"/>
      <c r="E132" s="1436"/>
      <c r="F132" s="1436"/>
      <c r="G132" s="1436"/>
      <c r="H132" s="1436"/>
      <c r="I132" s="1436"/>
      <c r="J132" s="1436"/>
      <c r="K132" s="1436"/>
      <c r="L132" s="1436"/>
      <c r="M132" s="1436"/>
      <c r="N132" s="1436"/>
      <c r="O132" s="1436"/>
      <c r="P132" s="1436"/>
      <c r="Q132" s="1436"/>
      <c r="R132" s="1436"/>
      <c r="S132" s="1436"/>
      <c r="T132" s="1436"/>
      <c r="U132" s="1436"/>
      <c r="V132" s="1436"/>
      <c r="W132" s="1436"/>
      <c r="X132" s="1436"/>
      <c r="Y132" s="1436"/>
      <c r="Z132" s="1436"/>
      <c r="AA132" s="1436"/>
      <c r="AB132" s="1436"/>
      <c r="AC132" s="1436"/>
      <c r="AD132" s="1436"/>
      <c r="AE132" s="1436"/>
      <c r="AF132" s="1436"/>
    </row>
    <row r="133" spans="1:32">
      <c r="A133" s="1436"/>
      <c r="B133" s="1436"/>
      <c r="C133" s="1436"/>
      <c r="D133" s="1436"/>
      <c r="E133" s="1436"/>
      <c r="F133" s="1436"/>
      <c r="G133" s="1436"/>
      <c r="H133" s="1436"/>
      <c r="I133" s="1436"/>
      <c r="J133" s="1436"/>
      <c r="K133" s="1436"/>
      <c r="L133" s="1436"/>
      <c r="M133" s="1436"/>
      <c r="N133" s="1436"/>
      <c r="O133" s="1436"/>
      <c r="P133" s="1436"/>
      <c r="Q133" s="1436"/>
      <c r="R133" s="1436"/>
      <c r="S133" s="1436"/>
      <c r="T133" s="1436"/>
      <c r="U133" s="1436"/>
      <c r="V133" s="1436"/>
      <c r="W133" s="1436"/>
      <c r="X133" s="1436"/>
      <c r="Y133" s="1436"/>
      <c r="Z133" s="1436"/>
      <c r="AA133" s="1436"/>
      <c r="AB133" s="1436"/>
      <c r="AC133" s="1436"/>
      <c r="AD133" s="1436"/>
      <c r="AE133" s="1436"/>
      <c r="AF133" s="1436"/>
    </row>
    <row r="134" spans="1:32">
      <c r="A134" s="1436"/>
      <c r="B134" s="1436"/>
      <c r="C134" s="1436"/>
      <c r="D134" s="1436"/>
      <c r="E134" s="1436"/>
      <c r="F134" s="1436"/>
      <c r="G134" s="1436"/>
      <c r="H134" s="1436"/>
      <c r="I134" s="1436"/>
      <c r="J134" s="1436"/>
      <c r="K134" s="1436"/>
      <c r="L134" s="1436"/>
      <c r="M134" s="1436"/>
      <c r="N134" s="1436"/>
      <c r="O134" s="1436"/>
      <c r="P134" s="1436"/>
      <c r="Q134" s="1436"/>
      <c r="R134" s="1436"/>
      <c r="S134" s="1436"/>
      <c r="T134" s="1436"/>
      <c r="U134" s="1436"/>
      <c r="V134" s="1436"/>
      <c r="W134" s="1436"/>
      <c r="X134" s="1436"/>
      <c r="Y134" s="1436"/>
      <c r="Z134" s="1436"/>
      <c r="AA134" s="1436"/>
      <c r="AB134" s="1436"/>
      <c r="AC134" s="1436"/>
      <c r="AD134" s="1436"/>
      <c r="AE134" s="1436"/>
      <c r="AF134" s="1436"/>
    </row>
    <row r="135" spans="1:32">
      <c r="A135" s="1436"/>
      <c r="B135" s="1436"/>
      <c r="C135" s="1436"/>
      <c r="D135" s="1436"/>
      <c r="E135" s="1436"/>
      <c r="F135" s="1436"/>
      <c r="G135" s="1436"/>
      <c r="H135" s="1436"/>
      <c r="I135" s="1436"/>
      <c r="J135" s="1436"/>
      <c r="K135" s="1436"/>
      <c r="L135" s="1436"/>
      <c r="M135" s="1436"/>
      <c r="N135" s="1436"/>
      <c r="O135" s="1436"/>
      <c r="P135" s="1436"/>
      <c r="Q135" s="1436"/>
      <c r="R135" s="1436"/>
      <c r="S135" s="1436"/>
      <c r="T135" s="1436"/>
      <c r="U135" s="1436"/>
      <c r="V135" s="1436"/>
      <c r="W135" s="1436"/>
      <c r="X135" s="1436"/>
      <c r="Y135" s="1436"/>
      <c r="Z135" s="1436"/>
      <c r="AA135" s="1436"/>
      <c r="AB135" s="1436"/>
      <c r="AC135" s="1436"/>
      <c r="AD135" s="1436"/>
      <c r="AE135" s="1436"/>
      <c r="AF135" s="1436"/>
    </row>
    <row r="136" spans="1:32">
      <c r="A136" s="1436"/>
      <c r="B136" s="1436"/>
      <c r="C136" s="1436"/>
      <c r="D136" s="1436"/>
      <c r="E136" s="1436"/>
      <c r="F136" s="1436"/>
      <c r="G136" s="1436"/>
      <c r="H136" s="1436"/>
      <c r="I136" s="1436"/>
      <c r="J136" s="1436"/>
      <c r="K136" s="1436"/>
      <c r="L136" s="1436"/>
      <c r="M136" s="1436"/>
      <c r="N136" s="1436"/>
      <c r="O136" s="1436"/>
      <c r="P136" s="1436"/>
      <c r="Q136" s="1436"/>
      <c r="R136" s="1436"/>
      <c r="S136" s="1436"/>
      <c r="T136" s="1436"/>
      <c r="U136" s="1436"/>
      <c r="V136" s="1436"/>
      <c r="W136" s="1436"/>
      <c r="X136" s="1436"/>
      <c r="Y136" s="1436"/>
      <c r="Z136" s="1436"/>
      <c r="AA136" s="1436"/>
      <c r="AB136" s="1436"/>
      <c r="AC136" s="1436"/>
      <c r="AD136" s="1436"/>
      <c r="AE136" s="1436"/>
      <c r="AF136" s="1436"/>
    </row>
    <row r="137" spans="1:32">
      <c r="A137" s="1436"/>
      <c r="B137" s="1436"/>
      <c r="C137" s="1436"/>
      <c r="D137" s="1436"/>
      <c r="E137" s="1436"/>
      <c r="F137" s="1436"/>
      <c r="G137" s="1436"/>
      <c r="H137" s="1436"/>
      <c r="I137" s="1436"/>
      <c r="J137" s="1436"/>
      <c r="K137" s="1436"/>
      <c r="L137" s="1436"/>
      <c r="M137" s="1436"/>
      <c r="N137" s="1436"/>
      <c r="O137" s="1436"/>
      <c r="P137" s="1436"/>
      <c r="Q137" s="1436"/>
      <c r="R137" s="1436"/>
      <c r="S137" s="1436"/>
      <c r="T137" s="1436"/>
      <c r="U137" s="1436"/>
      <c r="V137" s="1436"/>
      <c r="W137" s="1436"/>
      <c r="X137" s="1436"/>
      <c r="Y137" s="1436"/>
      <c r="Z137" s="1436"/>
      <c r="AA137" s="1436"/>
      <c r="AB137" s="1436"/>
      <c r="AC137" s="1436"/>
      <c r="AD137" s="1436"/>
      <c r="AE137" s="1436"/>
      <c r="AF137" s="1436"/>
    </row>
    <row r="138" spans="1:32">
      <c r="A138" s="1436"/>
      <c r="B138" s="1436"/>
      <c r="C138" s="1436"/>
      <c r="D138" s="1436"/>
      <c r="E138" s="1436"/>
      <c r="F138" s="1436"/>
      <c r="G138" s="1436"/>
      <c r="H138" s="1436"/>
      <c r="I138" s="1436"/>
      <c r="J138" s="1436"/>
      <c r="K138" s="1436"/>
      <c r="L138" s="1436"/>
      <c r="M138" s="1436"/>
      <c r="N138" s="1436"/>
      <c r="O138" s="1436"/>
      <c r="P138" s="1436"/>
      <c r="Q138" s="1436"/>
      <c r="R138" s="1436"/>
      <c r="S138" s="1436"/>
      <c r="T138" s="1436"/>
      <c r="U138" s="1436"/>
      <c r="V138" s="1436"/>
      <c r="W138" s="1436"/>
      <c r="X138" s="1436"/>
      <c r="Y138" s="1436"/>
      <c r="Z138" s="1436"/>
      <c r="AA138" s="1436"/>
      <c r="AB138" s="1436"/>
      <c r="AC138" s="1436"/>
      <c r="AD138" s="1436"/>
      <c r="AE138" s="1436"/>
      <c r="AF138" s="1436"/>
    </row>
    <row r="139" spans="1:32">
      <c r="A139" s="1436"/>
      <c r="B139" s="1436"/>
      <c r="C139" s="1436"/>
      <c r="D139" s="1436"/>
      <c r="E139" s="1436"/>
      <c r="F139" s="1436"/>
      <c r="G139" s="1436"/>
      <c r="H139" s="1436"/>
      <c r="I139" s="1436"/>
      <c r="J139" s="1436"/>
      <c r="K139" s="1436"/>
      <c r="L139" s="1436"/>
      <c r="M139" s="1436"/>
      <c r="N139" s="1436"/>
      <c r="O139" s="1436"/>
      <c r="P139" s="1436"/>
      <c r="Q139" s="1436"/>
      <c r="R139" s="1436"/>
      <c r="S139" s="1436"/>
      <c r="T139" s="1436"/>
      <c r="U139" s="1436"/>
      <c r="V139" s="1436"/>
      <c r="W139" s="1436"/>
      <c r="X139" s="1436"/>
      <c r="Y139" s="1436"/>
      <c r="Z139" s="1436"/>
      <c r="AA139" s="1436"/>
      <c r="AB139" s="1436"/>
      <c r="AC139" s="1436"/>
      <c r="AD139" s="1436"/>
      <c r="AE139" s="1436"/>
      <c r="AF139" s="1436"/>
    </row>
    <row r="140" spans="1:32">
      <c r="A140" s="1436"/>
      <c r="B140" s="1436"/>
      <c r="C140" s="1436"/>
      <c r="D140" s="1436"/>
      <c r="E140" s="1436"/>
      <c r="F140" s="1436"/>
      <c r="G140" s="1436"/>
      <c r="H140" s="1436"/>
      <c r="I140" s="1436"/>
      <c r="J140" s="1436"/>
      <c r="K140" s="1436"/>
      <c r="L140" s="1436"/>
      <c r="M140" s="1436"/>
      <c r="N140" s="1436"/>
      <c r="O140" s="1436"/>
      <c r="P140" s="1436"/>
      <c r="Q140" s="1436"/>
      <c r="R140" s="1436"/>
      <c r="S140" s="1436"/>
      <c r="T140" s="1436"/>
      <c r="U140" s="1436"/>
      <c r="V140" s="1436"/>
      <c r="W140" s="1436"/>
      <c r="X140" s="1436"/>
      <c r="Y140" s="1436"/>
      <c r="Z140" s="1436"/>
      <c r="AA140" s="1436"/>
      <c r="AB140" s="1436"/>
      <c r="AC140" s="1436"/>
      <c r="AD140" s="1436"/>
      <c r="AE140" s="1436"/>
      <c r="AF140" s="1436"/>
    </row>
    <row r="141" spans="1:32">
      <c r="A141" s="1436"/>
      <c r="B141" s="1436"/>
      <c r="C141" s="1436"/>
      <c r="D141" s="1436"/>
      <c r="E141" s="1436"/>
      <c r="F141" s="1436"/>
      <c r="G141" s="1436"/>
      <c r="H141" s="1436"/>
      <c r="I141" s="1436"/>
      <c r="J141" s="1436"/>
      <c r="K141" s="1436"/>
      <c r="L141" s="1436"/>
      <c r="M141" s="1436"/>
      <c r="N141" s="1436"/>
      <c r="O141" s="1436"/>
      <c r="P141" s="1436"/>
      <c r="Q141" s="1436"/>
      <c r="R141" s="1436"/>
      <c r="S141" s="1436"/>
      <c r="T141" s="1436"/>
      <c r="U141" s="1436"/>
      <c r="V141" s="1436"/>
      <c r="W141" s="1436"/>
      <c r="X141" s="1436"/>
      <c r="Y141" s="1436"/>
      <c r="Z141" s="1436"/>
      <c r="AA141" s="1436"/>
      <c r="AB141" s="1436"/>
      <c r="AC141" s="1436"/>
      <c r="AD141" s="1436"/>
      <c r="AE141" s="1436"/>
      <c r="AF141" s="1436"/>
    </row>
    <row r="142" spans="1:32">
      <c r="A142" s="1436"/>
      <c r="B142" s="1436"/>
      <c r="C142" s="1436"/>
      <c r="D142" s="1436"/>
      <c r="E142" s="1436"/>
      <c r="F142" s="1436"/>
      <c r="G142" s="1436"/>
      <c r="H142" s="1436"/>
      <c r="I142" s="1436"/>
      <c r="J142" s="1436"/>
      <c r="K142" s="1436"/>
      <c r="L142" s="1436"/>
      <c r="M142" s="1436"/>
      <c r="N142" s="1436"/>
      <c r="O142" s="1436"/>
      <c r="P142" s="1436"/>
      <c r="Q142" s="1436"/>
      <c r="R142" s="1436"/>
      <c r="S142" s="1436"/>
      <c r="T142" s="1436"/>
      <c r="U142" s="1436"/>
      <c r="V142" s="1436"/>
      <c r="W142" s="1436"/>
      <c r="X142" s="1436"/>
      <c r="Y142" s="1436"/>
      <c r="Z142" s="1436"/>
      <c r="AA142" s="1436"/>
      <c r="AB142" s="1436"/>
      <c r="AC142" s="1436"/>
      <c r="AD142" s="1436"/>
      <c r="AE142" s="1436"/>
      <c r="AF142" s="1436"/>
    </row>
    <row r="143" spans="1:32">
      <c r="A143" s="1436"/>
      <c r="B143" s="1436"/>
      <c r="C143" s="1436"/>
      <c r="D143" s="1436"/>
      <c r="E143" s="1436"/>
      <c r="F143" s="1436"/>
      <c r="G143" s="1436"/>
      <c r="H143" s="1436"/>
      <c r="I143" s="1436"/>
      <c r="J143" s="1436"/>
      <c r="K143" s="1436"/>
      <c r="L143" s="1436"/>
      <c r="M143" s="1436"/>
      <c r="N143" s="1436"/>
      <c r="O143" s="1436"/>
      <c r="P143" s="1436"/>
      <c r="Q143" s="1436"/>
      <c r="R143" s="1436"/>
      <c r="S143" s="1436"/>
      <c r="T143" s="1436"/>
      <c r="U143" s="1436"/>
      <c r="V143" s="1436"/>
      <c r="W143" s="1436"/>
      <c r="X143" s="1436"/>
      <c r="Y143" s="1436"/>
      <c r="Z143" s="1436"/>
      <c r="AA143" s="1436"/>
      <c r="AB143" s="1436"/>
      <c r="AC143" s="1436"/>
      <c r="AD143" s="1436"/>
      <c r="AE143" s="1436"/>
      <c r="AF143" s="1436"/>
    </row>
    <row r="144" spans="1:32">
      <c r="A144" s="1436"/>
      <c r="B144" s="1436"/>
      <c r="C144" s="1436"/>
      <c r="D144" s="1436"/>
      <c r="E144" s="1436"/>
      <c r="F144" s="1436"/>
      <c r="G144" s="1436"/>
      <c r="H144" s="1436"/>
      <c r="I144" s="1436"/>
      <c r="J144" s="1436"/>
      <c r="K144" s="1436"/>
      <c r="L144" s="1436"/>
      <c r="M144" s="1436"/>
      <c r="N144" s="1436"/>
      <c r="O144" s="1436"/>
      <c r="P144" s="1436"/>
      <c r="Q144" s="1436"/>
      <c r="R144" s="1436"/>
      <c r="S144" s="1436"/>
      <c r="T144" s="1436"/>
      <c r="U144" s="1436"/>
      <c r="V144" s="1436"/>
      <c r="W144" s="1436"/>
      <c r="X144" s="1436"/>
      <c r="Y144" s="1436"/>
      <c r="Z144" s="1436"/>
      <c r="AA144" s="1436"/>
      <c r="AB144" s="1436"/>
      <c r="AC144" s="1436"/>
      <c r="AD144" s="1436"/>
      <c r="AE144" s="1436"/>
      <c r="AF144" s="1436"/>
    </row>
    <row r="145" spans="1:32">
      <c r="A145" s="1436"/>
      <c r="B145" s="1436"/>
      <c r="C145" s="1436"/>
      <c r="D145" s="1436"/>
      <c r="E145" s="1436"/>
      <c r="F145" s="1436"/>
      <c r="G145" s="1436"/>
      <c r="H145" s="1436"/>
      <c r="I145" s="1436"/>
      <c r="J145" s="1436"/>
      <c r="K145" s="1436"/>
      <c r="L145" s="1436"/>
      <c r="M145" s="1436"/>
      <c r="N145" s="1436"/>
      <c r="O145" s="1436"/>
      <c r="P145" s="1436"/>
      <c r="Q145" s="1436"/>
      <c r="R145" s="1436"/>
      <c r="S145" s="1436"/>
      <c r="T145" s="1436"/>
      <c r="U145" s="1436"/>
      <c r="V145" s="1436"/>
      <c r="W145" s="1436"/>
      <c r="X145" s="1436"/>
      <c r="Y145" s="1436"/>
      <c r="Z145" s="1436"/>
      <c r="AA145" s="1436"/>
      <c r="AB145" s="1436"/>
      <c r="AC145" s="1436"/>
      <c r="AD145" s="1436"/>
      <c r="AE145" s="1436"/>
      <c r="AF145" s="1436"/>
    </row>
    <row r="146" spans="1:32">
      <c r="A146" s="1436"/>
      <c r="B146" s="1436"/>
      <c r="C146" s="1436"/>
      <c r="D146" s="1436"/>
      <c r="E146" s="1436"/>
      <c r="F146" s="1436"/>
      <c r="G146" s="1436"/>
      <c r="H146" s="1436"/>
      <c r="I146" s="1436"/>
      <c r="J146" s="1436"/>
      <c r="K146" s="1436"/>
      <c r="L146" s="1436"/>
      <c r="M146" s="1436"/>
      <c r="N146" s="1436"/>
      <c r="O146" s="1436"/>
      <c r="P146" s="1436"/>
      <c r="Q146" s="1436"/>
      <c r="R146" s="1436"/>
      <c r="S146" s="1436"/>
      <c r="T146" s="1436"/>
      <c r="U146" s="1436"/>
      <c r="V146" s="1436"/>
      <c r="W146" s="1436"/>
      <c r="X146" s="1436"/>
      <c r="Y146" s="1436"/>
      <c r="Z146" s="1436"/>
      <c r="AA146" s="1436"/>
      <c r="AB146" s="1436"/>
      <c r="AC146" s="1436"/>
      <c r="AD146" s="1436"/>
      <c r="AE146" s="1436"/>
      <c r="AF146" s="1436"/>
    </row>
    <row r="147" spans="1:32">
      <c r="A147" s="1436"/>
      <c r="B147" s="1436"/>
      <c r="C147" s="1436"/>
      <c r="D147" s="1436"/>
      <c r="E147" s="1436"/>
      <c r="F147" s="1436"/>
      <c r="G147" s="1436"/>
      <c r="H147" s="1436"/>
      <c r="I147" s="1436"/>
      <c r="J147" s="1436"/>
      <c r="K147" s="1436"/>
      <c r="L147" s="1436"/>
      <c r="M147" s="1436"/>
      <c r="N147" s="1436"/>
      <c r="O147" s="1436"/>
      <c r="P147" s="1436"/>
      <c r="Q147" s="1436"/>
      <c r="R147" s="1436"/>
      <c r="S147" s="1436"/>
      <c r="T147" s="1436"/>
      <c r="U147" s="1436"/>
      <c r="V147" s="1436"/>
      <c r="W147" s="1436"/>
      <c r="X147" s="1436"/>
      <c r="Y147" s="1436"/>
      <c r="Z147" s="1436"/>
      <c r="AA147" s="1436"/>
      <c r="AB147" s="1436"/>
      <c r="AC147" s="1436"/>
      <c r="AD147" s="1436"/>
      <c r="AE147" s="1436"/>
      <c r="AF147" s="1436"/>
    </row>
    <row r="148" spans="1:32">
      <c r="A148" s="1436"/>
      <c r="B148" s="1436"/>
      <c r="C148" s="1436"/>
      <c r="D148" s="1436"/>
      <c r="E148" s="1436"/>
      <c r="F148" s="1436"/>
      <c r="G148" s="1436"/>
      <c r="H148" s="1436"/>
      <c r="I148" s="1436"/>
      <c r="J148" s="1436"/>
      <c r="K148" s="1436"/>
      <c r="L148" s="1436"/>
      <c r="M148" s="1436"/>
      <c r="N148" s="1436"/>
      <c r="O148" s="1436"/>
      <c r="P148" s="1436"/>
      <c r="Q148" s="1436"/>
      <c r="R148" s="1436"/>
      <c r="S148" s="1436"/>
      <c r="T148" s="1436"/>
      <c r="U148" s="1436"/>
      <c r="V148" s="1436"/>
      <c r="W148" s="1436"/>
      <c r="X148" s="1436"/>
      <c r="Y148" s="1436"/>
      <c r="Z148" s="1436"/>
      <c r="AA148" s="1436"/>
      <c r="AB148" s="1436"/>
      <c r="AC148" s="1436"/>
      <c r="AD148" s="1436"/>
      <c r="AE148" s="1436"/>
      <c r="AF148" s="1436"/>
    </row>
    <row r="149" spans="1:32">
      <c r="A149" s="1436"/>
      <c r="B149" s="1436"/>
      <c r="C149" s="1436"/>
      <c r="D149" s="1436"/>
      <c r="E149" s="1436"/>
      <c r="F149" s="1436"/>
      <c r="G149" s="1436"/>
      <c r="H149" s="1436"/>
      <c r="I149" s="1436"/>
      <c r="J149" s="1436"/>
      <c r="K149" s="1436"/>
      <c r="L149" s="1436"/>
      <c r="M149" s="1436"/>
      <c r="N149" s="1436"/>
      <c r="O149" s="1436"/>
      <c r="P149" s="1436"/>
      <c r="Q149" s="1436"/>
      <c r="R149" s="1436"/>
      <c r="S149" s="1436"/>
      <c r="T149" s="1436"/>
      <c r="U149" s="1436"/>
      <c r="V149" s="1436"/>
      <c r="W149" s="1436"/>
      <c r="X149" s="1436"/>
      <c r="Y149" s="1436"/>
      <c r="Z149" s="1436"/>
      <c r="AA149" s="1436"/>
      <c r="AB149" s="1436"/>
      <c r="AC149" s="1436"/>
      <c r="AD149" s="1436"/>
      <c r="AE149" s="1436"/>
      <c r="AF149" s="1436"/>
    </row>
    <row r="150" spans="1:32">
      <c r="A150" s="1436"/>
      <c r="B150" s="1436"/>
      <c r="C150" s="1436"/>
      <c r="D150" s="1436"/>
      <c r="E150" s="1436"/>
      <c r="F150" s="1436"/>
      <c r="G150" s="1436"/>
      <c r="H150" s="1436"/>
      <c r="I150" s="1436"/>
      <c r="J150" s="1436"/>
      <c r="K150" s="1436"/>
      <c r="L150" s="1436"/>
      <c r="M150" s="1436"/>
      <c r="N150" s="1436"/>
      <c r="O150" s="1436"/>
      <c r="P150" s="1436"/>
      <c r="Q150" s="1436"/>
      <c r="R150" s="1436"/>
      <c r="S150" s="1436"/>
      <c r="T150" s="1436"/>
      <c r="U150" s="1436"/>
      <c r="V150" s="1436"/>
      <c r="W150" s="1436"/>
      <c r="X150" s="1436"/>
      <c r="Y150" s="1436"/>
      <c r="Z150" s="1436"/>
      <c r="AA150" s="1436"/>
      <c r="AB150" s="1436"/>
      <c r="AC150" s="1436"/>
      <c r="AD150" s="1436"/>
      <c r="AE150" s="1436"/>
      <c r="AF150" s="1436"/>
    </row>
    <row r="151" spans="1:32">
      <c r="A151" s="1436"/>
      <c r="B151" s="1436"/>
      <c r="C151" s="1436"/>
      <c r="D151" s="1436"/>
      <c r="E151" s="1436"/>
      <c r="F151" s="1436"/>
      <c r="G151" s="1436"/>
      <c r="H151" s="1436"/>
      <c r="I151" s="1436"/>
      <c r="J151" s="1436"/>
      <c r="K151" s="1436"/>
      <c r="L151" s="1436"/>
      <c r="M151" s="1436"/>
      <c r="N151" s="1436"/>
      <c r="O151" s="1436"/>
      <c r="P151" s="1436"/>
      <c r="Q151" s="1436"/>
      <c r="R151" s="1436"/>
      <c r="S151" s="1436"/>
      <c r="T151" s="1436"/>
      <c r="U151" s="1436"/>
      <c r="V151" s="1436"/>
      <c r="W151" s="1436"/>
      <c r="X151" s="1436"/>
      <c r="Y151" s="1436"/>
      <c r="Z151" s="1436"/>
      <c r="AA151" s="1436"/>
      <c r="AB151" s="1436"/>
      <c r="AC151" s="1436"/>
      <c r="AD151" s="1436"/>
      <c r="AE151" s="1436"/>
      <c r="AF151" s="1436"/>
    </row>
    <row r="152" spans="1:32">
      <c r="A152" s="1436"/>
      <c r="B152" s="1436"/>
      <c r="C152" s="1436"/>
      <c r="D152" s="1436"/>
      <c r="E152" s="1436"/>
      <c r="F152" s="1436"/>
      <c r="G152" s="1436"/>
      <c r="H152" s="1436"/>
      <c r="I152" s="1436"/>
      <c r="J152" s="1436"/>
      <c r="K152" s="1436"/>
      <c r="L152" s="1436"/>
      <c r="M152" s="1436"/>
      <c r="N152" s="1436"/>
      <c r="O152" s="1436"/>
      <c r="P152" s="1436"/>
      <c r="Q152" s="1436"/>
      <c r="R152" s="1436"/>
      <c r="S152" s="1436"/>
      <c r="T152" s="1436"/>
      <c r="U152" s="1436"/>
      <c r="V152" s="1436"/>
      <c r="W152" s="1436"/>
      <c r="X152" s="1436"/>
      <c r="Y152" s="1436"/>
      <c r="Z152" s="1436"/>
      <c r="AA152" s="1436"/>
      <c r="AB152" s="1436"/>
      <c r="AC152" s="1436"/>
      <c r="AD152" s="1436"/>
      <c r="AE152" s="1436"/>
      <c r="AF152" s="1436"/>
    </row>
    <row r="153" spans="1:32">
      <c r="A153" s="1436"/>
      <c r="B153" s="1436"/>
      <c r="C153" s="1436"/>
      <c r="D153" s="1436"/>
      <c r="E153" s="1436"/>
      <c r="F153" s="1436"/>
      <c r="G153" s="1436"/>
      <c r="H153" s="1436"/>
      <c r="I153" s="1436"/>
      <c r="J153" s="1436"/>
      <c r="K153" s="1436"/>
      <c r="L153" s="1436"/>
      <c r="M153" s="1436"/>
      <c r="N153" s="1436"/>
      <c r="O153" s="1436"/>
      <c r="P153" s="1436"/>
      <c r="Q153" s="1436"/>
      <c r="R153" s="1436"/>
      <c r="S153" s="1436"/>
      <c r="T153" s="1436"/>
      <c r="U153" s="1436"/>
      <c r="V153" s="1436"/>
      <c r="W153" s="1436"/>
      <c r="X153" s="1436"/>
      <c r="Y153" s="1436"/>
      <c r="Z153" s="1436"/>
      <c r="AA153" s="1436"/>
      <c r="AB153" s="1436"/>
      <c r="AC153" s="1436"/>
      <c r="AD153" s="1436"/>
      <c r="AE153" s="1436"/>
      <c r="AF153" s="1436"/>
    </row>
    <row r="154" spans="1:32">
      <c r="A154" s="1436"/>
      <c r="B154" s="1436"/>
      <c r="C154" s="1436"/>
      <c r="D154" s="1436"/>
      <c r="E154" s="1436"/>
      <c r="F154" s="1436"/>
      <c r="G154" s="1436"/>
      <c r="H154" s="1436"/>
      <c r="I154" s="1436"/>
      <c r="J154" s="1436"/>
      <c r="K154" s="1436"/>
      <c r="L154" s="1436"/>
      <c r="M154" s="1436"/>
      <c r="N154" s="1436"/>
      <c r="O154" s="1436"/>
      <c r="P154" s="1436"/>
      <c r="Q154" s="1436"/>
      <c r="R154" s="1436"/>
      <c r="S154" s="1436"/>
      <c r="T154" s="1436"/>
      <c r="U154" s="1436"/>
      <c r="V154" s="1436"/>
      <c r="W154" s="1436"/>
      <c r="X154" s="1436"/>
      <c r="Y154" s="1436"/>
      <c r="Z154" s="1436"/>
      <c r="AA154" s="1436"/>
      <c r="AB154" s="1436"/>
      <c r="AC154" s="1436"/>
      <c r="AD154" s="1436"/>
      <c r="AE154" s="1436"/>
      <c r="AF154" s="1436"/>
    </row>
    <row r="155" spans="1:32">
      <c r="A155" s="1436"/>
      <c r="B155" s="1436"/>
      <c r="C155" s="1436"/>
      <c r="D155" s="1436"/>
      <c r="E155" s="1436"/>
      <c r="F155" s="1436"/>
      <c r="G155" s="1436"/>
      <c r="H155" s="1436"/>
      <c r="I155" s="1436"/>
      <c r="J155" s="1436"/>
      <c r="K155" s="1436"/>
      <c r="L155" s="1436"/>
      <c r="M155" s="1436"/>
      <c r="N155" s="1436"/>
      <c r="O155" s="1436"/>
      <c r="P155" s="1436"/>
      <c r="Q155" s="1436"/>
      <c r="R155" s="1436"/>
      <c r="S155" s="1436"/>
      <c r="T155" s="1436"/>
      <c r="U155" s="1436"/>
      <c r="V155" s="1436"/>
      <c r="W155" s="1436"/>
      <c r="X155" s="1436"/>
      <c r="Y155" s="1436"/>
      <c r="Z155" s="1436"/>
      <c r="AA155" s="1436"/>
      <c r="AB155" s="1436"/>
      <c r="AC155" s="1436"/>
      <c r="AD155" s="1436"/>
      <c r="AE155" s="1436"/>
      <c r="AF155" s="1436"/>
    </row>
    <row r="156" spans="1:32">
      <c r="A156" s="1436"/>
      <c r="B156" s="1436"/>
      <c r="C156" s="1436"/>
      <c r="D156" s="1436"/>
      <c r="E156" s="1436"/>
      <c r="F156" s="1436"/>
      <c r="G156" s="1436"/>
      <c r="H156" s="1436"/>
      <c r="I156" s="1436"/>
      <c r="J156" s="1436"/>
      <c r="K156" s="1436"/>
      <c r="L156" s="1436"/>
      <c r="M156" s="1436"/>
      <c r="N156" s="1436"/>
      <c r="O156" s="1436"/>
      <c r="P156" s="1436"/>
      <c r="Q156" s="1436"/>
      <c r="R156" s="1436"/>
      <c r="S156" s="1436"/>
      <c r="T156" s="1436"/>
      <c r="U156" s="1436"/>
      <c r="V156" s="1436"/>
      <c r="W156" s="1436"/>
      <c r="X156" s="1436"/>
      <c r="Y156" s="1436"/>
      <c r="Z156" s="1436"/>
      <c r="AA156" s="1436"/>
      <c r="AB156" s="1436"/>
      <c r="AC156" s="1436"/>
      <c r="AD156" s="1436"/>
      <c r="AE156" s="1436"/>
      <c r="AF156" s="1436"/>
    </row>
    <row r="157" spans="1:32">
      <c r="A157" s="1436"/>
      <c r="B157" s="1436"/>
      <c r="C157" s="1436"/>
      <c r="D157" s="1436"/>
      <c r="E157" s="1436"/>
      <c r="F157" s="1436"/>
      <c r="G157" s="1436"/>
      <c r="H157" s="1436"/>
      <c r="I157" s="1436"/>
      <c r="J157" s="1436"/>
      <c r="K157" s="1436"/>
      <c r="L157" s="1436"/>
      <c r="M157" s="1436"/>
      <c r="N157" s="1436"/>
      <c r="O157" s="1436"/>
      <c r="P157" s="1436"/>
      <c r="Q157" s="1436"/>
      <c r="R157" s="1436"/>
      <c r="S157" s="1436"/>
      <c r="T157" s="1436"/>
      <c r="U157" s="1436"/>
      <c r="V157" s="1436"/>
      <c r="W157" s="1436"/>
      <c r="X157" s="1436"/>
      <c r="Y157" s="1436"/>
      <c r="Z157" s="1436"/>
      <c r="AA157" s="1436"/>
      <c r="AB157" s="1436"/>
      <c r="AC157" s="1436"/>
      <c r="AD157" s="1436"/>
      <c r="AE157" s="1436"/>
      <c r="AF157" s="1436"/>
    </row>
    <row r="158" spans="1:32">
      <c r="A158" s="1436"/>
      <c r="B158" s="1436"/>
      <c r="C158" s="1436"/>
      <c r="D158" s="1436"/>
      <c r="E158" s="1436"/>
      <c r="F158" s="1436"/>
      <c r="G158" s="1436"/>
      <c r="H158" s="1436"/>
      <c r="I158" s="1436"/>
      <c r="J158" s="1436"/>
      <c r="K158" s="1436"/>
      <c r="L158" s="1436"/>
      <c r="M158" s="1436"/>
      <c r="N158" s="1436"/>
      <c r="O158" s="1436"/>
      <c r="P158" s="1436"/>
      <c r="Q158" s="1436"/>
      <c r="R158" s="1436"/>
      <c r="S158" s="1436"/>
      <c r="T158" s="1436"/>
      <c r="U158" s="1436"/>
      <c r="V158" s="1436"/>
      <c r="W158" s="1436"/>
      <c r="X158" s="1436"/>
      <c r="Y158" s="1436"/>
      <c r="Z158" s="1436"/>
      <c r="AA158" s="1436"/>
      <c r="AB158" s="1436"/>
      <c r="AC158" s="1436"/>
      <c r="AD158" s="1436"/>
      <c r="AE158" s="1436"/>
      <c r="AF158" s="1436"/>
    </row>
    <row r="159" spans="1:32">
      <c r="A159" s="1436"/>
      <c r="B159" s="1436"/>
      <c r="C159" s="1436"/>
      <c r="D159" s="1436"/>
      <c r="E159" s="1436"/>
      <c r="F159" s="1436"/>
      <c r="G159" s="1436"/>
      <c r="H159" s="1436"/>
      <c r="I159" s="1436"/>
      <c r="J159" s="1436"/>
      <c r="K159" s="1436"/>
      <c r="L159" s="1436"/>
      <c r="M159" s="1436"/>
      <c r="N159" s="1436"/>
      <c r="O159" s="1436"/>
      <c r="P159" s="1436"/>
      <c r="Q159" s="1436"/>
      <c r="R159" s="1436"/>
      <c r="S159" s="1436"/>
      <c r="T159" s="1436"/>
      <c r="U159" s="1436"/>
      <c r="V159" s="1436"/>
      <c r="W159" s="1436"/>
      <c r="X159" s="1436"/>
      <c r="Y159" s="1436"/>
      <c r="Z159" s="1436"/>
      <c r="AA159" s="1436"/>
      <c r="AB159" s="1436"/>
      <c r="AC159" s="1436"/>
      <c r="AD159" s="1436"/>
      <c r="AE159" s="1436"/>
      <c r="AF159" s="1436"/>
    </row>
    <row r="160" spans="1:32">
      <c r="A160" s="1436"/>
      <c r="B160" s="1436"/>
      <c r="C160" s="1436"/>
      <c r="D160" s="1436"/>
      <c r="E160" s="1436"/>
      <c r="F160" s="1436"/>
      <c r="G160" s="1436"/>
      <c r="H160" s="1436"/>
      <c r="I160" s="1436"/>
      <c r="J160" s="1436"/>
      <c r="K160" s="1436"/>
      <c r="L160" s="1436"/>
      <c r="M160" s="1436"/>
      <c r="N160" s="1436"/>
      <c r="O160" s="1436"/>
      <c r="P160" s="1436"/>
      <c r="Q160" s="1436"/>
      <c r="R160" s="1436"/>
      <c r="S160" s="1436"/>
      <c r="T160" s="1436"/>
      <c r="U160" s="1436"/>
      <c r="V160" s="1436"/>
      <c r="W160" s="1436"/>
      <c r="X160" s="1436"/>
      <c r="Y160" s="1436"/>
      <c r="Z160" s="1436"/>
      <c r="AA160" s="1436"/>
      <c r="AB160" s="1436"/>
      <c r="AC160" s="1436"/>
      <c r="AD160" s="1436"/>
      <c r="AE160" s="1436"/>
      <c r="AF160" s="1436"/>
    </row>
    <row r="161" spans="1:32">
      <c r="A161" s="1436"/>
      <c r="B161" s="1436"/>
      <c r="C161" s="1436"/>
      <c r="D161" s="1436"/>
      <c r="E161" s="1436"/>
      <c r="F161" s="1436"/>
      <c r="G161" s="1436"/>
      <c r="H161" s="1436"/>
      <c r="I161" s="1436"/>
      <c r="J161" s="1436"/>
      <c r="K161" s="1436"/>
      <c r="L161" s="1436"/>
      <c r="M161" s="1436"/>
      <c r="N161" s="1436"/>
      <c r="O161" s="1436"/>
      <c r="P161" s="1436"/>
      <c r="Q161" s="1436"/>
      <c r="R161" s="1436"/>
      <c r="S161" s="1436"/>
      <c r="T161" s="1436"/>
      <c r="U161" s="1436"/>
      <c r="V161" s="1436"/>
      <c r="W161" s="1436"/>
      <c r="X161" s="1436"/>
      <c r="Y161" s="1436"/>
      <c r="Z161" s="1436"/>
      <c r="AA161" s="1436"/>
      <c r="AB161" s="1436"/>
      <c r="AC161" s="1436"/>
      <c r="AD161" s="1436"/>
      <c r="AE161" s="1436"/>
      <c r="AF161" s="1436"/>
    </row>
    <row r="162" spans="1:32">
      <c r="A162" s="1436"/>
      <c r="B162" s="1436"/>
      <c r="C162" s="1436"/>
      <c r="D162" s="1436"/>
      <c r="E162" s="1436"/>
      <c r="F162" s="1436"/>
      <c r="G162" s="1436"/>
      <c r="H162" s="1436"/>
      <c r="I162" s="1436"/>
      <c r="J162" s="1436"/>
      <c r="K162" s="1436"/>
      <c r="L162" s="1436"/>
      <c r="M162" s="1436"/>
      <c r="N162" s="1436"/>
      <c r="O162" s="1436"/>
      <c r="P162" s="1436"/>
      <c r="Q162" s="1436"/>
      <c r="R162" s="1436"/>
      <c r="S162" s="1436"/>
      <c r="T162" s="1436"/>
      <c r="U162" s="1436"/>
      <c r="V162" s="1436"/>
      <c r="W162" s="1436"/>
      <c r="X162" s="1436"/>
      <c r="Y162" s="1436"/>
      <c r="Z162" s="1436"/>
      <c r="AA162" s="1436"/>
      <c r="AB162" s="1436"/>
      <c r="AC162" s="1436"/>
      <c r="AD162" s="1436"/>
      <c r="AE162" s="1436"/>
      <c r="AF162" s="1436"/>
    </row>
    <row r="163" spans="1:32">
      <c r="A163" s="1436"/>
      <c r="B163" s="1436"/>
      <c r="C163" s="1436"/>
      <c r="D163" s="1436"/>
      <c r="E163" s="1436"/>
      <c r="F163" s="1436"/>
      <c r="G163" s="1436"/>
      <c r="H163" s="1436"/>
      <c r="I163" s="1436"/>
      <c r="J163" s="1436"/>
      <c r="K163" s="1436"/>
      <c r="L163" s="1436"/>
      <c r="M163" s="1436"/>
      <c r="N163" s="1436"/>
      <c r="O163" s="1436"/>
      <c r="P163" s="1436"/>
      <c r="Q163" s="1436"/>
      <c r="R163" s="1436"/>
      <c r="S163" s="1436"/>
      <c r="T163" s="1436"/>
      <c r="U163" s="1436"/>
      <c r="V163" s="1436"/>
      <c r="W163" s="1436"/>
      <c r="X163" s="1436"/>
      <c r="Y163" s="1436"/>
      <c r="Z163" s="1436"/>
      <c r="AA163" s="1436"/>
      <c r="AB163" s="1436"/>
      <c r="AC163" s="1436"/>
      <c r="AD163" s="1436"/>
      <c r="AE163" s="1436"/>
      <c r="AF163" s="1436"/>
    </row>
    <row r="164" spans="1:32">
      <c r="A164" s="1436"/>
      <c r="B164" s="1436"/>
      <c r="C164" s="1436"/>
      <c r="D164" s="1436"/>
      <c r="E164" s="1436"/>
      <c r="F164" s="1436"/>
      <c r="G164" s="1436"/>
      <c r="H164" s="1436"/>
      <c r="I164" s="1436"/>
      <c r="J164" s="1436"/>
      <c r="K164" s="1436"/>
      <c r="L164" s="1436"/>
      <c r="M164" s="1436"/>
      <c r="N164" s="1436"/>
      <c r="O164" s="1436"/>
      <c r="P164" s="1436"/>
      <c r="Q164" s="1436"/>
      <c r="R164" s="1436"/>
      <c r="S164" s="1436"/>
      <c r="T164" s="1436"/>
      <c r="U164" s="1436"/>
      <c r="V164" s="1436"/>
      <c r="W164" s="1436"/>
      <c r="X164" s="1436"/>
      <c r="Y164" s="1436"/>
      <c r="Z164" s="1436"/>
      <c r="AA164" s="1436"/>
      <c r="AB164" s="1436"/>
      <c r="AC164" s="1436"/>
      <c r="AD164" s="1436"/>
      <c r="AE164" s="1436"/>
      <c r="AF164" s="1436"/>
    </row>
    <row r="165" spans="1:32">
      <c r="A165" s="1436"/>
      <c r="B165" s="1436"/>
      <c r="C165" s="1436"/>
      <c r="D165" s="1436"/>
      <c r="E165" s="1436"/>
      <c r="F165" s="1436"/>
      <c r="G165" s="1436"/>
      <c r="H165" s="1436"/>
      <c r="I165" s="1436"/>
      <c r="J165" s="1436"/>
      <c r="K165" s="1436"/>
      <c r="L165" s="1436"/>
      <c r="M165" s="1436"/>
      <c r="N165" s="1436"/>
      <c r="O165" s="1436"/>
      <c r="P165" s="1436"/>
      <c r="Q165" s="1436"/>
      <c r="R165" s="1436"/>
      <c r="S165" s="1436"/>
      <c r="T165" s="1436"/>
      <c r="U165" s="1436"/>
      <c r="V165" s="1436"/>
      <c r="W165" s="1436"/>
      <c r="X165" s="1436"/>
      <c r="Y165" s="1436"/>
      <c r="Z165" s="1436"/>
      <c r="AA165" s="1436"/>
      <c r="AB165" s="1436"/>
      <c r="AC165" s="1436"/>
      <c r="AD165" s="1436"/>
      <c r="AE165" s="1436"/>
      <c r="AF165" s="1436"/>
    </row>
    <row r="166" spans="1:32">
      <c r="A166" s="1436"/>
      <c r="B166" s="1436"/>
      <c r="C166" s="1436"/>
      <c r="D166" s="1436"/>
      <c r="E166" s="1436"/>
      <c r="F166" s="1436"/>
      <c r="G166" s="1436"/>
      <c r="H166" s="1436"/>
      <c r="I166" s="1436"/>
      <c r="J166" s="1436"/>
      <c r="K166" s="1436"/>
      <c r="L166" s="1436"/>
      <c r="M166" s="1436"/>
      <c r="N166" s="1436"/>
      <c r="O166" s="1436"/>
      <c r="P166" s="1436"/>
      <c r="Q166" s="1436"/>
      <c r="R166" s="1436"/>
      <c r="S166" s="1436"/>
      <c r="T166" s="1436"/>
      <c r="U166" s="1436"/>
      <c r="V166" s="1436"/>
      <c r="W166" s="1436"/>
      <c r="X166" s="1436"/>
      <c r="Y166" s="1436"/>
      <c r="Z166" s="1436"/>
      <c r="AA166" s="1436"/>
      <c r="AB166" s="1436"/>
      <c r="AC166" s="1436"/>
      <c r="AD166" s="1436"/>
      <c r="AE166" s="1436"/>
      <c r="AF166" s="1436"/>
    </row>
    <row r="167" spans="1:32">
      <c r="A167" s="1436"/>
      <c r="B167" s="1436"/>
      <c r="C167" s="1436"/>
      <c r="D167" s="1436"/>
      <c r="E167" s="1436"/>
      <c r="F167" s="1436"/>
      <c r="G167" s="1436"/>
      <c r="H167" s="1436"/>
      <c r="I167" s="1436"/>
      <c r="J167" s="1436"/>
      <c r="K167" s="1436"/>
      <c r="L167" s="1436"/>
      <c r="M167" s="1436"/>
      <c r="N167" s="1436"/>
      <c r="O167" s="1436"/>
      <c r="P167" s="1436"/>
      <c r="Q167" s="1436"/>
      <c r="R167" s="1436"/>
      <c r="S167" s="1436"/>
      <c r="T167" s="1436"/>
      <c r="U167" s="1436"/>
      <c r="V167" s="1436"/>
      <c r="W167" s="1436"/>
      <c r="X167" s="1436"/>
      <c r="Y167" s="1436"/>
      <c r="Z167" s="1436"/>
      <c r="AA167" s="1436"/>
      <c r="AB167" s="1436"/>
      <c r="AC167" s="1436"/>
      <c r="AD167" s="1436"/>
      <c r="AE167" s="1436"/>
      <c r="AF167" s="1436"/>
    </row>
    <row r="168" spans="1:32">
      <c r="A168" s="1436"/>
      <c r="B168" s="1436"/>
      <c r="C168" s="1436"/>
      <c r="D168" s="1436"/>
      <c r="E168" s="1436"/>
      <c r="F168" s="1436"/>
      <c r="G168" s="1436"/>
      <c r="H168" s="1436"/>
      <c r="I168" s="1436"/>
      <c r="J168" s="1436"/>
      <c r="K168" s="1436"/>
      <c r="L168" s="1436"/>
      <c r="M168" s="1436"/>
      <c r="N168" s="1436"/>
      <c r="O168" s="1436"/>
      <c r="P168" s="1436"/>
      <c r="Q168" s="1436"/>
      <c r="R168" s="1436"/>
      <c r="S168" s="1436"/>
      <c r="T168" s="1436"/>
      <c r="U168" s="1436"/>
      <c r="V168" s="1436"/>
      <c r="W168" s="1436"/>
      <c r="X168" s="1436"/>
      <c r="Y168" s="1436"/>
      <c r="Z168" s="1436"/>
      <c r="AA168" s="1436"/>
      <c r="AB168" s="1436"/>
      <c r="AC168" s="1436"/>
      <c r="AD168" s="1436"/>
      <c r="AE168" s="1436"/>
      <c r="AF168" s="1436"/>
    </row>
    <row r="169" spans="1:32">
      <c r="A169" s="1436"/>
      <c r="B169" s="1436"/>
      <c r="C169" s="1436"/>
      <c r="D169" s="1436"/>
      <c r="E169" s="1436"/>
      <c r="F169" s="1436"/>
      <c r="G169" s="1436"/>
      <c r="H169" s="1436"/>
      <c r="I169" s="1436"/>
      <c r="J169" s="1436"/>
      <c r="K169" s="1436"/>
      <c r="L169" s="1436"/>
      <c r="M169" s="1436"/>
      <c r="N169" s="1436"/>
      <c r="O169" s="1436"/>
      <c r="P169" s="1436"/>
      <c r="Q169" s="1436"/>
      <c r="R169" s="1436"/>
      <c r="S169" s="1436"/>
      <c r="T169" s="1436"/>
      <c r="U169" s="1436"/>
      <c r="V169" s="1436"/>
      <c r="W169" s="1436"/>
      <c r="X169" s="1436"/>
      <c r="Y169" s="1436"/>
      <c r="Z169" s="1436"/>
      <c r="AA169" s="1436"/>
      <c r="AB169" s="1436"/>
      <c r="AC169" s="1436"/>
      <c r="AD169" s="1436"/>
      <c r="AE169" s="1436"/>
      <c r="AF169" s="1436"/>
    </row>
    <row r="170" spans="1:32">
      <c r="A170" s="1436"/>
      <c r="B170" s="1436"/>
      <c r="C170" s="1436"/>
      <c r="D170" s="1436"/>
      <c r="E170" s="1436"/>
      <c r="F170" s="1436"/>
      <c r="G170" s="1436"/>
      <c r="H170" s="1436"/>
      <c r="I170" s="1436"/>
      <c r="J170" s="1436"/>
      <c r="K170" s="1436"/>
      <c r="L170" s="1436"/>
      <c r="M170" s="1436"/>
      <c r="N170" s="1436"/>
      <c r="O170" s="1436"/>
      <c r="P170" s="1436"/>
      <c r="Q170" s="1436"/>
      <c r="R170" s="1436"/>
      <c r="S170" s="1436"/>
      <c r="T170" s="1436"/>
      <c r="U170" s="1436"/>
      <c r="V170" s="1436"/>
      <c r="W170" s="1436"/>
      <c r="X170" s="1436"/>
      <c r="Y170" s="1436"/>
      <c r="Z170" s="1436"/>
      <c r="AA170" s="1436"/>
      <c r="AB170" s="1436"/>
      <c r="AC170" s="1436"/>
      <c r="AD170" s="1436"/>
      <c r="AE170" s="1436"/>
      <c r="AF170" s="1436"/>
    </row>
    <row r="171" spans="1:32">
      <c r="A171" s="1436"/>
      <c r="B171" s="1436"/>
      <c r="C171" s="1436"/>
      <c r="D171" s="1436"/>
      <c r="E171" s="1436"/>
      <c r="F171" s="1436"/>
      <c r="G171" s="1436"/>
      <c r="H171" s="1436"/>
      <c r="I171" s="1436"/>
      <c r="J171" s="1436"/>
      <c r="K171" s="1436"/>
      <c r="L171" s="1436"/>
      <c r="M171" s="1436"/>
      <c r="N171" s="1436"/>
      <c r="O171" s="1436"/>
      <c r="P171" s="1436"/>
      <c r="Q171" s="1436"/>
      <c r="R171" s="1436"/>
      <c r="S171" s="1436"/>
      <c r="T171" s="1436"/>
      <c r="U171" s="1436"/>
      <c r="V171" s="1436"/>
      <c r="W171" s="1436"/>
      <c r="X171" s="1436"/>
      <c r="Y171" s="1436"/>
      <c r="Z171" s="1436"/>
      <c r="AA171" s="1436"/>
      <c r="AB171" s="1436"/>
      <c r="AC171" s="1436"/>
      <c r="AD171" s="1436"/>
      <c r="AE171" s="1436"/>
      <c r="AF171" s="1436"/>
    </row>
    <row r="172" spans="1:32">
      <c r="A172" s="1436"/>
      <c r="B172" s="1436"/>
      <c r="C172" s="1436"/>
      <c r="D172" s="1436"/>
      <c r="E172" s="1436"/>
      <c r="F172" s="1436"/>
      <c r="G172" s="1436"/>
      <c r="H172" s="1436"/>
      <c r="I172" s="1436"/>
      <c r="J172" s="1436"/>
      <c r="K172" s="1436"/>
      <c r="L172" s="1436"/>
      <c r="M172" s="1436"/>
      <c r="N172" s="1436"/>
      <c r="O172" s="1436"/>
      <c r="P172" s="1436"/>
      <c r="Q172" s="1436"/>
      <c r="R172" s="1436"/>
      <c r="S172" s="1436"/>
      <c r="T172" s="1436"/>
      <c r="U172" s="1436"/>
      <c r="V172" s="1436"/>
      <c r="W172" s="1436"/>
      <c r="X172" s="1436"/>
      <c r="Y172" s="1436"/>
      <c r="Z172" s="1436"/>
      <c r="AA172" s="1436"/>
      <c r="AB172" s="1436"/>
      <c r="AC172" s="1436"/>
      <c r="AD172" s="1436"/>
      <c r="AE172" s="1436"/>
      <c r="AF172" s="1436"/>
    </row>
    <row r="173" spans="1:32">
      <c r="A173" s="1436"/>
      <c r="B173" s="1436"/>
      <c r="C173" s="1436"/>
      <c r="D173" s="1436"/>
      <c r="E173" s="1436"/>
      <c r="F173" s="1436"/>
      <c r="G173" s="1436"/>
      <c r="H173" s="1436"/>
      <c r="I173" s="1436"/>
      <c r="J173" s="1436"/>
      <c r="K173" s="1436"/>
      <c r="L173" s="1436"/>
      <c r="M173" s="1436"/>
      <c r="N173" s="1436"/>
      <c r="O173" s="1436"/>
      <c r="P173" s="1436"/>
      <c r="Q173" s="1436"/>
      <c r="R173" s="1436"/>
      <c r="S173" s="1436"/>
      <c r="T173" s="1436"/>
      <c r="U173" s="1436"/>
      <c r="V173" s="1436"/>
      <c r="W173" s="1436"/>
      <c r="X173" s="1436"/>
      <c r="Y173" s="1436"/>
      <c r="Z173" s="1436"/>
      <c r="AA173" s="1436"/>
      <c r="AB173" s="1436"/>
      <c r="AC173" s="1436"/>
      <c r="AD173" s="1436"/>
      <c r="AE173" s="1436"/>
      <c r="AF173" s="1436"/>
    </row>
    <row r="174" spans="1:32">
      <c r="A174" s="1436"/>
      <c r="B174" s="1436"/>
      <c r="C174" s="1436"/>
      <c r="D174" s="1436"/>
      <c r="E174" s="1436"/>
      <c r="F174" s="1436"/>
      <c r="G174" s="1436"/>
      <c r="H174" s="1436"/>
      <c r="I174" s="1436"/>
      <c r="J174" s="1436"/>
      <c r="K174" s="1436"/>
      <c r="L174" s="1436"/>
      <c r="M174" s="1436"/>
      <c r="N174" s="1436"/>
      <c r="O174" s="1436"/>
      <c r="P174" s="1436"/>
      <c r="Q174" s="1436"/>
      <c r="R174" s="1436"/>
      <c r="S174" s="1436"/>
      <c r="T174" s="1436"/>
      <c r="U174" s="1436"/>
      <c r="V174" s="1436"/>
      <c r="W174" s="1436"/>
      <c r="X174" s="1436"/>
      <c r="Y174" s="1436"/>
      <c r="Z174" s="1436"/>
      <c r="AA174" s="1436"/>
      <c r="AB174" s="1436"/>
      <c r="AC174" s="1436"/>
      <c r="AD174" s="1436"/>
      <c r="AE174" s="1436"/>
      <c r="AF174" s="1436"/>
    </row>
    <row r="175" spans="1:32">
      <c r="A175" s="1436"/>
      <c r="B175" s="1436"/>
      <c r="C175" s="1436"/>
      <c r="D175" s="1436"/>
      <c r="E175" s="1436"/>
      <c r="F175" s="1436"/>
      <c r="G175" s="1436"/>
      <c r="H175" s="1436"/>
      <c r="I175" s="1436"/>
      <c r="J175" s="1436"/>
      <c r="K175" s="1436"/>
      <c r="L175" s="1436"/>
      <c r="M175" s="1436"/>
      <c r="N175" s="1436"/>
      <c r="O175" s="1436"/>
      <c r="P175" s="1436"/>
      <c r="Q175" s="1436"/>
      <c r="R175" s="1436"/>
      <c r="S175" s="1436"/>
      <c r="T175" s="1436"/>
      <c r="U175" s="1436"/>
      <c r="V175" s="1436"/>
      <c r="W175" s="1436"/>
      <c r="X175" s="1436"/>
      <c r="Y175" s="1436"/>
      <c r="Z175" s="1436"/>
      <c r="AA175" s="1436"/>
      <c r="AB175" s="1436"/>
      <c r="AC175" s="1436"/>
      <c r="AD175" s="1436"/>
      <c r="AE175" s="1436"/>
      <c r="AF175" s="1436"/>
    </row>
    <row r="176" spans="1:32">
      <c r="A176" s="1436"/>
      <c r="B176" s="1436"/>
      <c r="C176" s="1436"/>
      <c r="D176" s="1436"/>
      <c r="E176" s="1436"/>
      <c r="F176" s="1436"/>
      <c r="G176" s="1436"/>
      <c r="H176" s="1436"/>
      <c r="I176" s="1436"/>
      <c r="J176" s="1436"/>
      <c r="K176" s="1436"/>
      <c r="L176" s="1436"/>
      <c r="M176" s="1436"/>
      <c r="N176" s="1436"/>
      <c r="O176" s="1436"/>
      <c r="P176" s="1436"/>
      <c r="Q176" s="1436"/>
      <c r="R176" s="1436"/>
      <c r="S176" s="1436"/>
      <c r="T176" s="1436"/>
      <c r="U176" s="1436"/>
      <c r="V176" s="1436"/>
      <c r="W176" s="1436"/>
      <c r="X176" s="1436"/>
      <c r="Y176" s="1436"/>
      <c r="Z176" s="1436"/>
      <c r="AA176" s="1436"/>
      <c r="AB176" s="1436"/>
      <c r="AC176" s="1436"/>
      <c r="AD176" s="1436"/>
      <c r="AE176" s="1436"/>
      <c r="AF176" s="1436"/>
    </row>
    <row r="177" spans="1:32">
      <c r="A177" s="1436"/>
      <c r="B177" s="1436"/>
      <c r="C177" s="1436"/>
      <c r="D177" s="1436"/>
      <c r="E177" s="1436"/>
      <c r="F177" s="1436"/>
      <c r="G177" s="1436"/>
      <c r="H177" s="1436"/>
      <c r="I177" s="1436"/>
      <c r="J177" s="1436"/>
      <c r="K177" s="1436"/>
      <c r="L177" s="1436"/>
      <c r="M177" s="1436"/>
      <c r="N177" s="1436"/>
      <c r="O177" s="1436"/>
      <c r="P177" s="1436"/>
      <c r="Q177" s="1436"/>
      <c r="R177" s="1436"/>
      <c r="S177" s="1436"/>
      <c r="T177" s="1436"/>
      <c r="U177" s="1436"/>
      <c r="V177" s="1436"/>
      <c r="W177" s="1436"/>
      <c r="X177" s="1436"/>
      <c r="Y177" s="1436"/>
      <c r="Z177" s="1436"/>
      <c r="AA177" s="1436"/>
      <c r="AB177" s="1436"/>
      <c r="AC177" s="1436"/>
      <c r="AD177" s="1436"/>
      <c r="AE177" s="1436"/>
      <c r="AF177" s="1436"/>
    </row>
    <row r="178" spans="1:32">
      <c r="A178" s="1436"/>
      <c r="B178" s="1436"/>
      <c r="C178" s="1436"/>
      <c r="D178" s="1436"/>
      <c r="E178" s="1436"/>
      <c r="F178" s="1436"/>
      <c r="G178" s="1436"/>
      <c r="H178" s="1436"/>
      <c r="I178" s="1436"/>
      <c r="J178" s="1436"/>
      <c r="K178" s="1436"/>
      <c r="L178" s="1436"/>
      <c r="M178" s="1436"/>
      <c r="N178" s="1436"/>
      <c r="O178" s="1436"/>
      <c r="P178" s="1436"/>
      <c r="Q178" s="1436"/>
      <c r="R178" s="1436"/>
      <c r="S178" s="1436"/>
      <c r="T178" s="1436"/>
      <c r="U178" s="1436"/>
      <c r="V178" s="1436"/>
      <c r="W178" s="1436"/>
      <c r="X178" s="1436"/>
      <c r="Y178" s="1436"/>
      <c r="Z178" s="1436"/>
      <c r="AA178" s="1436"/>
      <c r="AB178" s="1436"/>
      <c r="AC178" s="1436"/>
      <c r="AD178" s="1436"/>
      <c r="AE178" s="1436"/>
      <c r="AF178" s="1436"/>
    </row>
    <row r="179" spans="1:32">
      <c r="A179" s="1436"/>
      <c r="B179" s="1436"/>
      <c r="C179" s="1436"/>
      <c r="D179" s="1436"/>
      <c r="E179" s="1436"/>
      <c r="F179" s="1436"/>
      <c r="G179" s="1436"/>
      <c r="H179" s="1436"/>
      <c r="I179" s="1436"/>
      <c r="J179" s="1436"/>
      <c r="K179" s="1436"/>
      <c r="L179" s="1436"/>
      <c r="M179" s="1436"/>
      <c r="N179" s="1436"/>
      <c r="O179" s="1436"/>
      <c r="P179" s="1436"/>
      <c r="Q179" s="1436"/>
      <c r="R179" s="1436"/>
      <c r="S179" s="1436"/>
      <c r="T179" s="1436"/>
      <c r="U179" s="1436"/>
      <c r="V179" s="1436"/>
      <c r="W179" s="1436"/>
      <c r="X179" s="1436"/>
      <c r="Y179" s="1436"/>
      <c r="Z179" s="1436"/>
      <c r="AA179" s="1436"/>
      <c r="AB179" s="1436"/>
      <c r="AC179" s="1436"/>
      <c r="AD179" s="1436"/>
      <c r="AE179" s="1436"/>
      <c r="AF179" s="1436"/>
    </row>
    <row r="180" spans="1:32">
      <c r="A180" s="1436"/>
      <c r="B180" s="1436"/>
      <c r="C180" s="1436"/>
      <c r="D180" s="1436"/>
      <c r="E180" s="1436"/>
      <c r="F180" s="1436"/>
      <c r="G180" s="1436"/>
      <c r="H180" s="1436"/>
      <c r="I180" s="1436"/>
      <c r="J180" s="1436"/>
      <c r="K180" s="1436"/>
      <c r="L180" s="1436"/>
      <c r="M180" s="1436"/>
      <c r="N180" s="1436"/>
      <c r="O180" s="1436"/>
      <c r="P180" s="1436"/>
      <c r="Q180" s="1436"/>
      <c r="R180" s="1436"/>
      <c r="S180" s="1436"/>
      <c r="T180" s="1436"/>
      <c r="U180" s="1436"/>
      <c r="V180" s="1436"/>
      <c r="W180" s="1436"/>
      <c r="X180" s="1436"/>
      <c r="Y180" s="1436"/>
      <c r="Z180" s="1436"/>
      <c r="AA180" s="1436"/>
      <c r="AB180" s="1436"/>
      <c r="AC180" s="1436"/>
      <c r="AD180" s="1436"/>
      <c r="AE180" s="1436"/>
      <c r="AF180" s="1436"/>
    </row>
    <row r="181" spans="1:32">
      <c r="A181" s="1436"/>
      <c r="B181" s="1436"/>
      <c r="C181" s="1436"/>
      <c r="D181" s="1436"/>
      <c r="E181" s="1436"/>
      <c r="F181" s="1436"/>
      <c r="G181" s="1436"/>
      <c r="H181" s="1436"/>
      <c r="I181" s="1436"/>
      <c r="J181" s="1436"/>
      <c r="K181" s="1436"/>
      <c r="L181" s="1436"/>
      <c r="M181" s="1436"/>
      <c r="N181" s="1436"/>
      <c r="O181" s="1436"/>
      <c r="P181" s="1436"/>
      <c r="Q181" s="1436"/>
      <c r="R181" s="1436"/>
      <c r="S181" s="1436"/>
      <c r="T181" s="1436"/>
      <c r="U181" s="1436"/>
      <c r="V181" s="1436"/>
      <c r="W181" s="1436"/>
      <c r="X181" s="1436"/>
      <c r="Y181" s="1436"/>
      <c r="Z181" s="1436"/>
      <c r="AA181" s="1436"/>
      <c r="AB181" s="1436"/>
      <c r="AC181" s="1436"/>
      <c r="AD181" s="1436"/>
      <c r="AE181" s="1436"/>
      <c r="AF181" s="1436"/>
    </row>
    <row r="182" spans="1:32">
      <c r="A182" s="1436"/>
      <c r="B182" s="1436"/>
      <c r="C182" s="1436"/>
      <c r="D182" s="1436"/>
      <c r="E182" s="1436"/>
      <c r="F182" s="1436"/>
      <c r="G182" s="1436"/>
      <c r="H182" s="1436"/>
      <c r="I182" s="1436"/>
      <c r="J182" s="1436"/>
      <c r="K182" s="1436"/>
      <c r="L182" s="1436"/>
      <c r="M182" s="1436"/>
      <c r="N182" s="1436"/>
      <c r="O182" s="1436"/>
      <c r="P182" s="1436"/>
      <c r="Q182" s="1436"/>
      <c r="R182" s="1436"/>
      <c r="S182" s="1436"/>
      <c r="T182" s="1436"/>
      <c r="U182" s="1436"/>
      <c r="V182" s="1436"/>
      <c r="W182" s="1436"/>
      <c r="X182" s="1436"/>
      <c r="Y182" s="1436"/>
      <c r="Z182" s="1436"/>
      <c r="AA182" s="1436"/>
      <c r="AB182" s="1436"/>
      <c r="AC182" s="1436"/>
      <c r="AD182" s="1436"/>
      <c r="AE182" s="1436"/>
      <c r="AF182" s="1436"/>
    </row>
    <row r="183" spans="1:32">
      <c r="A183" s="1436"/>
      <c r="B183" s="1436"/>
      <c r="C183" s="1436"/>
      <c r="D183" s="1436"/>
      <c r="E183" s="1436"/>
      <c r="F183" s="1436"/>
      <c r="G183" s="1436"/>
      <c r="H183" s="1436"/>
      <c r="I183" s="1436"/>
      <c r="J183" s="1436"/>
      <c r="K183" s="1436"/>
      <c r="L183" s="1436"/>
      <c r="M183" s="1436"/>
      <c r="N183" s="1436"/>
      <c r="O183" s="1436"/>
      <c r="P183" s="1436"/>
      <c r="Q183" s="1436"/>
      <c r="R183" s="1436"/>
      <c r="S183" s="1436"/>
      <c r="T183" s="1436"/>
      <c r="U183" s="1436"/>
      <c r="V183" s="1436"/>
      <c r="W183" s="1436"/>
      <c r="X183" s="1436"/>
      <c r="Y183" s="1436"/>
      <c r="Z183" s="1436"/>
      <c r="AA183" s="1436"/>
      <c r="AB183" s="1436"/>
      <c r="AC183" s="1436"/>
      <c r="AD183" s="1436"/>
      <c r="AE183" s="1436"/>
      <c r="AF183" s="1436"/>
    </row>
    <row r="184" spans="1:32">
      <c r="A184" s="1436"/>
      <c r="B184" s="1436"/>
      <c r="C184" s="1436"/>
      <c r="D184" s="1436"/>
      <c r="E184" s="1436"/>
      <c r="F184" s="1436"/>
      <c r="G184" s="1436"/>
      <c r="H184" s="1436"/>
      <c r="I184" s="1436"/>
      <c r="J184" s="1436"/>
      <c r="K184" s="1436"/>
      <c r="L184" s="1436"/>
      <c r="M184" s="1436"/>
      <c r="N184" s="1436"/>
      <c r="O184" s="1436"/>
      <c r="P184" s="1436"/>
      <c r="Q184" s="1436"/>
      <c r="R184" s="1436"/>
      <c r="S184" s="1436"/>
      <c r="T184" s="1436"/>
      <c r="U184" s="1436"/>
      <c r="V184" s="1436"/>
      <c r="W184" s="1436"/>
      <c r="X184" s="1436"/>
      <c r="Y184" s="1436"/>
      <c r="Z184" s="1436"/>
      <c r="AA184" s="1436"/>
      <c r="AB184" s="1436"/>
      <c r="AC184" s="1436"/>
      <c r="AD184" s="1436"/>
      <c r="AE184" s="1436"/>
      <c r="AF184" s="1436"/>
    </row>
    <row r="185" spans="1:32">
      <c r="A185" s="1436"/>
      <c r="B185" s="1436"/>
      <c r="C185" s="1436"/>
      <c r="D185" s="1436"/>
      <c r="E185" s="1436"/>
      <c r="F185" s="1436"/>
      <c r="G185" s="1436"/>
      <c r="H185" s="1436"/>
      <c r="I185" s="1436"/>
      <c r="J185" s="1436"/>
      <c r="K185" s="1436"/>
      <c r="L185" s="1436"/>
      <c r="M185" s="1436"/>
      <c r="N185" s="1436"/>
      <c r="O185" s="1436"/>
      <c r="P185" s="1436"/>
      <c r="Q185" s="1436"/>
      <c r="R185" s="1436"/>
      <c r="S185" s="1436"/>
      <c r="T185" s="1436"/>
      <c r="U185" s="1436"/>
      <c r="V185" s="1436"/>
      <c r="W185" s="1436"/>
      <c r="X185" s="1436"/>
      <c r="Y185" s="1436"/>
      <c r="Z185" s="1436"/>
      <c r="AA185" s="1436"/>
      <c r="AB185" s="1436"/>
      <c r="AC185" s="1436"/>
      <c r="AD185" s="1436"/>
      <c r="AE185" s="1436"/>
      <c r="AF185" s="1436"/>
    </row>
    <row r="186" spans="1:32">
      <c r="A186" s="1436"/>
      <c r="B186" s="1436"/>
      <c r="C186" s="1436"/>
      <c r="D186" s="1436"/>
      <c r="E186" s="1436"/>
      <c r="F186" s="1436"/>
      <c r="G186" s="1436"/>
      <c r="H186" s="1436"/>
      <c r="I186" s="1436"/>
      <c r="J186" s="1436"/>
      <c r="K186" s="1436"/>
      <c r="L186" s="1436"/>
      <c r="M186" s="1436"/>
      <c r="N186" s="1436"/>
      <c r="O186" s="1436"/>
      <c r="P186" s="1436"/>
      <c r="Q186" s="1436"/>
      <c r="R186" s="1436"/>
      <c r="S186" s="1436"/>
      <c r="T186" s="1436"/>
      <c r="U186" s="1436"/>
      <c r="V186" s="1436"/>
      <c r="W186" s="1436"/>
      <c r="X186" s="1436"/>
      <c r="Y186" s="1436"/>
      <c r="Z186" s="1436"/>
      <c r="AA186" s="1436"/>
      <c r="AB186" s="1436"/>
      <c r="AC186" s="1436"/>
      <c r="AD186" s="1436"/>
      <c r="AE186" s="1436"/>
      <c r="AF186" s="1436"/>
    </row>
    <row r="187" spans="1:32">
      <c r="A187" s="1436"/>
      <c r="B187" s="1436"/>
      <c r="C187" s="1436"/>
      <c r="D187" s="1436"/>
      <c r="E187" s="1436"/>
      <c r="F187" s="1436"/>
      <c r="G187" s="1436"/>
      <c r="H187" s="1436"/>
      <c r="I187" s="1436"/>
      <c r="J187" s="1436"/>
      <c r="K187" s="1436"/>
      <c r="L187" s="1436"/>
      <c r="M187" s="1436"/>
      <c r="N187" s="1436"/>
      <c r="O187" s="1436"/>
      <c r="P187" s="1436"/>
      <c r="Q187" s="1436"/>
      <c r="R187" s="1436"/>
      <c r="S187" s="1436"/>
      <c r="T187" s="1436"/>
      <c r="U187" s="1436"/>
      <c r="V187" s="1436"/>
      <c r="W187" s="1436"/>
      <c r="X187" s="1436"/>
      <c r="Y187" s="1436"/>
      <c r="Z187" s="1436"/>
      <c r="AA187" s="1436"/>
      <c r="AB187" s="1436"/>
      <c r="AC187" s="1436"/>
      <c r="AD187" s="1436"/>
      <c r="AE187" s="1436"/>
      <c r="AF187" s="1436"/>
    </row>
    <row r="188" spans="1:32">
      <c r="A188" s="1436"/>
      <c r="B188" s="1436"/>
      <c r="C188" s="1436"/>
      <c r="D188" s="1436"/>
      <c r="E188" s="1436"/>
      <c r="F188" s="1436"/>
      <c r="G188" s="1436"/>
      <c r="H188" s="1436"/>
      <c r="I188" s="1436"/>
      <c r="J188" s="1436"/>
      <c r="K188" s="1436"/>
      <c r="L188" s="1436"/>
      <c r="M188" s="1436"/>
      <c r="N188" s="1436"/>
      <c r="O188" s="1436"/>
      <c r="P188" s="1436"/>
      <c r="Q188" s="1436"/>
      <c r="R188" s="1436"/>
      <c r="S188" s="1436"/>
      <c r="T188" s="1436"/>
      <c r="U188" s="1436"/>
      <c r="V188" s="1436"/>
      <c r="W188" s="1436"/>
      <c r="X188" s="1436"/>
      <c r="Y188" s="1436"/>
      <c r="Z188" s="1436"/>
      <c r="AA188" s="1436"/>
      <c r="AB188" s="1436"/>
      <c r="AC188" s="1436"/>
      <c r="AD188" s="1436"/>
      <c r="AE188" s="1436"/>
      <c r="AF188" s="1436"/>
    </row>
    <row r="189" spans="1:32">
      <c r="A189" s="1436"/>
      <c r="B189" s="1436"/>
      <c r="C189" s="1436"/>
      <c r="D189" s="1436"/>
      <c r="E189" s="1436"/>
      <c r="F189" s="1436"/>
      <c r="G189" s="1436"/>
      <c r="H189" s="1436"/>
      <c r="I189" s="1436"/>
      <c r="J189" s="1436"/>
      <c r="K189" s="1436"/>
      <c r="L189" s="1436"/>
      <c r="M189" s="1436"/>
      <c r="N189" s="1436"/>
      <c r="O189" s="1436"/>
      <c r="P189" s="1436"/>
      <c r="Q189" s="1436"/>
      <c r="R189" s="1436"/>
      <c r="S189" s="1436"/>
      <c r="T189" s="1436"/>
      <c r="U189" s="1436"/>
      <c r="V189" s="1436"/>
      <c r="W189" s="1436"/>
      <c r="X189" s="1436"/>
      <c r="Y189" s="1436"/>
      <c r="Z189" s="1436"/>
      <c r="AA189" s="1436"/>
      <c r="AB189" s="1436"/>
      <c r="AC189" s="1436"/>
      <c r="AD189" s="1436"/>
      <c r="AE189" s="1436"/>
      <c r="AF189" s="1436"/>
    </row>
    <row r="190" spans="1:32">
      <c r="A190" s="1436"/>
      <c r="B190" s="1436"/>
      <c r="C190" s="1436"/>
      <c r="D190" s="1436"/>
      <c r="E190" s="1436"/>
      <c r="F190" s="1436"/>
      <c r="G190" s="1436"/>
      <c r="H190" s="1436"/>
      <c r="I190" s="1436"/>
      <c r="J190" s="1436"/>
      <c r="K190" s="1436"/>
      <c r="L190" s="1436"/>
      <c r="M190" s="1436"/>
      <c r="N190" s="1436"/>
      <c r="O190" s="1436"/>
      <c r="P190" s="1436"/>
      <c r="Q190" s="1436"/>
      <c r="R190" s="1436"/>
      <c r="S190" s="1436"/>
      <c r="T190" s="1436"/>
      <c r="U190" s="1436"/>
      <c r="V190" s="1436"/>
      <c r="W190" s="1436"/>
      <c r="X190" s="1436"/>
      <c r="Y190" s="1436"/>
      <c r="Z190" s="1436"/>
      <c r="AA190" s="1436"/>
      <c r="AB190" s="1436"/>
      <c r="AC190" s="1436"/>
      <c r="AD190" s="1436"/>
      <c r="AE190" s="1436"/>
      <c r="AF190" s="1436"/>
    </row>
    <row r="191" spans="1:32">
      <c r="A191" s="1436"/>
      <c r="B191" s="1436"/>
      <c r="C191" s="1436"/>
      <c r="D191" s="1436"/>
      <c r="E191" s="1436"/>
      <c r="F191" s="1436"/>
      <c r="G191" s="1436"/>
      <c r="H191" s="1436"/>
      <c r="I191" s="1436"/>
      <c r="J191" s="1436"/>
      <c r="K191" s="1436"/>
      <c r="L191" s="1436"/>
      <c r="M191" s="1436"/>
      <c r="N191" s="1436"/>
      <c r="O191" s="1436"/>
      <c r="P191" s="1436"/>
      <c r="Q191" s="1436"/>
      <c r="R191" s="1436"/>
      <c r="S191" s="1436"/>
      <c r="T191" s="1436"/>
      <c r="U191" s="1436"/>
      <c r="V191" s="1436"/>
      <c r="W191" s="1436"/>
      <c r="X191" s="1436"/>
      <c r="Y191" s="1436"/>
      <c r="Z191" s="1436"/>
      <c r="AA191" s="1436"/>
      <c r="AB191" s="1436"/>
      <c r="AC191" s="1436"/>
      <c r="AD191" s="1436"/>
      <c r="AE191" s="1436"/>
      <c r="AF191" s="1436"/>
    </row>
    <row r="192" spans="1:32">
      <c r="A192" s="1436"/>
      <c r="B192" s="1436"/>
      <c r="C192" s="1436"/>
      <c r="D192" s="1436"/>
      <c r="E192" s="1436"/>
      <c r="F192" s="1436"/>
      <c r="G192" s="1436"/>
      <c r="H192" s="1436"/>
      <c r="I192" s="1436"/>
      <c r="J192" s="1436"/>
      <c r="K192" s="1436"/>
      <c r="L192" s="1436"/>
      <c r="M192" s="1436"/>
      <c r="N192" s="1436"/>
      <c r="O192" s="1436"/>
      <c r="P192" s="1436"/>
      <c r="Q192" s="1436"/>
      <c r="R192" s="1436"/>
      <c r="S192" s="1436"/>
      <c r="T192" s="1436"/>
      <c r="U192" s="1436"/>
      <c r="V192" s="1436"/>
      <c r="W192" s="1436"/>
      <c r="X192" s="1436"/>
      <c r="Y192" s="1436"/>
      <c r="Z192" s="1436"/>
      <c r="AA192" s="1436"/>
      <c r="AB192" s="1436"/>
      <c r="AC192" s="1436"/>
      <c r="AD192" s="1436"/>
      <c r="AE192" s="1436"/>
      <c r="AF192" s="1436"/>
    </row>
    <row r="193" spans="1:32">
      <c r="A193" s="1436"/>
      <c r="B193" s="1436"/>
      <c r="C193" s="1436"/>
      <c r="D193" s="1436"/>
      <c r="E193" s="1436"/>
      <c r="F193" s="1436"/>
      <c r="G193" s="1436"/>
      <c r="H193" s="1436"/>
      <c r="I193" s="1436"/>
      <c r="J193" s="1436"/>
      <c r="K193" s="1436"/>
      <c r="L193" s="1436"/>
      <c r="M193" s="1436"/>
      <c r="N193" s="1436"/>
      <c r="O193" s="1436"/>
      <c r="P193" s="1436"/>
      <c r="Q193" s="1436"/>
      <c r="R193" s="1436"/>
      <c r="S193" s="1436"/>
      <c r="T193" s="1436"/>
      <c r="U193" s="1436"/>
      <c r="V193" s="1436"/>
      <c r="W193" s="1436"/>
      <c r="X193" s="1436"/>
      <c r="Y193" s="1436"/>
      <c r="Z193" s="1436"/>
      <c r="AA193" s="1436"/>
      <c r="AB193" s="1436"/>
      <c r="AC193" s="1436"/>
      <c r="AD193" s="1436"/>
      <c r="AE193" s="1436"/>
      <c r="AF193" s="1436"/>
    </row>
    <row r="194" spans="1:32">
      <c r="A194" s="1436"/>
      <c r="B194" s="1436"/>
      <c r="C194" s="1436"/>
      <c r="D194" s="1436"/>
      <c r="E194" s="1436"/>
      <c r="F194" s="1436"/>
      <c r="G194" s="1436"/>
      <c r="H194" s="1436"/>
      <c r="I194" s="1436"/>
      <c r="J194" s="1436"/>
      <c r="K194" s="1436"/>
      <c r="L194" s="1436"/>
      <c r="M194" s="1436"/>
      <c r="N194" s="1436"/>
      <c r="O194" s="1436"/>
      <c r="P194" s="1436"/>
      <c r="Q194" s="1436"/>
      <c r="R194" s="1436"/>
      <c r="S194" s="1436"/>
      <c r="T194" s="1436"/>
      <c r="U194" s="1436"/>
      <c r="V194" s="1436"/>
      <c r="W194" s="1436"/>
      <c r="X194" s="1436"/>
      <c r="Y194" s="1436"/>
      <c r="Z194" s="1436"/>
      <c r="AA194" s="1436"/>
      <c r="AB194" s="1436"/>
      <c r="AC194" s="1436"/>
      <c r="AD194" s="1436"/>
      <c r="AE194" s="1436"/>
      <c r="AF194" s="1436"/>
    </row>
    <row r="195" spans="1:32">
      <c r="A195" s="1436"/>
      <c r="B195" s="1436"/>
      <c r="C195" s="1436"/>
      <c r="D195" s="1436"/>
      <c r="E195" s="1436"/>
      <c r="F195" s="1436"/>
      <c r="G195" s="1436"/>
      <c r="H195" s="1436"/>
      <c r="I195" s="1436"/>
      <c r="J195" s="1436"/>
      <c r="K195" s="1436"/>
      <c r="L195" s="1436"/>
      <c r="M195" s="1436"/>
      <c r="N195" s="1436"/>
      <c r="O195" s="1436"/>
      <c r="P195" s="1436"/>
      <c r="Q195" s="1436"/>
      <c r="R195" s="1436"/>
      <c r="S195" s="1436"/>
      <c r="T195" s="1436"/>
      <c r="U195" s="1436"/>
      <c r="V195" s="1436"/>
      <c r="W195" s="1436"/>
      <c r="X195" s="1436"/>
      <c r="Y195" s="1436"/>
      <c r="Z195" s="1436"/>
      <c r="AA195" s="1436"/>
      <c r="AB195" s="1436"/>
      <c r="AC195" s="1436"/>
      <c r="AD195" s="1436"/>
      <c r="AE195" s="1436"/>
      <c r="AF195" s="1436"/>
    </row>
    <row r="196" spans="1:32">
      <c r="A196" s="1436"/>
      <c r="B196" s="1436"/>
      <c r="C196" s="1436"/>
      <c r="D196" s="1436"/>
      <c r="E196" s="1436"/>
      <c r="F196" s="1436"/>
      <c r="G196" s="1436"/>
      <c r="H196" s="1436"/>
      <c r="I196" s="1436"/>
      <c r="J196" s="1436"/>
      <c r="K196" s="1436"/>
      <c r="L196" s="1436"/>
      <c r="M196" s="1436"/>
      <c r="N196" s="1436"/>
      <c r="O196" s="1436"/>
      <c r="P196" s="1436"/>
      <c r="Q196" s="1436"/>
      <c r="R196" s="1436"/>
      <c r="S196" s="1436"/>
      <c r="T196" s="1436"/>
      <c r="U196" s="1436"/>
      <c r="V196" s="1436"/>
      <c r="W196" s="1436"/>
      <c r="X196" s="1436"/>
      <c r="Y196" s="1436"/>
      <c r="Z196" s="1436"/>
      <c r="AA196" s="1436"/>
      <c r="AB196" s="1436"/>
      <c r="AC196" s="1436"/>
      <c r="AD196" s="1436"/>
      <c r="AE196" s="1436"/>
      <c r="AF196" s="1436"/>
    </row>
    <row r="197" spans="1:32">
      <c r="A197" s="1436"/>
      <c r="B197" s="1436"/>
      <c r="C197" s="1436"/>
      <c r="D197" s="1436"/>
      <c r="E197" s="1436"/>
      <c r="F197" s="1436"/>
      <c r="G197" s="1436"/>
      <c r="H197" s="1436"/>
      <c r="I197" s="1436"/>
      <c r="J197" s="1436"/>
      <c r="K197" s="1436"/>
      <c r="L197" s="1436"/>
      <c r="M197" s="1436"/>
      <c r="N197" s="1436"/>
      <c r="O197" s="1436"/>
      <c r="P197" s="1436"/>
      <c r="Q197" s="1436"/>
      <c r="R197" s="1436"/>
      <c r="S197" s="1436"/>
      <c r="T197" s="1436"/>
      <c r="U197" s="1436"/>
      <c r="V197" s="1436"/>
      <c r="W197" s="1436"/>
      <c r="X197" s="1436"/>
      <c r="Y197" s="1436"/>
      <c r="Z197" s="1436"/>
      <c r="AA197" s="1436"/>
      <c r="AB197" s="1436"/>
      <c r="AC197" s="1436"/>
      <c r="AD197" s="1436"/>
      <c r="AE197" s="1436"/>
      <c r="AF197" s="1436"/>
    </row>
    <row r="198" spans="1:32">
      <c r="A198" s="1436"/>
      <c r="B198" s="1436"/>
      <c r="C198" s="1436"/>
      <c r="D198" s="1436"/>
      <c r="E198" s="1436"/>
      <c r="F198" s="1436"/>
      <c r="G198" s="1436"/>
      <c r="H198" s="1436"/>
      <c r="I198" s="1436"/>
      <c r="J198" s="1436"/>
      <c r="K198" s="1436"/>
      <c r="L198" s="1436"/>
      <c r="M198" s="1436"/>
      <c r="N198" s="1436"/>
      <c r="O198" s="1436"/>
      <c r="P198" s="1436"/>
      <c r="Q198" s="1436"/>
      <c r="R198" s="1436"/>
      <c r="S198" s="1436"/>
      <c r="T198" s="1436"/>
      <c r="U198" s="1436"/>
      <c r="V198" s="1436"/>
      <c r="W198" s="1436"/>
      <c r="X198" s="1436"/>
      <c r="Y198" s="1436"/>
      <c r="Z198" s="1436"/>
      <c r="AA198" s="1436"/>
      <c r="AB198" s="1436"/>
      <c r="AC198" s="1436"/>
      <c r="AD198" s="1436"/>
      <c r="AE198" s="1436"/>
      <c r="AF198" s="1436"/>
    </row>
    <row r="199" spans="1:32">
      <c r="A199" s="1436"/>
      <c r="B199" s="1436"/>
      <c r="C199" s="1436"/>
      <c r="D199" s="1436"/>
      <c r="E199" s="1436"/>
      <c r="F199" s="1436"/>
      <c r="G199" s="1436"/>
      <c r="H199" s="1436"/>
      <c r="I199" s="1436"/>
      <c r="J199" s="1436"/>
      <c r="K199" s="1436"/>
      <c r="L199" s="1436"/>
      <c r="M199" s="1436"/>
      <c r="N199" s="1436"/>
      <c r="O199" s="1436"/>
      <c r="P199" s="1436"/>
      <c r="Q199" s="1436"/>
      <c r="R199" s="1436"/>
      <c r="S199" s="1436"/>
      <c r="T199" s="1436"/>
      <c r="U199" s="1436"/>
      <c r="V199" s="1436"/>
      <c r="W199" s="1436"/>
      <c r="X199" s="1436"/>
      <c r="Y199" s="1436"/>
      <c r="Z199" s="1436"/>
      <c r="AA199" s="1436"/>
      <c r="AB199" s="1436"/>
      <c r="AC199" s="1436"/>
      <c r="AD199" s="1436"/>
      <c r="AE199" s="1436"/>
      <c r="AF199" s="1436"/>
    </row>
    <row r="200" spans="1:32">
      <c r="A200" s="1436"/>
      <c r="B200" s="1436"/>
      <c r="C200" s="1436"/>
      <c r="D200" s="1436"/>
      <c r="E200" s="1436"/>
      <c r="F200" s="1436"/>
      <c r="G200" s="1436"/>
      <c r="H200" s="1436"/>
      <c r="I200" s="1436"/>
      <c r="J200" s="1436"/>
      <c r="K200" s="1436"/>
      <c r="L200" s="1436"/>
      <c r="M200" s="1436"/>
      <c r="N200" s="1436"/>
      <c r="O200" s="1436"/>
      <c r="P200" s="1436"/>
      <c r="Q200" s="1436"/>
      <c r="R200" s="1436"/>
      <c r="S200" s="1436"/>
      <c r="T200" s="1436"/>
      <c r="U200" s="1436"/>
      <c r="V200" s="1436"/>
      <c r="W200" s="1436"/>
      <c r="X200" s="1436"/>
      <c r="Y200" s="1436"/>
      <c r="Z200" s="1436"/>
      <c r="AA200" s="1436"/>
      <c r="AB200" s="1436"/>
      <c r="AC200" s="1436"/>
      <c r="AD200" s="1436"/>
      <c r="AE200" s="1436"/>
      <c r="AF200" s="1436"/>
    </row>
    <row r="201" spans="1:32">
      <c r="A201" s="1436"/>
      <c r="B201" s="1436"/>
      <c r="C201" s="1436"/>
      <c r="D201" s="1436"/>
      <c r="E201" s="1436"/>
      <c r="F201" s="1436"/>
      <c r="G201" s="1436"/>
      <c r="H201" s="1436"/>
      <c r="I201" s="1436"/>
      <c r="J201" s="1436"/>
      <c r="K201" s="1436"/>
      <c r="L201" s="1436"/>
      <c r="M201" s="1436"/>
      <c r="N201" s="1436"/>
      <c r="O201" s="1436"/>
      <c r="P201" s="1436"/>
      <c r="Q201" s="1436"/>
      <c r="R201" s="1436"/>
      <c r="S201" s="1436"/>
      <c r="T201" s="1436"/>
      <c r="U201" s="1436"/>
      <c r="V201" s="1436"/>
      <c r="W201" s="1436"/>
      <c r="X201" s="1436"/>
      <c r="Y201" s="1436"/>
      <c r="Z201" s="1436"/>
      <c r="AA201" s="1436"/>
      <c r="AB201" s="1436"/>
      <c r="AC201" s="1436"/>
      <c r="AD201" s="1436"/>
      <c r="AE201" s="1436"/>
      <c r="AF201" s="1436"/>
    </row>
    <row r="202" spans="1:32">
      <c r="A202" s="1436"/>
      <c r="B202" s="1436"/>
      <c r="C202" s="1436"/>
      <c r="D202" s="1436"/>
      <c r="E202" s="1436"/>
      <c r="F202" s="1436"/>
      <c r="G202" s="1436"/>
      <c r="H202" s="1436"/>
      <c r="I202" s="1436"/>
      <c r="J202" s="1436"/>
      <c r="K202" s="1436"/>
      <c r="L202" s="1436"/>
      <c r="M202" s="1436"/>
      <c r="N202" s="1436"/>
      <c r="O202" s="1436"/>
      <c r="P202" s="1436"/>
      <c r="Q202" s="1436"/>
      <c r="R202" s="1436"/>
      <c r="S202" s="1436"/>
      <c r="T202" s="1436"/>
      <c r="U202" s="1436"/>
      <c r="V202" s="1436"/>
      <c r="W202" s="1436"/>
      <c r="X202" s="1436"/>
      <c r="Y202" s="1436"/>
      <c r="Z202" s="1436"/>
      <c r="AA202" s="1436"/>
      <c r="AB202" s="1436"/>
      <c r="AC202" s="1436"/>
      <c r="AD202" s="1436"/>
      <c r="AE202" s="1436"/>
      <c r="AF202" s="1436"/>
    </row>
    <row r="203" spans="1:32">
      <c r="A203" s="1436"/>
      <c r="B203" s="1436"/>
      <c r="C203" s="1436"/>
      <c r="D203" s="1436"/>
      <c r="E203" s="1436"/>
      <c r="F203" s="1436"/>
      <c r="G203" s="1436"/>
      <c r="H203" s="1436"/>
      <c r="I203" s="1436"/>
      <c r="J203" s="1436"/>
      <c r="K203" s="1436"/>
      <c r="L203" s="1436"/>
      <c r="M203" s="1436"/>
      <c r="N203" s="1436"/>
      <c r="O203" s="1436"/>
      <c r="P203" s="1436"/>
      <c r="Q203" s="1436"/>
      <c r="R203" s="1436"/>
      <c r="S203" s="1436"/>
      <c r="T203" s="1436"/>
      <c r="U203" s="1436"/>
      <c r="V203" s="1436"/>
      <c r="W203" s="1436"/>
      <c r="X203" s="1436"/>
      <c r="Y203" s="1436"/>
      <c r="Z203" s="1436"/>
      <c r="AA203" s="1436"/>
      <c r="AB203" s="1436"/>
      <c r="AC203" s="1436"/>
      <c r="AD203" s="1436"/>
      <c r="AE203" s="1436"/>
      <c r="AF203" s="1436"/>
    </row>
    <row r="204" spans="1:32">
      <c r="A204" s="1436"/>
      <c r="B204" s="1436"/>
      <c r="C204" s="1436"/>
      <c r="D204" s="1436"/>
      <c r="E204" s="1436"/>
      <c r="F204" s="1436"/>
      <c r="G204" s="1436"/>
      <c r="H204" s="1436"/>
      <c r="I204" s="1436"/>
      <c r="J204" s="1436"/>
      <c r="K204" s="1436"/>
      <c r="L204" s="1436"/>
      <c r="M204" s="1436"/>
      <c r="N204" s="1436"/>
      <c r="O204" s="1436"/>
      <c r="P204" s="1436"/>
      <c r="Q204" s="1436"/>
      <c r="R204" s="1436"/>
      <c r="S204" s="1436"/>
      <c r="T204" s="1436"/>
      <c r="U204" s="1436"/>
      <c r="V204" s="1436"/>
      <c r="W204" s="1436"/>
      <c r="X204" s="1436"/>
      <c r="Y204" s="1436"/>
      <c r="Z204" s="1436"/>
      <c r="AA204" s="1436"/>
      <c r="AB204" s="1436"/>
      <c r="AC204" s="1436"/>
      <c r="AD204" s="1436"/>
      <c r="AE204" s="1436"/>
      <c r="AF204" s="1436"/>
    </row>
    <row r="205" spans="1:32">
      <c r="A205" s="1436"/>
      <c r="B205" s="1436"/>
      <c r="C205" s="1436"/>
      <c r="D205" s="1436"/>
      <c r="E205" s="1436"/>
      <c r="F205" s="1436"/>
      <c r="G205" s="1436"/>
      <c r="H205" s="1436"/>
      <c r="I205" s="1436"/>
      <c r="J205" s="1436"/>
      <c r="K205" s="1436"/>
      <c r="L205" s="1436"/>
      <c r="M205" s="1436"/>
      <c r="N205" s="1436"/>
      <c r="O205" s="1436"/>
      <c r="P205" s="1436"/>
      <c r="Q205" s="1436"/>
      <c r="R205" s="1436"/>
      <c r="S205" s="1436"/>
      <c r="T205" s="1436"/>
      <c r="U205" s="1436"/>
      <c r="V205" s="1436"/>
      <c r="W205" s="1436"/>
      <c r="X205" s="1436"/>
      <c r="Y205" s="1436"/>
      <c r="Z205" s="1436"/>
      <c r="AA205" s="1436"/>
      <c r="AB205" s="1436"/>
      <c r="AC205" s="1436"/>
      <c r="AD205" s="1436"/>
      <c r="AE205" s="1436"/>
      <c r="AF205" s="1436"/>
    </row>
    <row r="206" spans="1:32">
      <c r="A206" s="1436"/>
      <c r="B206" s="1436"/>
      <c r="C206" s="1436"/>
      <c r="D206" s="1436"/>
      <c r="E206" s="1436"/>
      <c r="F206" s="1436"/>
      <c r="G206" s="1436"/>
      <c r="H206" s="1436"/>
      <c r="I206" s="1436"/>
      <c r="J206" s="1436"/>
      <c r="K206" s="1436"/>
      <c r="L206" s="1436"/>
      <c r="M206" s="1436"/>
      <c r="N206" s="1436"/>
      <c r="O206" s="1436"/>
      <c r="P206" s="1436"/>
      <c r="Q206" s="1436"/>
      <c r="R206" s="1436"/>
      <c r="S206" s="1436"/>
      <c r="T206" s="1436"/>
      <c r="U206" s="1436"/>
      <c r="V206" s="1436"/>
      <c r="W206" s="1436"/>
      <c r="X206" s="1436"/>
      <c r="Y206" s="1436"/>
      <c r="Z206" s="1436"/>
      <c r="AA206" s="1436"/>
      <c r="AB206" s="1436"/>
      <c r="AC206" s="1436"/>
      <c r="AD206" s="1436"/>
      <c r="AE206" s="1436"/>
      <c r="AF206" s="1436"/>
    </row>
    <row r="207" spans="1:32">
      <c r="A207" s="1436"/>
      <c r="B207" s="1436"/>
      <c r="C207" s="1436"/>
      <c r="D207" s="1436"/>
      <c r="E207" s="1436"/>
      <c r="F207" s="1436"/>
      <c r="G207" s="1436"/>
      <c r="H207" s="1436"/>
      <c r="I207" s="1436"/>
      <c r="J207" s="1436"/>
      <c r="K207" s="1436"/>
      <c r="L207" s="1436"/>
      <c r="M207" s="1436"/>
      <c r="N207" s="1436"/>
      <c r="O207" s="1436"/>
      <c r="P207" s="1436"/>
      <c r="Q207" s="1436"/>
      <c r="R207" s="1436"/>
      <c r="S207" s="1436"/>
      <c r="T207" s="1436"/>
      <c r="U207" s="1436"/>
      <c r="V207" s="1436"/>
      <c r="W207" s="1436"/>
      <c r="X207" s="1436"/>
      <c r="Y207" s="1436"/>
      <c r="Z207" s="1436"/>
      <c r="AA207" s="1436"/>
      <c r="AB207" s="1436"/>
      <c r="AC207" s="1436"/>
      <c r="AD207" s="1436"/>
      <c r="AE207" s="1436"/>
      <c r="AF207" s="1436"/>
    </row>
    <row r="208" spans="1:32">
      <c r="A208" s="1436"/>
      <c r="B208" s="1436"/>
      <c r="C208" s="1436"/>
      <c r="D208" s="1436"/>
      <c r="E208" s="1436"/>
      <c r="F208" s="1436"/>
      <c r="G208" s="1436"/>
      <c r="H208" s="1436"/>
      <c r="I208" s="1436"/>
      <c r="J208" s="1436"/>
      <c r="K208" s="1436"/>
      <c r="L208" s="1436"/>
      <c r="M208" s="1436"/>
      <c r="N208" s="1436"/>
      <c r="O208" s="1436"/>
      <c r="P208" s="1436"/>
      <c r="Q208" s="1436"/>
      <c r="R208" s="1436"/>
      <c r="S208" s="1436"/>
      <c r="T208" s="1436"/>
      <c r="U208" s="1436"/>
      <c r="V208" s="1436"/>
      <c r="W208" s="1436"/>
      <c r="X208" s="1436"/>
      <c r="Y208" s="1436"/>
      <c r="Z208" s="1436"/>
      <c r="AA208" s="1436"/>
      <c r="AB208" s="1436"/>
      <c r="AC208" s="1436"/>
      <c r="AD208" s="1436"/>
      <c r="AE208" s="1436"/>
      <c r="AF208" s="1436"/>
    </row>
    <row r="209" spans="1:32">
      <c r="A209" s="1436"/>
      <c r="B209" s="1436"/>
      <c r="C209" s="1436"/>
      <c r="D209" s="1436"/>
      <c r="E209" s="1436"/>
      <c r="F209" s="1436"/>
      <c r="G209" s="1436"/>
      <c r="H209" s="1436"/>
      <c r="I209" s="1436"/>
      <c r="J209" s="1436"/>
      <c r="K209" s="1436"/>
      <c r="L209" s="1436"/>
      <c r="M209" s="1436"/>
      <c r="N209" s="1436"/>
      <c r="O209" s="1436"/>
      <c r="P209" s="1436"/>
      <c r="Q209" s="1436"/>
      <c r="R209" s="1436"/>
      <c r="S209" s="1436"/>
      <c r="T209" s="1436"/>
      <c r="U209" s="1436"/>
      <c r="V209" s="1436"/>
      <c r="W209" s="1436"/>
      <c r="X209" s="1436"/>
      <c r="Y209" s="1436"/>
      <c r="Z209" s="1436"/>
      <c r="AA209" s="1436"/>
      <c r="AB209" s="1436"/>
      <c r="AC209" s="1436"/>
      <c r="AD209" s="1436"/>
      <c r="AE209" s="1436"/>
      <c r="AF209" s="1436"/>
    </row>
    <row r="210" spans="1:32">
      <c r="A210" s="1436"/>
      <c r="B210" s="1436"/>
      <c r="C210" s="1436"/>
      <c r="D210" s="1436"/>
      <c r="E210" s="1436"/>
      <c r="F210" s="1436"/>
      <c r="G210" s="1436"/>
      <c r="H210" s="1436"/>
      <c r="I210" s="1436"/>
      <c r="J210" s="1436"/>
      <c r="K210" s="1436"/>
      <c r="L210" s="1436"/>
      <c r="M210" s="1436"/>
      <c r="N210" s="1436"/>
      <c r="O210" s="1436"/>
      <c r="P210" s="1436"/>
      <c r="Q210" s="1436"/>
      <c r="R210" s="1436"/>
      <c r="S210" s="1436"/>
      <c r="T210" s="1436"/>
      <c r="U210" s="1436"/>
      <c r="V210" s="1436"/>
      <c r="W210" s="1436"/>
      <c r="X210" s="1436"/>
      <c r="Y210" s="1436"/>
      <c r="Z210" s="1436"/>
      <c r="AA210" s="1436"/>
      <c r="AB210" s="1436"/>
      <c r="AC210" s="1436"/>
      <c r="AD210" s="1436"/>
      <c r="AE210" s="1436"/>
      <c r="AF210" s="1436"/>
    </row>
    <row r="211" spans="1:32">
      <c r="A211" s="1436"/>
      <c r="B211" s="1436"/>
      <c r="C211" s="1436"/>
      <c r="D211" s="1436"/>
      <c r="E211" s="1436"/>
      <c r="F211" s="1436"/>
      <c r="G211" s="1436"/>
      <c r="H211" s="1436"/>
      <c r="I211" s="1436"/>
      <c r="J211" s="1436"/>
      <c r="K211" s="1436"/>
      <c r="L211" s="1436"/>
      <c r="M211" s="1436"/>
      <c r="N211" s="1436"/>
      <c r="O211" s="1436"/>
      <c r="P211" s="1436"/>
      <c r="Q211" s="1436"/>
      <c r="R211" s="1436"/>
      <c r="S211" s="1436"/>
      <c r="T211" s="1436"/>
      <c r="U211" s="1436"/>
      <c r="V211" s="1436"/>
      <c r="W211" s="1436"/>
      <c r="X211" s="1436"/>
      <c r="Y211" s="1436"/>
      <c r="Z211" s="1436"/>
      <c r="AA211" s="1436"/>
      <c r="AB211" s="1436"/>
      <c r="AC211" s="1436"/>
      <c r="AD211" s="1436"/>
      <c r="AE211" s="1436"/>
      <c r="AF211" s="1436"/>
    </row>
    <row r="212" spans="1:32">
      <c r="A212" s="1436"/>
      <c r="B212" s="1436"/>
      <c r="C212" s="1436"/>
      <c r="D212" s="1436"/>
      <c r="E212" s="1436"/>
      <c r="F212" s="1436"/>
      <c r="G212" s="1436"/>
      <c r="H212" s="1436"/>
      <c r="I212" s="1436"/>
      <c r="J212" s="1436"/>
      <c r="K212" s="1436"/>
      <c r="L212" s="1436"/>
      <c r="M212" s="1436"/>
      <c r="N212" s="1436"/>
      <c r="O212" s="1436"/>
      <c r="P212" s="1436"/>
      <c r="Q212" s="1436"/>
      <c r="R212" s="1436"/>
      <c r="S212" s="1436"/>
      <c r="T212" s="1436"/>
      <c r="U212" s="1436"/>
      <c r="V212" s="1436"/>
      <c r="W212" s="1436"/>
      <c r="X212" s="1436"/>
      <c r="Y212" s="1436"/>
      <c r="Z212" s="1436"/>
      <c r="AA212" s="1436"/>
      <c r="AB212" s="1436"/>
      <c r="AC212" s="1436"/>
      <c r="AD212" s="1436"/>
      <c r="AE212" s="1436"/>
      <c r="AF212" s="1436"/>
    </row>
    <row r="213" spans="1:32">
      <c r="A213" s="1436"/>
      <c r="B213" s="1436"/>
      <c r="C213" s="1436"/>
      <c r="D213" s="1436"/>
      <c r="E213" s="1436"/>
      <c r="F213" s="1436"/>
      <c r="G213" s="1436"/>
      <c r="H213" s="1436"/>
      <c r="I213" s="1436"/>
      <c r="J213" s="1436"/>
      <c r="K213" s="1436"/>
      <c r="L213" s="1436"/>
      <c r="M213" s="1436"/>
      <c r="N213" s="1436"/>
      <c r="O213" s="1436"/>
      <c r="P213" s="1436"/>
      <c r="Q213" s="1436"/>
      <c r="R213" s="1436"/>
      <c r="S213" s="1436"/>
      <c r="T213" s="1436"/>
      <c r="U213" s="1436"/>
      <c r="V213" s="1436"/>
      <c r="W213" s="1436"/>
      <c r="X213" s="1436"/>
      <c r="Y213" s="1436"/>
      <c r="Z213" s="1436"/>
      <c r="AA213" s="1436"/>
      <c r="AB213" s="1436"/>
      <c r="AC213" s="1436"/>
      <c r="AD213" s="1436"/>
      <c r="AE213" s="1436"/>
      <c r="AF213" s="1436"/>
    </row>
    <row r="214" spans="1:32">
      <c r="A214" s="1436"/>
      <c r="B214" s="1436"/>
      <c r="C214" s="1436"/>
      <c r="D214" s="1436"/>
      <c r="E214" s="1436"/>
      <c r="F214" s="1436"/>
      <c r="G214" s="1436"/>
      <c r="H214" s="1436"/>
      <c r="I214" s="1436"/>
      <c r="J214" s="1436"/>
      <c r="K214" s="1436"/>
      <c r="L214" s="1436"/>
      <c r="M214" s="1436"/>
      <c r="N214" s="1436"/>
      <c r="O214" s="1436"/>
      <c r="P214" s="1436"/>
      <c r="Q214" s="1436"/>
      <c r="R214" s="1436"/>
      <c r="S214" s="1436"/>
      <c r="T214" s="1436"/>
      <c r="U214" s="1436"/>
      <c r="V214" s="1436"/>
      <c r="W214" s="1436"/>
      <c r="X214" s="1436"/>
      <c r="Y214" s="1436"/>
      <c r="Z214" s="1436"/>
      <c r="AA214" s="1436"/>
      <c r="AB214" s="1436"/>
      <c r="AC214" s="1436"/>
      <c r="AD214" s="1436"/>
      <c r="AE214" s="1436"/>
      <c r="AF214" s="1436"/>
    </row>
    <row r="215" spans="1:32">
      <c r="A215" s="1436"/>
      <c r="B215" s="1436"/>
      <c r="C215" s="1436"/>
      <c r="D215" s="1436"/>
      <c r="E215" s="1436"/>
      <c r="F215" s="1436"/>
      <c r="G215" s="1436"/>
      <c r="H215" s="1436"/>
      <c r="I215" s="1436"/>
      <c r="J215" s="1436"/>
      <c r="K215" s="1436"/>
      <c r="L215" s="1436"/>
      <c r="M215" s="1436"/>
      <c r="N215" s="1436"/>
      <c r="O215" s="1436"/>
      <c r="P215" s="1436"/>
      <c r="Q215" s="1436"/>
      <c r="R215" s="1436"/>
      <c r="S215" s="1436"/>
      <c r="T215" s="1436"/>
      <c r="U215" s="1436"/>
      <c r="V215" s="1436"/>
      <c r="W215" s="1436"/>
      <c r="X215" s="1436"/>
      <c r="Y215" s="1436"/>
      <c r="Z215" s="1436"/>
      <c r="AA215" s="1436"/>
      <c r="AB215" s="1436"/>
      <c r="AC215" s="1436"/>
      <c r="AD215" s="1436"/>
      <c r="AE215" s="1436"/>
      <c r="AF215" s="1436"/>
    </row>
    <row r="216" spans="1:32">
      <c r="A216" s="1436"/>
      <c r="B216" s="1436"/>
      <c r="C216" s="1436"/>
      <c r="D216" s="1436"/>
      <c r="E216" s="1436"/>
      <c r="F216" s="1436"/>
      <c r="G216" s="1436"/>
      <c r="H216" s="1436"/>
      <c r="I216" s="1436"/>
      <c r="J216" s="1436"/>
      <c r="K216" s="1436"/>
      <c r="L216" s="1436"/>
      <c r="M216" s="1436"/>
      <c r="N216" s="1436"/>
      <c r="O216" s="1436"/>
      <c r="P216" s="1436"/>
      <c r="Q216" s="1436"/>
      <c r="R216" s="1436"/>
      <c r="S216" s="1436"/>
      <c r="T216" s="1436"/>
      <c r="U216" s="1436"/>
      <c r="V216" s="1436"/>
      <c r="W216" s="1436"/>
      <c r="X216" s="1436"/>
      <c r="Y216" s="1436"/>
      <c r="Z216" s="1436"/>
      <c r="AA216" s="1436"/>
      <c r="AB216" s="1436"/>
      <c r="AC216" s="1436"/>
      <c r="AD216" s="1436"/>
      <c r="AE216" s="1436"/>
      <c r="AF216" s="1436"/>
    </row>
    <row r="217" spans="1:32">
      <c r="A217" s="1436"/>
      <c r="B217" s="1436"/>
      <c r="C217" s="1436"/>
      <c r="D217" s="1436"/>
      <c r="E217" s="1436"/>
      <c r="F217" s="1436"/>
      <c r="G217" s="1436"/>
      <c r="H217" s="1436"/>
      <c r="I217" s="1436"/>
      <c r="J217" s="1436"/>
      <c r="K217" s="1436"/>
      <c r="L217" s="1436"/>
      <c r="M217" s="1436"/>
      <c r="N217" s="1436"/>
      <c r="O217" s="1436"/>
      <c r="P217" s="1436"/>
      <c r="Q217" s="1436"/>
      <c r="R217" s="1436"/>
      <c r="S217" s="1436"/>
      <c r="T217" s="1436"/>
      <c r="U217" s="1436"/>
      <c r="V217" s="1436"/>
      <c r="W217" s="1436"/>
      <c r="X217" s="1436"/>
      <c r="Y217" s="1436"/>
      <c r="Z217" s="1436"/>
      <c r="AA217" s="1436"/>
      <c r="AB217" s="1436"/>
      <c r="AC217" s="1436"/>
      <c r="AD217" s="1436"/>
      <c r="AE217" s="1436"/>
      <c r="AF217" s="1436"/>
    </row>
    <row r="218" spans="1:32">
      <c r="A218" s="1436"/>
      <c r="B218" s="1436"/>
      <c r="C218" s="1436"/>
      <c r="D218" s="1436"/>
      <c r="E218" s="1436"/>
      <c r="F218" s="1436"/>
      <c r="G218" s="1436"/>
      <c r="H218" s="1436"/>
      <c r="I218" s="1436"/>
      <c r="J218" s="1436"/>
      <c r="K218" s="1436"/>
      <c r="L218" s="1436"/>
      <c r="M218" s="1436"/>
      <c r="N218" s="1436"/>
      <c r="O218" s="1436"/>
      <c r="P218" s="1436"/>
      <c r="Q218" s="1436"/>
      <c r="R218" s="1436"/>
      <c r="S218" s="1436"/>
      <c r="T218" s="1436"/>
      <c r="U218" s="1436"/>
      <c r="V218" s="1436"/>
      <c r="W218" s="1436"/>
      <c r="X218" s="1436"/>
      <c r="Y218" s="1436"/>
      <c r="Z218" s="1436"/>
      <c r="AA218" s="1436"/>
      <c r="AB218" s="1436"/>
      <c r="AC218" s="1436"/>
      <c r="AD218" s="1436"/>
      <c r="AE218" s="1436"/>
      <c r="AF218" s="1436"/>
    </row>
    <row r="219" spans="1:32">
      <c r="A219" s="1436"/>
      <c r="B219" s="1436"/>
      <c r="C219" s="1436"/>
      <c r="D219" s="1436"/>
      <c r="E219" s="1436"/>
      <c r="F219" s="1436"/>
      <c r="G219" s="1436"/>
      <c r="H219" s="1436"/>
      <c r="I219" s="1436"/>
      <c r="J219" s="1436"/>
      <c r="K219" s="1436"/>
      <c r="L219" s="1436"/>
      <c r="M219" s="1436"/>
      <c r="N219" s="1436"/>
      <c r="O219" s="1436"/>
      <c r="P219" s="1436"/>
      <c r="Q219" s="1436"/>
      <c r="R219" s="1436"/>
      <c r="S219" s="1436"/>
      <c r="T219" s="1436"/>
      <c r="U219" s="1436"/>
      <c r="V219" s="1436"/>
      <c r="W219" s="1436"/>
      <c r="X219" s="1436"/>
      <c r="Y219" s="1436"/>
      <c r="Z219" s="1436"/>
      <c r="AA219" s="1436"/>
      <c r="AB219" s="1436"/>
      <c r="AC219" s="1436"/>
      <c r="AD219" s="1436"/>
      <c r="AE219" s="1436"/>
      <c r="AF219" s="1436"/>
    </row>
    <row r="220" spans="1:32">
      <c r="A220" s="1436"/>
      <c r="B220" s="1436"/>
      <c r="C220" s="1436"/>
      <c r="D220" s="1436"/>
      <c r="E220" s="1436"/>
      <c r="F220" s="1436"/>
      <c r="G220" s="1436"/>
      <c r="H220" s="1436"/>
      <c r="I220" s="1436"/>
      <c r="J220" s="1436"/>
      <c r="K220" s="1436"/>
      <c r="L220" s="1436"/>
      <c r="M220" s="1436"/>
      <c r="N220" s="1436"/>
      <c r="O220" s="1436"/>
      <c r="P220" s="1436"/>
      <c r="Q220" s="1436"/>
      <c r="R220" s="1436"/>
      <c r="S220" s="1436"/>
      <c r="T220" s="1436"/>
      <c r="U220" s="1436"/>
      <c r="V220" s="1436"/>
      <c r="W220" s="1436"/>
      <c r="X220" s="1436"/>
      <c r="Y220" s="1436"/>
      <c r="Z220" s="1436"/>
      <c r="AA220" s="1436"/>
      <c r="AB220" s="1436"/>
      <c r="AC220" s="1436"/>
      <c r="AD220" s="1436"/>
      <c r="AE220" s="1436"/>
      <c r="AF220" s="1436"/>
    </row>
    <row r="221" spans="1:32">
      <c r="A221" s="1436"/>
      <c r="B221" s="1436"/>
      <c r="C221" s="1436"/>
      <c r="D221" s="1436"/>
      <c r="E221" s="1436"/>
      <c r="F221" s="1436"/>
      <c r="G221" s="1436"/>
      <c r="H221" s="1436"/>
      <c r="I221" s="1436"/>
      <c r="J221" s="1436"/>
      <c r="K221" s="1436"/>
      <c r="L221" s="1436"/>
      <c r="M221" s="1436"/>
      <c r="N221" s="1436"/>
      <c r="O221" s="1436"/>
      <c r="P221" s="1436"/>
      <c r="Q221" s="1436"/>
      <c r="R221" s="1436"/>
      <c r="S221" s="1436"/>
      <c r="T221" s="1436"/>
      <c r="U221" s="1436"/>
      <c r="V221" s="1436"/>
      <c r="W221" s="1436"/>
      <c r="X221" s="1436"/>
      <c r="Y221" s="1436"/>
      <c r="Z221" s="1436"/>
      <c r="AA221" s="1436"/>
      <c r="AB221" s="1436"/>
      <c r="AC221" s="1436"/>
      <c r="AD221" s="1436"/>
      <c r="AE221" s="1436"/>
      <c r="AF221" s="1436"/>
    </row>
    <row r="222" spans="1:32">
      <c r="A222" s="1436"/>
      <c r="B222" s="1436"/>
      <c r="C222" s="1436"/>
      <c r="D222" s="1436"/>
      <c r="E222" s="1436"/>
      <c r="F222" s="1436"/>
      <c r="G222" s="1436"/>
      <c r="H222" s="1436"/>
      <c r="I222" s="1436"/>
      <c r="J222" s="1436"/>
      <c r="K222" s="1436"/>
      <c r="L222" s="1436"/>
      <c r="M222" s="1436"/>
      <c r="N222" s="1436"/>
      <c r="O222" s="1436"/>
      <c r="P222" s="1436"/>
      <c r="Q222" s="1436"/>
      <c r="R222" s="1436"/>
      <c r="S222" s="1436"/>
      <c r="T222" s="1436"/>
      <c r="U222" s="1436"/>
      <c r="V222" s="1436"/>
      <c r="W222" s="1436"/>
      <c r="X222" s="1436"/>
      <c r="Y222" s="1436"/>
      <c r="Z222" s="1436"/>
      <c r="AA222" s="1436"/>
      <c r="AB222" s="1436"/>
      <c r="AC222" s="1436"/>
      <c r="AD222" s="1436"/>
      <c r="AE222" s="1436"/>
      <c r="AF222" s="1436"/>
    </row>
    <row r="223" spans="1:32">
      <c r="A223" s="1436"/>
      <c r="B223" s="1436"/>
      <c r="C223" s="1436"/>
      <c r="D223" s="1436"/>
      <c r="E223" s="1436"/>
      <c r="F223" s="1436"/>
      <c r="G223" s="1436"/>
      <c r="H223" s="1436"/>
      <c r="I223" s="1436"/>
      <c r="J223" s="1436"/>
      <c r="K223" s="1436"/>
      <c r="L223" s="1436"/>
      <c r="M223" s="1436"/>
      <c r="N223" s="1436"/>
      <c r="O223" s="1436"/>
      <c r="P223" s="1436"/>
      <c r="Q223" s="1436"/>
      <c r="R223" s="1436"/>
      <c r="S223" s="1436"/>
      <c r="T223" s="1436"/>
      <c r="U223" s="1436"/>
      <c r="V223" s="1436"/>
      <c r="W223" s="1436"/>
      <c r="X223" s="1436"/>
      <c r="Y223" s="1436"/>
      <c r="Z223" s="1436"/>
      <c r="AA223" s="1436"/>
      <c r="AB223" s="1436"/>
      <c r="AC223" s="1436"/>
      <c r="AD223" s="1436"/>
      <c r="AE223" s="1436"/>
      <c r="AF223" s="1436"/>
    </row>
    <row r="224" spans="1:32">
      <c r="A224" s="1436"/>
      <c r="B224" s="1436"/>
      <c r="C224" s="1436"/>
      <c r="D224" s="1436"/>
      <c r="E224" s="1436"/>
      <c r="F224" s="1436"/>
      <c r="G224" s="1436"/>
      <c r="H224" s="1436"/>
      <c r="I224" s="1436"/>
      <c r="J224" s="1436"/>
      <c r="K224" s="1436"/>
      <c r="L224" s="1436"/>
      <c r="M224" s="1436"/>
      <c r="N224" s="1436"/>
      <c r="O224" s="1436"/>
      <c r="P224" s="1436"/>
      <c r="Q224" s="1436"/>
      <c r="R224" s="1436"/>
      <c r="S224" s="1436"/>
      <c r="T224" s="1436"/>
      <c r="U224" s="1436"/>
      <c r="V224" s="1436"/>
      <c r="W224" s="1436"/>
      <c r="X224" s="1436"/>
      <c r="Y224" s="1436"/>
      <c r="Z224" s="1436"/>
      <c r="AA224" s="1436"/>
      <c r="AB224" s="1436"/>
      <c r="AC224" s="1436"/>
      <c r="AD224" s="1436"/>
      <c r="AE224" s="1436"/>
      <c r="AF224" s="1436"/>
    </row>
    <row r="225" spans="1:32">
      <c r="A225" s="1436"/>
      <c r="B225" s="1436"/>
      <c r="C225" s="1436"/>
      <c r="D225" s="1436"/>
      <c r="E225" s="1436"/>
      <c r="F225" s="1436"/>
      <c r="G225" s="1436"/>
      <c r="H225" s="1436"/>
      <c r="I225" s="1436"/>
      <c r="J225" s="1436"/>
      <c r="K225" s="1436"/>
      <c r="L225" s="1436"/>
      <c r="M225" s="1436"/>
      <c r="N225" s="1436"/>
      <c r="O225" s="1436"/>
      <c r="P225" s="1436"/>
      <c r="Q225" s="1436"/>
      <c r="R225" s="1436"/>
      <c r="S225" s="1436"/>
      <c r="T225" s="1436"/>
      <c r="U225" s="1436"/>
      <c r="V225" s="1436"/>
      <c r="W225" s="1436"/>
      <c r="X225" s="1436"/>
      <c r="Y225" s="1436"/>
      <c r="Z225" s="1436"/>
      <c r="AA225" s="1436"/>
      <c r="AB225" s="1436"/>
      <c r="AC225" s="1436"/>
      <c r="AD225" s="1436"/>
      <c r="AE225" s="1436"/>
      <c r="AF225" s="1436"/>
    </row>
    <row r="226" spans="1:32">
      <c r="A226" s="1436"/>
      <c r="B226" s="1436"/>
      <c r="C226" s="1436"/>
      <c r="D226" s="1436"/>
      <c r="E226" s="1436"/>
      <c r="F226" s="1436"/>
      <c r="G226" s="1436"/>
      <c r="H226" s="1436"/>
      <c r="I226" s="1436"/>
      <c r="J226" s="1436"/>
      <c r="K226" s="1436"/>
      <c r="L226" s="1436"/>
      <c r="M226" s="1436"/>
      <c r="N226" s="1436"/>
      <c r="O226" s="1436"/>
      <c r="P226" s="1436"/>
      <c r="Q226" s="1436"/>
      <c r="R226" s="1436"/>
      <c r="S226" s="1436"/>
      <c r="T226" s="1436"/>
      <c r="U226" s="1436"/>
      <c r="V226" s="1436"/>
      <c r="W226" s="1436"/>
      <c r="X226" s="1436"/>
      <c r="Y226" s="1436"/>
      <c r="Z226" s="1436"/>
      <c r="AA226" s="1436"/>
      <c r="AB226" s="1436"/>
      <c r="AC226" s="1436"/>
      <c r="AD226" s="1436"/>
      <c r="AE226" s="1436"/>
      <c r="AF226" s="1436"/>
    </row>
    <row r="227" spans="1:32">
      <c r="A227" s="1436"/>
      <c r="B227" s="1436"/>
      <c r="C227" s="1436"/>
      <c r="D227" s="1436"/>
      <c r="E227" s="1436"/>
      <c r="F227" s="1436"/>
      <c r="G227" s="1436"/>
      <c r="H227" s="1436"/>
      <c r="I227" s="1436"/>
      <c r="J227" s="1436"/>
      <c r="K227" s="1436"/>
      <c r="L227" s="1436"/>
      <c r="M227" s="1436"/>
      <c r="N227" s="1436"/>
      <c r="O227" s="1436"/>
      <c r="P227" s="1436"/>
      <c r="Q227" s="1436"/>
      <c r="R227" s="1436"/>
      <c r="S227" s="1436"/>
      <c r="T227" s="1436"/>
      <c r="U227" s="1436"/>
      <c r="V227" s="1436"/>
      <c r="W227" s="1436"/>
      <c r="X227" s="1436"/>
      <c r="Y227" s="1436"/>
      <c r="Z227" s="1436"/>
      <c r="AA227" s="1436"/>
      <c r="AB227" s="1436"/>
      <c r="AC227" s="1436"/>
      <c r="AD227" s="1436"/>
      <c r="AE227" s="1436"/>
      <c r="AF227" s="1436"/>
    </row>
    <row r="228" spans="1:32">
      <c r="A228" s="1436"/>
      <c r="B228" s="1436"/>
      <c r="C228" s="1436"/>
      <c r="D228" s="1436"/>
      <c r="E228" s="1436"/>
      <c r="F228" s="1436"/>
      <c r="G228" s="1436"/>
      <c r="H228" s="1436"/>
      <c r="I228" s="1436"/>
      <c r="J228" s="1436"/>
      <c r="K228" s="1436"/>
      <c r="L228" s="1436"/>
      <c r="M228" s="1436"/>
      <c r="N228" s="1436"/>
      <c r="O228" s="1436"/>
      <c r="P228" s="1436"/>
      <c r="Q228" s="1436"/>
      <c r="R228" s="1436"/>
      <c r="S228" s="1436"/>
      <c r="T228" s="1436"/>
      <c r="U228" s="1436"/>
      <c r="V228" s="1436"/>
      <c r="W228" s="1436"/>
      <c r="X228" s="1436"/>
      <c r="Y228" s="1436"/>
      <c r="Z228" s="1436"/>
      <c r="AA228" s="1436"/>
      <c r="AB228" s="1436"/>
      <c r="AC228" s="1436"/>
      <c r="AD228" s="1436"/>
      <c r="AE228" s="1436"/>
      <c r="AF228" s="1436"/>
    </row>
    <row r="229" spans="1:32">
      <c r="A229" s="1436"/>
      <c r="B229" s="1436"/>
      <c r="C229" s="1436"/>
      <c r="D229" s="1436"/>
      <c r="E229" s="1436"/>
      <c r="F229" s="1436"/>
      <c r="G229" s="1436"/>
      <c r="H229" s="1436"/>
      <c r="I229" s="1436"/>
      <c r="J229" s="1436"/>
      <c r="K229" s="1436"/>
      <c r="L229" s="1436"/>
      <c r="M229" s="1436"/>
      <c r="N229" s="1436"/>
      <c r="O229" s="1436"/>
      <c r="P229" s="1436"/>
      <c r="Q229" s="1436"/>
      <c r="R229" s="1436"/>
      <c r="S229" s="1436"/>
      <c r="T229" s="1436"/>
      <c r="U229" s="1436"/>
      <c r="V229" s="1436"/>
      <c r="W229" s="1436"/>
      <c r="X229" s="1436"/>
      <c r="Y229" s="1436"/>
      <c r="Z229" s="1436"/>
      <c r="AA229" s="1436"/>
      <c r="AB229" s="1436"/>
      <c r="AC229" s="1436"/>
      <c r="AD229" s="1436"/>
      <c r="AE229" s="1436"/>
      <c r="AF229" s="1436"/>
    </row>
    <row r="230" spans="1:32">
      <c r="A230" s="1436"/>
      <c r="B230" s="1436"/>
      <c r="C230" s="1436"/>
      <c r="D230" s="1436"/>
      <c r="E230" s="1436"/>
      <c r="F230" s="1436"/>
      <c r="G230" s="1436"/>
      <c r="H230" s="1436"/>
      <c r="I230" s="1436"/>
      <c r="J230" s="1436"/>
      <c r="K230" s="1436"/>
      <c r="L230" s="1436"/>
      <c r="M230" s="1436"/>
      <c r="N230" s="1436"/>
      <c r="O230" s="1436"/>
      <c r="P230" s="1436"/>
      <c r="Q230" s="1436"/>
      <c r="R230" s="1436"/>
      <c r="S230" s="1436"/>
      <c r="T230" s="1436"/>
      <c r="U230" s="1436"/>
      <c r="V230" s="1436"/>
      <c r="W230" s="1436"/>
      <c r="X230" s="1436"/>
      <c r="Y230" s="1436"/>
      <c r="Z230" s="1436"/>
      <c r="AA230" s="1436"/>
      <c r="AB230" s="1436"/>
      <c r="AC230" s="1436"/>
      <c r="AD230" s="1436"/>
      <c r="AE230" s="1436"/>
      <c r="AF230" s="1436"/>
    </row>
    <row r="231" spans="1:32">
      <c r="A231" s="1436"/>
      <c r="B231" s="1436"/>
      <c r="C231" s="1436"/>
      <c r="D231" s="1436"/>
      <c r="E231" s="1436"/>
      <c r="F231" s="1436"/>
      <c r="G231" s="1436"/>
      <c r="H231" s="1436"/>
      <c r="I231" s="1436"/>
      <c r="J231" s="1436"/>
      <c r="K231" s="1436"/>
      <c r="L231" s="1436"/>
      <c r="M231" s="1436"/>
      <c r="N231" s="1436"/>
      <c r="O231" s="1436"/>
      <c r="P231" s="1436"/>
      <c r="Q231" s="1436"/>
      <c r="R231" s="1436"/>
      <c r="S231" s="1436"/>
      <c r="T231" s="1436"/>
      <c r="U231" s="1436"/>
      <c r="V231" s="1436"/>
      <c r="W231" s="1436"/>
      <c r="X231" s="1436"/>
      <c r="Y231" s="1436"/>
      <c r="Z231" s="1436"/>
      <c r="AA231" s="1436"/>
      <c r="AB231" s="1436"/>
      <c r="AC231" s="1436"/>
      <c r="AD231" s="1436"/>
      <c r="AE231" s="1436"/>
      <c r="AF231" s="1436"/>
    </row>
    <row r="232" spans="1:32">
      <c r="A232" s="1436"/>
      <c r="B232" s="1436"/>
      <c r="C232" s="1436"/>
      <c r="D232" s="1436"/>
      <c r="E232" s="1436"/>
      <c r="F232" s="1436"/>
      <c r="G232" s="1436"/>
      <c r="H232" s="1436"/>
      <c r="I232" s="1436"/>
      <c r="J232" s="1436"/>
      <c r="K232" s="1436"/>
      <c r="L232" s="1436"/>
      <c r="M232" s="1436"/>
      <c r="N232" s="1436"/>
      <c r="O232" s="1436"/>
      <c r="P232" s="1436"/>
      <c r="Q232" s="1436"/>
      <c r="R232" s="1436"/>
      <c r="S232" s="1436"/>
      <c r="T232" s="1436"/>
      <c r="U232" s="1436"/>
      <c r="V232" s="1436"/>
      <c r="W232" s="1436"/>
      <c r="X232" s="1436"/>
      <c r="Y232" s="1436"/>
      <c r="Z232" s="1436"/>
      <c r="AA232" s="1436"/>
      <c r="AB232" s="1436"/>
      <c r="AC232" s="1436"/>
      <c r="AD232" s="1436"/>
      <c r="AE232" s="1436"/>
      <c r="AF232" s="1436"/>
    </row>
    <row r="233" spans="1:32">
      <c r="A233" s="1436"/>
      <c r="B233" s="1436"/>
      <c r="C233" s="1436"/>
      <c r="D233" s="1436"/>
      <c r="E233" s="1436"/>
      <c r="F233" s="1436"/>
      <c r="G233" s="1436"/>
      <c r="H233" s="1436"/>
      <c r="I233" s="1436"/>
      <c r="J233" s="1436"/>
      <c r="K233" s="1436"/>
      <c r="L233" s="1436"/>
      <c r="M233" s="1436"/>
      <c r="N233" s="1436"/>
      <c r="O233" s="1436"/>
      <c r="P233" s="1436"/>
      <c r="Q233" s="1436"/>
      <c r="R233" s="1436"/>
      <c r="S233" s="1436"/>
      <c r="T233" s="1436"/>
      <c r="U233" s="1436"/>
      <c r="V233" s="1436"/>
      <c r="W233" s="1436"/>
      <c r="X233" s="1436"/>
      <c r="Y233" s="1436"/>
      <c r="Z233" s="1436"/>
      <c r="AA233" s="1436"/>
      <c r="AB233" s="1436"/>
      <c r="AC233" s="1436"/>
      <c r="AD233" s="1436"/>
      <c r="AE233" s="1436"/>
      <c r="AF233" s="1436"/>
    </row>
    <row r="234" spans="1:32">
      <c r="A234" s="1436"/>
      <c r="B234" s="1436"/>
      <c r="C234" s="1436"/>
      <c r="D234" s="1436"/>
      <c r="E234" s="1436"/>
      <c r="F234" s="1436"/>
      <c r="G234" s="1436"/>
      <c r="H234" s="1436"/>
      <c r="I234" s="1436"/>
      <c r="J234" s="1436"/>
      <c r="K234" s="1436"/>
      <c r="L234" s="1436"/>
      <c r="M234" s="1436"/>
      <c r="N234" s="1436"/>
      <c r="O234" s="1436"/>
      <c r="P234" s="1436"/>
      <c r="Q234" s="1436"/>
      <c r="R234" s="1436"/>
      <c r="S234" s="1436"/>
      <c r="T234" s="1436"/>
      <c r="U234" s="1436"/>
      <c r="V234" s="1436"/>
      <c r="W234" s="1436"/>
      <c r="X234" s="1436"/>
      <c r="Y234" s="1436"/>
      <c r="Z234" s="1436"/>
      <c r="AA234" s="1436"/>
      <c r="AB234" s="1436"/>
      <c r="AC234" s="1436"/>
      <c r="AD234" s="1436"/>
      <c r="AE234" s="1436"/>
      <c r="AF234" s="1436"/>
    </row>
    <row r="235" spans="1:32">
      <c r="A235" s="1436"/>
      <c r="B235" s="1436"/>
      <c r="C235" s="1436"/>
      <c r="D235" s="1436"/>
      <c r="E235" s="1436"/>
      <c r="F235" s="1436"/>
      <c r="G235" s="1436"/>
      <c r="H235" s="1436"/>
      <c r="I235" s="1436"/>
      <c r="J235" s="1436"/>
      <c r="K235" s="1436"/>
      <c r="L235" s="1436"/>
      <c r="M235" s="1436"/>
      <c r="N235" s="1436"/>
      <c r="O235" s="1436"/>
      <c r="P235" s="1436"/>
      <c r="Q235" s="1436"/>
      <c r="R235" s="1436"/>
      <c r="S235" s="1436"/>
      <c r="T235" s="1436"/>
      <c r="U235" s="1436"/>
      <c r="V235" s="1436"/>
      <c r="W235" s="1436"/>
      <c r="X235" s="1436"/>
      <c r="Y235" s="1436"/>
      <c r="Z235" s="1436"/>
      <c r="AA235" s="1436"/>
      <c r="AB235" s="1436"/>
      <c r="AC235" s="1436"/>
      <c r="AD235" s="1436"/>
      <c r="AE235" s="1436"/>
      <c r="AF235" s="1436"/>
    </row>
    <row r="236" spans="1:32">
      <c r="A236" s="1436"/>
      <c r="B236" s="1436"/>
      <c r="C236" s="1436"/>
      <c r="D236" s="1436"/>
      <c r="E236" s="1436"/>
      <c r="F236" s="1436"/>
      <c r="G236" s="1436"/>
      <c r="H236" s="1436"/>
      <c r="I236" s="1436"/>
      <c r="J236" s="1436"/>
      <c r="K236" s="1436"/>
      <c r="L236" s="1436"/>
      <c r="M236" s="1436"/>
      <c r="N236" s="1436"/>
      <c r="O236" s="1436"/>
      <c r="P236" s="1436"/>
      <c r="Q236" s="1436"/>
      <c r="R236" s="1436"/>
      <c r="S236" s="1436"/>
      <c r="T236" s="1436"/>
      <c r="U236" s="1436"/>
      <c r="V236" s="1436"/>
      <c r="W236" s="1436"/>
      <c r="X236" s="1436"/>
      <c r="Y236" s="1436"/>
      <c r="Z236" s="1436"/>
      <c r="AA236" s="1436"/>
      <c r="AB236" s="1436"/>
      <c r="AC236" s="1436"/>
      <c r="AD236" s="1436"/>
      <c r="AE236" s="1436"/>
      <c r="AF236" s="1436"/>
    </row>
    <row r="237" spans="1:32">
      <c r="A237" s="1436"/>
      <c r="B237" s="1436"/>
      <c r="C237" s="1436"/>
      <c r="D237" s="1436"/>
      <c r="E237" s="1436"/>
      <c r="F237" s="1436"/>
      <c r="G237" s="1436"/>
      <c r="H237" s="1436"/>
      <c r="I237" s="1436"/>
      <c r="J237" s="1436"/>
      <c r="K237" s="1436"/>
      <c r="L237" s="1436"/>
      <c r="M237" s="1436"/>
      <c r="N237" s="1436"/>
      <c r="O237" s="1436"/>
      <c r="P237" s="1436"/>
      <c r="Q237" s="1436"/>
      <c r="R237" s="1436"/>
      <c r="S237" s="1436"/>
      <c r="T237" s="1436"/>
      <c r="U237" s="1436"/>
      <c r="V237" s="1436"/>
      <c r="W237" s="1436"/>
      <c r="X237" s="1436"/>
      <c r="Y237" s="1436"/>
      <c r="Z237" s="1436"/>
      <c r="AA237" s="1436"/>
      <c r="AB237" s="1436"/>
      <c r="AC237" s="1436"/>
      <c r="AD237" s="1436"/>
      <c r="AE237" s="1436"/>
      <c r="AF237" s="1436"/>
    </row>
    <row r="238" spans="1:32">
      <c r="A238" s="1436"/>
      <c r="B238" s="1436"/>
      <c r="C238" s="1436"/>
      <c r="D238" s="1436"/>
      <c r="E238" s="1436"/>
      <c r="F238" s="1436"/>
      <c r="G238" s="1436"/>
      <c r="H238" s="1436"/>
      <c r="I238" s="1436"/>
      <c r="J238" s="1436"/>
      <c r="K238" s="1436"/>
      <c r="L238" s="1436"/>
      <c r="M238" s="1436"/>
      <c r="N238" s="1436"/>
      <c r="O238" s="1436"/>
      <c r="P238" s="1436"/>
      <c r="Q238" s="1436"/>
      <c r="R238" s="1436"/>
      <c r="S238" s="1436"/>
      <c r="T238" s="1436"/>
      <c r="U238" s="1436"/>
      <c r="V238" s="1436"/>
      <c r="W238" s="1436"/>
      <c r="X238" s="1436"/>
      <c r="Y238" s="1436"/>
      <c r="Z238" s="1436"/>
      <c r="AA238" s="1436"/>
      <c r="AB238" s="1436"/>
      <c r="AC238" s="1436"/>
      <c r="AD238" s="1436"/>
      <c r="AE238" s="1436"/>
      <c r="AF238" s="1436"/>
    </row>
    <row r="239" spans="1:32">
      <c r="A239" s="1436"/>
      <c r="B239" s="1436"/>
      <c r="C239" s="1436"/>
      <c r="D239" s="1436"/>
      <c r="E239" s="1436"/>
      <c r="F239" s="1436"/>
      <c r="G239" s="1436"/>
      <c r="H239" s="1436"/>
      <c r="I239" s="1436"/>
      <c r="J239" s="1436"/>
      <c r="K239" s="1436"/>
      <c r="L239" s="1436"/>
      <c r="M239" s="1436"/>
      <c r="N239" s="1436"/>
      <c r="O239" s="1436"/>
      <c r="P239" s="1436"/>
      <c r="Q239" s="1436"/>
      <c r="R239" s="1436"/>
      <c r="S239" s="1436"/>
      <c r="T239" s="1436"/>
      <c r="U239" s="1436"/>
      <c r="V239" s="1436"/>
      <c r="W239" s="1436"/>
      <c r="X239" s="1436"/>
      <c r="Y239" s="1436"/>
      <c r="Z239" s="1436"/>
      <c r="AA239" s="1436"/>
      <c r="AB239" s="1436"/>
      <c r="AC239" s="1436"/>
      <c r="AD239" s="1436"/>
      <c r="AE239" s="1436"/>
      <c r="AF239" s="1436"/>
    </row>
    <row r="240" spans="1:32">
      <c r="A240" s="1436"/>
      <c r="B240" s="1436"/>
      <c r="C240" s="1436"/>
      <c r="D240" s="1436"/>
      <c r="E240" s="1436"/>
      <c r="F240" s="1436"/>
      <c r="G240" s="1436"/>
      <c r="H240" s="1436"/>
      <c r="I240" s="1436"/>
      <c r="J240" s="1436"/>
      <c r="K240" s="1436"/>
      <c r="L240" s="1436"/>
      <c r="M240" s="1436"/>
      <c r="N240" s="1436"/>
      <c r="O240" s="1436"/>
      <c r="P240" s="1436"/>
      <c r="Q240" s="1436"/>
      <c r="R240" s="1436"/>
      <c r="S240" s="1436"/>
      <c r="T240" s="1436"/>
      <c r="U240" s="1436"/>
      <c r="V240" s="1436"/>
      <c r="W240" s="1436"/>
      <c r="X240" s="1436"/>
      <c r="Y240" s="1436"/>
      <c r="Z240" s="1436"/>
      <c r="AA240" s="1436"/>
      <c r="AB240" s="1436"/>
      <c r="AC240" s="1436"/>
      <c r="AD240" s="1436"/>
      <c r="AE240" s="1436"/>
      <c r="AF240" s="1436"/>
    </row>
    <row r="241" spans="1:32">
      <c r="A241" s="1436"/>
      <c r="B241" s="1436"/>
      <c r="C241" s="1436"/>
      <c r="D241" s="1436"/>
      <c r="E241" s="1436"/>
      <c r="F241" s="1436"/>
      <c r="G241" s="1436"/>
      <c r="H241" s="1436"/>
      <c r="I241" s="1436"/>
      <c r="J241" s="1436"/>
      <c r="K241" s="1436"/>
      <c r="L241" s="1436"/>
      <c r="M241" s="1436"/>
      <c r="N241" s="1436"/>
      <c r="O241" s="1436"/>
      <c r="P241" s="1436"/>
      <c r="Q241" s="1436"/>
      <c r="R241" s="1436"/>
      <c r="S241" s="1436"/>
      <c r="T241" s="1436"/>
      <c r="U241" s="1436"/>
      <c r="V241" s="1436"/>
      <c r="W241" s="1436"/>
      <c r="X241" s="1436"/>
      <c r="Y241" s="1436"/>
      <c r="Z241" s="1436"/>
      <c r="AA241" s="1436"/>
      <c r="AB241" s="1436"/>
      <c r="AC241" s="1436"/>
      <c r="AD241" s="1436"/>
      <c r="AE241" s="1436"/>
      <c r="AF241" s="1436"/>
    </row>
    <row r="242" spans="1:32">
      <c r="A242" s="1436"/>
      <c r="B242" s="1436"/>
      <c r="C242" s="1436"/>
      <c r="D242" s="1436"/>
      <c r="E242" s="1436"/>
      <c r="F242" s="1436"/>
      <c r="G242" s="1436"/>
      <c r="H242" s="1436"/>
      <c r="I242" s="1436"/>
      <c r="J242" s="1436"/>
      <c r="K242" s="1436"/>
      <c r="L242" s="1436"/>
      <c r="M242" s="1436"/>
      <c r="N242" s="1436"/>
      <c r="O242" s="1436"/>
      <c r="P242" s="1436"/>
      <c r="Q242" s="1436"/>
      <c r="R242" s="1436"/>
      <c r="S242" s="1436"/>
      <c r="T242" s="1436"/>
      <c r="U242" s="1436"/>
      <c r="V242" s="1436"/>
      <c r="W242" s="1436"/>
      <c r="X242" s="1436"/>
      <c r="Y242" s="1436"/>
      <c r="Z242" s="1436"/>
      <c r="AA242" s="1436"/>
      <c r="AB242" s="1436"/>
      <c r="AC242" s="1436"/>
      <c r="AD242" s="1436"/>
      <c r="AE242" s="1436"/>
      <c r="AF242" s="1436"/>
    </row>
    <row r="243" spans="1:32">
      <c r="A243" s="1436"/>
      <c r="B243" s="1436"/>
      <c r="C243" s="1436"/>
      <c r="D243" s="1436"/>
      <c r="E243" s="1436"/>
      <c r="F243" s="1436"/>
      <c r="G243" s="1436"/>
      <c r="H243" s="1436"/>
      <c r="I243" s="1436"/>
      <c r="J243" s="1436"/>
      <c r="K243" s="1436"/>
      <c r="L243" s="1436"/>
      <c r="M243" s="1436"/>
      <c r="N243" s="1436"/>
      <c r="O243" s="1436"/>
      <c r="P243" s="1436"/>
      <c r="Q243" s="1436"/>
      <c r="R243" s="1436"/>
      <c r="S243" s="1436"/>
      <c r="T243" s="1436"/>
      <c r="U243" s="1436"/>
      <c r="V243" s="1436"/>
      <c r="W243" s="1436"/>
      <c r="X243" s="1436"/>
      <c r="Y243" s="1436"/>
      <c r="Z243" s="1436"/>
      <c r="AA243" s="1436"/>
      <c r="AB243" s="1436"/>
      <c r="AC243" s="1436"/>
      <c r="AD243" s="1436"/>
      <c r="AE243" s="1436"/>
      <c r="AF243" s="1436"/>
    </row>
    <row r="244" spans="1:32">
      <c r="A244" s="1436"/>
      <c r="B244" s="1436"/>
      <c r="C244" s="1436"/>
      <c r="D244" s="1436"/>
      <c r="E244" s="1436"/>
      <c r="F244" s="1436"/>
      <c r="G244" s="1436"/>
      <c r="H244" s="1436"/>
      <c r="I244" s="1436"/>
      <c r="J244" s="1436"/>
      <c r="K244" s="1436"/>
      <c r="L244" s="1436"/>
      <c r="M244" s="1436"/>
      <c r="N244" s="1436"/>
      <c r="O244" s="1436"/>
      <c r="P244" s="1436"/>
      <c r="Q244" s="1436"/>
      <c r="R244" s="1436"/>
      <c r="S244" s="1436"/>
      <c r="T244" s="1436"/>
      <c r="U244" s="1436"/>
      <c r="V244" s="1436"/>
      <c r="W244" s="1436"/>
      <c r="X244" s="1436"/>
      <c r="Y244" s="1436"/>
      <c r="Z244" s="1436"/>
      <c r="AA244" s="1436"/>
      <c r="AB244" s="1436"/>
      <c r="AC244" s="1436"/>
      <c r="AD244" s="1436"/>
      <c r="AE244" s="1436"/>
      <c r="AF244" s="1436"/>
    </row>
    <row r="245" spans="1:32">
      <c r="A245" s="1436"/>
      <c r="B245" s="1436"/>
      <c r="C245" s="1436"/>
      <c r="D245" s="1436"/>
      <c r="E245" s="1436"/>
      <c r="F245" s="1436"/>
      <c r="G245" s="1436"/>
      <c r="H245" s="1436"/>
      <c r="I245" s="1436"/>
      <c r="J245" s="1436"/>
      <c r="K245" s="1436"/>
      <c r="L245" s="1436"/>
      <c r="M245" s="1436"/>
      <c r="N245" s="1436"/>
      <c r="O245" s="1436"/>
      <c r="P245" s="1436"/>
      <c r="Q245" s="1436"/>
      <c r="R245" s="1436"/>
      <c r="S245" s="1436"/>
      <c r="T245" s="1436"/>
      <c r="U245" s="1436"/>
      <c r="V245" s="1436"/>
      <c r="W245" s="1436"/>
      <c r="X245" s="1436"/>
      <c r="Y245" s="1436"/>
      <c r="Z245" s="1436"/>
      <c r="AA245" s="1436"/>
      <c r="AB245" s="1436"/>
      <c r="AC245" s="1436"/>
      <c r="AD245" s="1436"/>
      <c r="AE245" s="1436"/>
      <c r="AF245" s="1436"/>
    </row>
    <row r="246" spans="1:32">
      <c r="A246" s="1436"/>
      <c r="B246" s="1436"/>
      <c r="C246" s="1436"/>
      <c r="D246" s="1436"/>
      <c r="E246" s="1436"/>
      <c r="F246" s="1436"/>
      <c r="G246" s="1436"/>
      <c r="H246" s="1436"/>
      <c r="I246" s="1436"/>
      <c r="J246" s="1436"/>
      <c r="K246" s="1436"/>
      <c r="L246" s="1436"/>
      <c r="M246" s="1436"/>
      <c r="N246" s="1436"/>
      <c r="O246" s="1436"/>
      <c r="P246" s="1436"/>
      <c r="Q246" s="1436"/>
      <c r="R246" s="1436"/>
      <c r="S246" s="1436"/>
      <c r="T246" s="1436"/>
      <c r="U246" s="1436"/>
      <c r="V246" s="1436"/>
      <c r="W246" s="1436"/>
      <c r="X246" s="1436"/>
      <c r="Y246" s="1436"/>
      <c r="Z246" s="1436"/>
      <c r="AA246" s="1436"/>
      <c r="AB246" s="1436"/>
      <c r="AC246" s="1436"/>
      <c r="AD246" s="1436"/>
      <c r="AE246" s="1436"/>
      <c r="AF246" s="1436"/>
    </row>
    <row r="247" spans="1:32">
      <c r="A247" s="1436"/>
      <c r="B247" s="1436"/>
      <c r="C247" s="1436"/>
      <c r="D247" s="1436"/>
      <c r="E247" s="1436"/>
      <c r="F247" s="1436"/>
      <c r="G247" s="1436"/>
      <c r="H247" s="1436"/>
      <c r="I247" s="1436"/>
      <c r="J247" s="1436"/>
      <c r="K247" s="1436"/>
      <c r="L247" s="1436"/>
      <c r="M247" s="1436"/>
      <c r="N247" s="1436"/>
      <c r="O247" s="1436"/>
      <c r="P247" s="1436"/>
      <c r="Q247" s="1436"/>
      <c r="R247" s="1436"/>
      <c r="S247" s="1436"/>
      <c r="T247" s="1436"/>
      <c r="U247" s="1436"/>
      <c r="V247" s="1436"/>
      <c r="W247" s="1436"/>
      <c r="X247" s="1436"/>
      <c r="Y247" s="1436"/>
      <c r="Z247" s="1436"/>
      <c r="AA247" s="1436"/>
      <c r="AB247" s="1436"/>
      <c r="AC247" s="1436"/>
      <c r="AD247" s="1436"/>
      <c r="AE247" s="1436"/>
      <c r="AF247" s="1436"/>
    </row>
    <row r="248" spans="1:32">
      <c r="A248" s="1436"/>
      <c r="B248" s="1436"/>
      <c r="C248" s="1436"/>
      <c r="D248" s="1436"/>
      <c r="E248" s="1436"/>
      <c r="F248" s="1436"/>
      <c r="G248" s="1436"/>
      <c r="H248" s="1436"/>
      <c r="I248" s="1436"/>
      <c r="J248" s="1436"/>
      <c r="K248" s="1436"/>
      <c r="L248" s="1436"/>
      <c r="M248" s="1436"/>
      <c r="N248" s="1436"/>
      <c r="O248" s="1436"/>
      <c r="P248" s="1436"/>
      <c r="Q248" s="1436"/>
      <c r="R248" s="1436"/>
      <c r="S248" s="1436"/>
      <c r="T248" s="1436"/>
      <c r="U248" s="1436"/>
      <c r="V248" s="1436"/>
      <c r="W248" s="1436"/>
      <c r="X248" s="1436"/>
      <c r="Y248" s="1436"/>
      <c r="Z248" s="1436"/>
      <c r="AA248" s="1436"/>
      <c r="AB248" s="1436"/>
      <c r="AC248" s="1436"/>
      <c r="AD248" s="1436"/>
      <c r="AE248" s="1436"/>
      <c r="AF248" s="1436"/>
    </row>
    <row r="249" spans="1:32">
      <c r="A249" s="1436"/>
      <c r="B249" s="1436"/>
      <c r="C249" s="1436"/>
      <c r="D249" s="1436"/>
      <c r="E249" s="1436"/>
      <c r="F249" s="1436"/>
      <c r="G249" s="1436"/>
      <c r="H249" s="1436"/>
      <c r="I249" s="1436"/>
      <c r="J249" s="1436"/>
      <c r="K249" s="1436"/>
      <c r="L249" s="1436"/>
      <c r="M249" s="1436"/>
      <c r="N249" s="1436"/>
      <c r="O249" s="1436"/>
      <c r="P249" s="1436"/>
      <c r="Q249" s="1436"/>
      <c r="R249" s="1436"/>
      <c r="S249" s="1436"/>
      <c r="T249" s="1436"/>
      <c r="U249" s="1436"/>
      <c r="V249" s="1436"/>
      <c r="W249" s="1436"/>
      <c r="X249" s="1436"/>
      <c r="Y249" s="1436"/>
      <c r="Z249" s="1436"/>
      <c r="AA249" s="1436"/>
      <c r="AB249" s="1436"/>
      <c r="AC249" s="1436"/>
      <c r="AD249" s="1436"/>
      <c r="AE249" s="1436"/>
      <c r="AF249" s="1436"/>
    </row>
    <row r="250" spans="1:32">
      <c r="A250" s="1436"/>
      <c r="B250" s="1436"/>
      <c r="C250" s="1436"/>
      <c r="D250" s="1436"/>
      <c r="E250" s="1436"/>
      <c r="F250" s="1436"/>
      <c r="G250" s="1436"/>
      <c r="H250" s="1436"/>
      <c r="I250" s="1436"/>
      <c r="J250" s="1436"/>
      <c r="K250" s="1436"/>
      <c r="L250" s="1436"/>
      <c r="M250" s="1436"/>
      <c r="N250" s="1436"/>
      <c r="O250" s="1436"/>
      <c r="P250" s="1436"/>
      <c r="Q250" s="1436"/>
      <c r="R250" s="1436"/>
      <c r="S250" s="1436"/>
      <c r="T250" s="1436"/>
      <c r="U250" s="1436"/>
      <c r="V250" s="1436"/>
      <c r="W250" s="1436"/>
      <c r="X250" s="1436"/>
      <c r="Y250" s="1436"/>
      <c r="Z250" s="1436"/>
      <c r="AA250" s="1436"/>
      <c r="AB250" s="1436"/>
      <c r="AC250" s="1436"/>
      <c r="AD250" s="1436"/>
      <c r="AE250" s="1436"/>
      <c r="AF250" s="1436"/>
    </row>
    <row r="251" spans="1:32">
      <c r="A251" s="1436"/>
      <c r="B251" s="1436"/>
      <c r="C251" s="1436"/>
      <c r="D251" s="1436"/>
      <c r="E251" s="1436"/>
      <c r="F251" s="1436"/>
      <c r="G251" s="1436"/>
      <c r="H251" s="1436"/>
      <c r="I251" s="1436"/>
      <c r="J251" s="1436"/>
      <c r="K251" s="1436"/>
      <c r="L251" s="1436"/>
      <c r="M251" s="1436"/>
      <c r="N251" s="1436"/>
      <c r="O251" s="1436"/>
      <c r="P251" s="1436"/>
      <c r="Q251" s="1436"/>
      <c r="R251" s="1436"/>
      <c r="S251" s="1436"/>
      <c r="T251" s="1436"/>
      <c r="U251" s="1436"/>
      <c r="V251" s="1436"/>
      <c r="W251" s="1436"/>
      <c r="X251" s="1436"/>
      <c r="Y251" s="1436"/>
      <c r="Z251" s="1436"/>
      <c r="AA251" s="1436"/>
      <c r="AB251" s="1436"/>
      <c r="AC251" s="1436"/>
      <c r="AD251" s="1436"/>
      <c r="AE251" s="1436"/>
      <c r="AF251" s="1436"/>
    </row>
    <row r="252" spans="1:32">
      <c r="A252" s="1436"/>
      <c r="B252" s="1436"/>
      <c r="C252" s="1436"/>
      <c r="D252" s="1436"/>
      <c r="E252" s="1436"/>
      <c r="F252" s="1436"/>
      <c r="G252" s="1436"/>
      <c r="H252" s="1436"/>
      <c r="I252" s="1436"/>
      <c r="J252" s="1436"/>
      <c r="K252" s="1436"/>
      <c r="L252" s="1436"/>
      <c r="M252" s="1436"/>
      <c r="N252" s="1436"/>
      <c r="O252" s="1436"/>
      <c r="P252" s="1436"/>
      <c r="Q252" s="1436"/>
      <c r="R252" s="1436"/>
      <c r="S252" s="1436"/>
      <c r="T252" s="1436"/>
      <c r="U252" s="1436"/>
      <c r="V252" s="1436"/>
      <c r="W252" s="1436"/>
      <c r="X252" s="1436"/>
      <c r="Y252" s="1436"/>
      <c r="Z252" s="1436"/>
      <c r="AA252" s="1436"/>
      <c r="AB252" s="1436"/>
      <c r="AC252" s="1436"/>
      <c r="AD252" s="1436"/>
      <c r="AE252" s="1436"/>
      <c r="AF252" s="1436"/>
    </row>
    <row r="253" spans="1:32">
      <c r="A253" s="1436"/>
      <c r="B253" s="1436"/>
      <c r="C253" s="1436"/>
      <c r="D253" s="1436"/>
      <c r="E253" s="1436"/>
      <c r="F253" s="1436"/>
      <c r="G253" s="1436"/>
      <c r="H253" s="1436"/>
      <c r="I253" s="1436"/>
      <c r="J253" s="1436"/>
      <c r="K253" s="1436"/>
      <c r="L253" s="1436"/>
      <c r="M253" s="1436"/>
      <c r="N253" s="1436"/>
      <c r="O253" s="1436"/>
      <c r="P253" s="1436"/>
      <c r="Q253" s="1436"/>
      <c r="R253" s="1436"/>
      <c r="S253" s="1436"/>
      <c r="T253" s="1436"/>
      <c r="U253" s="1436"/>
      <c r="V253" s="1436"/>
      <c r="W253" s="1436"/>
      <c r="X253" s="1436"/>
      <c r="Y253" s="1436"/>
      <c r="Z253" s="1436"/>
      <c r="AA253" s="1436"/>
      <c r="AB253" s="1436"/>
      <c r="AC253" s="1436"/>
      <c r="AD253" s="1436"/>
      <c r="AE253" s="1436"/>
      <c r="AF253" s="1436"/>
    </row>
    <row r="254" spans="1:32">
      <c r="A254" s="1436"/>
      <c r="B254" s="1436"/>
      <c r="C254" s="1436"/>
      <c r="D254" s="1436"/>
      <c r="E254" s="1436"/>
      <c r="F254" s="1436"/>
      <c r="G254" s="1436"/>
      <c r="H254" s="1436"/>
      <c r="I254" s="1436"/>
      <c r="J254" s="1436"/>
      <c r="K254" s="1436"/>
      <c r="L254" s="1436"/>
      <c r="M254" s="1436"/>
      <c r="N254" s="1436"/>
      <c r="O254" s="1436"/>
      <c r="P254" s="1436"/>
      <c r="Q254" s="1436"/>
      <c r="R254" s="1436"/>
      <c r="S254" s="1436"/>
      <c r="T254" s="1436"/>
      <c r="U254" s="1436"/>
      <c r="V254" s="1436"/>
      <c r="W254" s="1436"/>
      <c r="X254" s="1436"/>
      <c r="Y254" s="1436"/>
      <c r="Z254" s="1436"/>
      <c r="AA254" s="1436"/>
      <c r="AB254" s="1436"/>
      <c r="AC254" s="1436"/>
      <c r="AD254" s="1436"/>
      <c r="AE254" s="1436"/>
      <c r="AF254" s="1436"/>
    </row>
    <row r="255" spans="1:32">
      <c r="A255" s="1436"/>
      <c r="B255" s="1436"/>
      <c r="C255" s="1436"/>
      <c r="D255" s="1436"/>
      <c r="E255" s="1436"/>
      <c r="F255" s="1436"/>
      <c r="G255" s="1436"/>
      <c r="H255" s="1436"/>
      <c r="I255" s="1436"/>
      <c r="J255" s="1436"/>
      <c r="K255" s="1436"/>
      <c r="L255" s="1436"/>
      <c r="M255" s="1436"/>
      <c r="N255" s="1436"/>
      <c r="O255" s="1436"/>
      <c r="P255" s="1436"/>
      <c r="Q255" s="1436"/>
      <c r="R255" s="1436"/>
      <c r="S255" s="1436"/>
      <c r="T255" s="1436"/>
      <c r="U255" s="1436"/>
      <c r="V255" s="1436"/>
      <c r="W255" s="1436"/>
      <c r="X255" s="1436"/>
      <c r="Y255" s="1436"/>
      <c r="Z255" s="1436"/>
      <c r="AA255" s="1436"/>
      <c r="AB255" s="1436"/>
      <c r="AC255" s="1436"/>
      <c r="AD255" s="1436"/>
      <c r="AE255" s="1436"/>
      <c r="AF255" s="1436"/>
    </row>
    <row r="256" spans="1:32">
      <c r="A256" s="1436"/>
      <c r="B256" s="1436"/>
      <c r="C256" s="1436"/>
      <c r="D256" s="1436"/>
      <c r="E256" s="1436"/>
      <c r="F256" s="1436"/>
      <c r="G256" s="1436"/>
      <c r="H256" s="1436"/>
      <c r="I256" s="1436"/>
      <c r="J256" s="1436"/>
      <c r="K256" s="1436"/>
      <c r="L256" s="1436"/>
      <c r="M256" s="1436"/>
      <c r="N256" s="1436"/>
      <c r="O256" s="1436"/>
      <c r="P256" s="1436"/>
      <c r="Q256" s="1436"/>
      <c r="R256" s="1436"/>
      <c r="S256" s="1436"/>
      <c r="T256" s="1436"/>
      <c r="U256" s="1436"/>
      <c r="V256" s="1436"/>
      <c r="W256" s="1436"/>
      <c r="X256" s="1436"/>
      <c r="Y256" s="1436"/>
      <c r="Z256" s="1436"/>
      <c r="AA256" s="1436"/>
      <c r="AB256" s="1436"/>
      <c r="AC256" s="1436"/>
      <c r="AD256" s="1436"/>
      <c r="AE256" s="1436"/>
      <c r="AF256" s="1436"/>
    </row>
    <row r="257" spans="1:32">
      <c r="A257" s="1436"/>
      <c r="B257" s="1436"/>
      <c r="C257" s="1436"/>
      <c r="D257" s="1436"/>
      <c r="E257" s="1436"/>
      <c r="F257" s="1436"/>
      <c r="G257" s="1436"/>
      <c r="H257" s="1436"/>
      <c r="I257" s="1436"/>
      <c r="J257" s="1436"/>
      <c r="K257" s="1436"/>
      <c r="L257" s="1436"/>
      <c r="M257" s="1436"/>
      <c r="N257" s="1436"/>
      <c r="O257" s="1436"/>
      <c r="P257" s="1436"/>
      <c r="Q257" s="1436"/>
      <c r="R257" s="1436"/>
      <c r="S257" s="1436"/>
      <c r="T257" s="1436"/>
      <c r="U257" s="1436"/>
      <c r="V257" s="1436"/>
      <c r="W257" s="1436"/>
      <c r="X257" s="1436"/>
      <c r="Y257" s="1436"/>
      <c r="Z257" s="1436"/>
      <c r="AA257" s="1436"/>
      <c r="AB257" s="1436"/>
      <c r="AC257" s="1436"/>
      <c r="AD257" s="1436"/>
      <c r="AE257" s="1436"/>
      <c r="AF257" s="1436"/>
    </row>
    <row r="258" spans="1:32">
      <c r="A258" s="1436"/>
      <c r="B258" s="1436"/>
      <c r="C258" s="1436"/>
      <c r="D258" s="1436"/>
      <c r="E258" s="1436"/>
      <c r="F258" s="1436"/>
      <c r="G258" s="1436"/>
      <c r="H258" s="1436"/>
      <c r="I258" s="1436"/>
      <c r="J258" s="1436"/>
      <c r="K258" s="1436"/>
      <c r="L258" s="1436"/>
      <c r="M258" s="1436"/>
      <c r="N258" s="1436"/>
      <c r="O258" s="1436"/>
      <c r="P258" s="1436"/>
      <c r="Q258" s="1436"/>
      <c r="R258" s="1436"/>
      <c r="S258" s="1436"/>
      <c r="T258" s="1436"/>
      <c r="U258" s="1436"/>
      <c r="V258" s="1436"/>
      <c r="W258" s="1436"/>
      <c r="X258" s="1436"/>
      <c r="Y258" s="1436"/>
      <c r="Z258" s="1436"/>
      <c r="AA258" s="1436"/>
      <c r="AB258" s="1436"/>
      <c r="AC258" s="1436"/>
      <c r="AD258" s="1436"/>
      <c r="AE258" s="1436"/>
      <c r="AF258" s="1436"/>
    </row>
    <row r="259" spans="1:32">
      <c r="A259" s="1436"/>
      <c r="B259" s="1436"/>
      <c r="C259" s="1436"/>
      <c r="D259" s="1436"/>
      <c r="E259" s="1436"/>
      <c r="F259" s="1436"/>
      <c r="G259" s="1436"/>
      <c r="H259" s="1436"/>
      <c r="I259" s="1436"/>
      <c r="J259" s="1436"/>
      <c r="K259" s="1436"/>
      <c r="L259" s="1436"/>
      <c r="M259" s="1436"/>
      <c r="N259" s="1436"/>
      <c r="O259" s="1436"/>
      <c r="P259" s="1436"/>
      <c r="Q259" s="1436"/>
      <c r="R259" s="1436"/>
      <c r="S259" s="1436"/>
      <c r="T259" s="1436"/>
      <c r="U259" s="1436"/>
      <c r="V259" s="1436"/>
      <c r="W259" s="1436"/>
      <c r="X259" s="1436"/>
      <c r="Y259" s="1436"/>
      <c r="Z259" s="1436"/>
      <c r="AA259" s="1436"/>
      <c r="AB259" s="1436"/>
      <c r="AC259" s="1436"/>
      <c r="AD259" s="1436"/>
      <c r="AE259" s="1436"/>
      <c r="AF259" s="1436"/>
    </row>
    <row r="260" spans="1:32">
      <c r="A260" s="1436"/>
      <c r="B260" s="1436"/>
      <c r="C260" s="1436"/>
      <c r="D260" s="1436"/>
      <c r="E260" s="1436"/>
      <c r="F260" s="1436"/>
      <c r="G260" s="1436"/>
      <c r="H260" s="1436"/>
      <c r="I260" s="1436"/>
      <c r="J260" s="1436"/>
      <c r="K260" s="1436"/>
      <c r="L260" s="1436"/>
      <c r="M260" s="1436"/>
      <c r="N260" s="1436"/>
      <c r="O260" s="1436"/>
      <c r="P260" s="1436"/>
      <c r="Q260" s="1436"/>
      <c r="R260" s="1436"/>
      <c r="S260" s="1436"/>
      <c r="T260" s="1436"/>
      <c r="U260" s="1436"/>
      <c r="V260" s="1436"/>
      <c r="W260" s="1436"/>
      <c r="X260" s="1436"/>
      <c r="Y260" s="1436"/>
      <c r="Z260" s="1436"/>
      <c r="AA260" s="1436"/>
      <c r="AB260" s="1436"/>
      <c r="AC260" s="1436"/>
      <c r="AD260" s="1436"/>
      <c r="AE260" s="1436"/>
      <c r="AF260" s="1436"/>
    </row>
    <row r="261" spans="1:32">
      <c r="A261" s="1436"/>
      <c r="B261" s="1436"/>
      <c r="C261" s="1436"/>
      <c r="D261" s="1436"/>
      <c r="E261" s="1436"/>
      <c r="F261" s="1436"/>
      <c r="G261" s="1436"/>
      <c r="H261" s="1436"/>
      <c r="I261" s="1436"/>
      <c r="J261" s="1436"/>
      <c r="K261" s="1436"/>
      <c r="L261" s="1436"/>
      <c r="M261" s="1436"/>
      <c r="N261" s="1436"/>
      <c r="O261" s="1436"/>
      <c r="P261" s="1436"/>
      <c r="Q261" s="1436"/>
      <c r="R261" s="1436"/>
      <c r="S261" s="1436"/>
      <c r="T261" s="1436"/>
      <c r="U261" s="1436"/>
      <c r="V261" s="1436"/>
      <c r="W261" s="1436"/>
      <c r="X261" s="1436"/>
      <c r="Y261" s="1436"/>
      <c r="Z261" s="1436"/>
      <c r="AA261" s="1436"/>
      <c r="AB261" s="1436"/>
      <c r="AC261" s="1436"/>
      <c r="AD261" s="1436"/>
      <c r="AE261" s="1436"/>
      <c r="AF261" s="1436"/>
    </row>
    <row r="262" spans="1:32">
      <c r="A262" s="1436"/>
      <c r="B262" s="1436"/>
      <c r="C262" s="1436"/>
      <c r="D262" s="1436"/>
      <c r="E262" s="1436"/>
      <c r="F262" s="1436"/>
      <c r="G262" s="1436"/>
      <c r="H262" s="1436"/>
      <c r="I262" s="1436"/>
      <c r="J262" s="1436"/>
      <c r="K262" s="1436"/>
      <c r="L262" s="1436"/>
      <c r="M262" s="1436"/>
      <c r="N262" s="1436"/>
      <c r="O262" s="1436"/>
      <c r="P262" s="1436"/>
      <c r="Q262" s="1436"/>
      <c r="R262" s="1436"/>
      <c r="S262" s="1436"/>
      <c r="T262" s="1436"/>
      <c r="U262" s="1436"/>
      <c r="V262" s="1436"/>
      <c r="W262" s="1436"/>
      <c r="X262" s="1436"/>
      <c r="Y262" s="1436"/>
      <c r="Z262" s="1436"/>
      <c r="AA262" s="1436"/>
      <c r="AB262" s="1436"/>
      <c r="AC262" s="1436"/>
      <c r="AD262" s="1436"/>
      <c r="AE262" s="1436"/>
      <c r="AF262" s="1436"/>
    </row>
    <row r="263" spans="1:32">
      <c r="A263" s="1436"/>
      <c r="B263" s="1436"/>
      <c r="C263" s="1436"/>
      <c r="D263" s="1436"/>
      <c r="E263" s="1436"/>
      <c r="F263" s="1436"/>
      <c r="G263" s="1436"/>
      <c r="H263" s="1436"/>
      <c r="I263" s="1436"/>
      <c r="J263" s="1436"/>
      <c r="K263" s="1436"/>
      <c r="L263" s="1436"/>
      <c r="M263" s="1436"/>
      <c r="N263" s="1436"/>
      <c r="O263" s="1436"/>
      <c r="P263" s="1436"/>
      <c r="Q263" s="1436"/>
      <c r="R263" s="1436"/>
      <c r="S263" s="1436"/>
      <c r="T263" s="1436"/>
      <c r="U263" s="1436"/>
      <c r="V263" s="1436"/>
      <c r="W263" s="1436"/>
      <c r="X263" s="1436"/>
      <c r="Y263" s="1436"/>
      <c r="Z263" s="1436"/>
      <c r="AA263" s="1436"/>
      <c r="AB263" s="1436"/>
      <c r="AC263" s="1436"/>
      <c r="AD263" s="1436"/>
      <c r="AE263" s="1436"/>
      <c r="AF263" s="1436"/>
    </row>
    <row r="264" spans="1:32">
      <c r="A264" s="1436"/>
      <c r="B264" s="1436"/>
      <c r="C264" s="1436"/>
      <c r="D264" s="1436"/>
      <c r="E264" s="1436"/>
      <c r="F264" s="1436"/>
      <c r="G264" s="1436"/>
      <c r="H264" s="1436"/>
      <c r="I264" s="1436"/>
      <c r="J264" s="1436"/>
      <c r="K264" s="1436"/>
      <c r="L264" s="1436"/>
      <c r="M264" s="1436"/>
      <c r="N264" s="1436"/>
      <c r="O264" s="1436"/>
      <c r="P264" s="1436"/>
      <c r="Q264" s="1436"/>
      <c r="R264" s="1436"/>
      <c r="S264" s="1436"/>
      <c r="T264" s="1436"/>
      <c r="U264" s="1436"/>
      <c r="V264" s="1436"/>
      <c r="W264" s="1436"/>
      <c r="X264" s="1436"/>
      <c r="Y264" s="1436"/>
      <c r="Z264" s="1436"/>
      <c r="AA264" s="1436"/>
      <c r="AB264" s="1436"/>
      <c r="AC264" s="1436"/>
      <c r="AD264" s="1436"/>
      <c r="AE264" s="1436"/>
      <c r="AF264" s="1436"/>
    </row>
    <row r="265" spans="1:32">
      <c r="A265" s="1436"/>
      <c r="B265" s="1436"/>
      <c r="C265" s="1436"/>
      <c r="D265" s="1436"/>
      <c r="E265" s="1436"/>
      <c r="F265" s="1436"/>
      <c r="G265" s="1436"/>
      <c r="H265" s="1436"/>
      <c r="I265" s="1436"/>
      <c r="J265" s="1436"/>
      <c r="K265" s="1436"/>
      <c r="L265" s="1436"/>
      <c r="M265" s="1436"/>
      <c r="N265" s="1436"/>
      <c r="O265" s="1436"/>
      <c r="P265" s="1436"/>
      <c r="Q265" s="1436"/>
      <c r="R265" s="1436"/>
      <c r="S265" s="1436"/>
      <c r="T265" s="1436"/>
      <c r="U265" s="1436"/>
      <c r="V265" s="1436"/>
      <c r="W265" s="1436"/>
      <c r="X265" s="1436"/>
      <c r="Y265" s="1436"/>
      <c r="Z265" s="1436"/>
      <c r="AA265" s="1436"/>
      <c r="AB265" s="1436"/>
      <c r="AC265" s="1436"/>
      <c r="AD265" s="1436"/>
      <c r="AE265" s="1436"/>
      <c r="AF265" s="1436"/>
    </row>
    <row r="266" spans="1:32">
      <c r="A266" s="1436"/>
      <c r="B266" s="1436"/>
      <c r="C266" s="1436"/>
      <c r="D266" s="1436"/>
      <c r="E266" s="1436"/>
      <c r="F266" s="1436"/>
      <c r="G266" s="1436"/>
      <c r="H266" s="1436"/>
      <c r="I266" s="1436"/>
      <c r="J266" s="1436"/>
      <c r="K266" s="1436"/>
      <c r="L266" s="1436"/>
      <c r="M266" s="1436"/>
      <c r="N266" s="1436"/>
      <c r="O266" s="1436"/>
      <c r="P266" s="1436"/>
      <c r="Q266" s="1436"/>
      <c r="R266" s="1436"/>
      <c r="S266" s="1436"/>
      <c r="T266" s="1436"/>
      <c r="U266" s="1436"/>
      <c r="V266" s="1436"/>
      <c r="W266" s="1436"/>
      <c r="X266" s="1436"/>
      <c r="Y266" s="1436"/>
      <c r="Z266" s="1436"/>
      <c r="AA266" s="1436"/>
      <c r="AB266" s="1436"/>
      <c r="AC266" s="1436"/>
      <c r="AD266" s="1436"/>
      <c r="AE266" s="1436"/>
      <c r="AF266" s="1436"/>
    </row>
    <row r="267" spans="1:32">
      <c r="A267" s="1436"/>
      <c r="B267" s="1436"/>
      <c r="C267" s="1436"/>
      <c r="D267" s="1436"/>
      <c r="E267" s="1436"/>
      <c r="F267" s="1436"/>
      <c r="G267" s="1436"/>
      <c r="H267" s="1436"/>
      <c r="I267" s="1436"/>
      <c r="J267" s="1436"/>
      <c r="K267" s="1436"/>
      <c r="L267" s="1436"/>
      <c r="M267" s="1436"/>
      <c r="N267" s="1436"/>
      <c r="O267" s="1436"/>
      <c r="P267" s="1436"/>
      <c r="Q267" s="1436"/>
      <c r="R267" s="1436"/>
      <c r="S267" s="1436"/>
      <c r="T267" s="1436"/>
      <c r="U267" s="1436"/>
      <c r="V267" s="1436"/>
      <c r="W267" s="1436"/>
      <c r="X267" s="1436"/>
      <c r="Y267" s="1436"/>
      <c r="Z267" s="1436"/>
      <c r="AA267" s="1436"/>
      <c r="AB267" s="1436"/>
      <c r="AC267" s="1436"/>
      <c r="AD267" s="1436"/>
      <c r="AE267" s="1436"/>
      <c r="AF267" s="1436"/>
    </row>
    <row r="268" spans="1:32">
      <c r="A268" s="1436"/>
      <c r="B268" s="1436"/>
      <c r="C268" s="1436"/>
      <c r="D268" s="1436"/>
      <c r="E268" s="1436"/>
      <c r="F268" s="1436"/>
      <c r="G268" s="1436"/>
      <c r="H268" s="1436"/>
      <c r="I268" s="1436"/>
      <c r="J268" s="1436"/>
      <c r="K268" s="1436"/>
      <c r="L268" s="1436"/>
      <c r="M268" s="1436"/>
      <c r="N268" s="1436"/>
      <c r="O268" s="1436"/>
      <c r="P268" s="1436"/>
      <c r="Q268" s="1436"/>
      <c r="R268" s="1436"/>
      <c r="S268" s="1436"/>
      <c r="T268" s="1436"/>
      <c r="U268" s="1436"/>
      <c r="V268" s="1436"/>
      <c r="W268" s="1436"/>
      <c r="X268" s="1436"/>
      <c r="Y268" s="1436"/>
      <c r="Z268" s="1436"/>
      <c r="AA268" s="1436"/>
      <c r="AB268" s="1436"/>
      <c r="AC268" s="1436"/>
      <c r="AD268" s="1436"/>
      <c r="AE268" s="1436"/>
      <c r="AF268" s="1436"/>
    </row>
    <row r="269" spans="1:32">
      <c r="A269" s="1436"/>
      <c r="B269" s="1436"/>
      <c r="C269" s="1436"/>
      <c r="D269" s="1436"/>
      <c r="E269" s="1436"/>
      <c r="F269" s="1436"/>
      <c r="G269" s="1436"/>
      <c r="H269" s="1436"/>
      <c r="I269" s="1436"/>
      <c r="J269" s="1436"/>
      <c r="K269" s="1436"/>
      <c r="L269" s="1436"/>
      <c r="M269" s="1436"/>
      <c r="N269" s="1436"/>
      <c r="O269" s="1436"/>
      <c r="P269" s="1436"/>
      <c r="Q269" s="1436"/>
      <c r="R269" s="1436"/>
      <c r="S269" s="1436"/>
      <c r="T269" s="1436"/>
      <c r="U269" s="1436"/>
      <c r="V269" s="1436"/>
      <c r="W269" s="1436"/>
      <c r="X269" s="1436"/>
      <c r="Y269" s="1436"/>
      <c r="Z269" s="1436"/>
      <c r="AA269" s="1436"/>
      <c r="AB269" s="1436"/>
      <c r="AC269" s="1436"/>
      <c r="AD269" s="1436"/>
      <c r="AE269" s="1436"/>
      <c r="AF269" s="1436"/>
    </row>
    <row r="270" spans="1:32">
      <c r="A270" s="1436"/>
      <c r="B270" s="1436"/>
      <c r="C270" s="1436"/>
      <c r="D270" s="1436"/>
      <c r="E270" s="1436"/>
      <c r="F270" s="1436"/>
      <c r="G270" s="1436"/>
      <c r="H270" s="1436"/>
      <c r="I270" s="1436"/>
      <c r="J270" s="1436"/>
      <c r="K270" s="1436"/>
      <c r="L270" s="1436"/>
      <c r="M270" s="1436"/>
      <c r="N270" s="1436"/>
      <c r="O270" s="1436"/>
      <c r="P270" s="1436"/>
      <c r="Q270" s="1436"/>
      <c r="R270" s="1436"/>
      <c r="S270" s="1436"/>
      <c r="T270" s="1436"/>
      <c r="U270" s="1436"/>
      <c r="V270" s="1436"/>
      <c r="W270" s="1436"/>
      <c r="X270" s="1436"/>
      <c r="Y270" s="1436"/>
      <c r="Z270" s="1436"/>
      <c r="AA270" s="1436"/>
      <c r="AB270" s="1436"/>
      <c r="AC270" s="1436"/>
      <c r="AD270" s="1436"/>
      <c r="AE270" s="1436"/>
      <c r="AF270" s="1436"/>
    </row>
    <row r="271" spans="1:32">
      <c r="A271" s="1436"/>
      <c r="B271" s="1436"/>
      <c r="C271" s="1436"/>
      <c r="D271" s="1436"/>
      <c r="E271" s="1436"/>
      <c r="F271" s="1436"/>
      <c r="G271" s="1436"/>
      <c r="H271" s="1436"/>
      <c r="I271" s="1436"/>
      <c r="J271" s="1436"/>
      <c r="K271" s="1436"/>
      <c r="L271" s="1436"/>
      <c r="M271" s="1436"/>
      <c r="N271" s="1436"/>
      <c r="O271" s="1436"/>
      <c r="P271" s="1436"/>
      <c r="Q271" s="1436"/>
      <c r="R271" s="1436"/>
      <c r="S271" s="1436"/>
      <c r="T271" s="1436"/>
      <c r="U271" s="1436"/>
      <c r="V271" s="1436"/>
      <c r="W271" s="1436"/>
      <c r="X271" s="1436"/>
      <c r="Y271" s="1436"/>
      <c r="Z271" s="1436"/>
      <c r="AA271" s="1436"/>
      <c r="AB271" s="1436"/>
      <c r="AC271" s="1436"/>
      <c r="AD271" s="1436"/>
      <c r="AE271" s="1436"/>
      <c r="AF271" s="1436"/>
    </row>
    <row r="272" spans="1:32">
      <c r="A272" s="1436"/>
      <c r="B272" s="1436"/>
      <c r="C272" s="1436"/>
      <c r="D272" s="1436"/>
      <c r="E272" s="1436"/>
      <c r="F272" s="1436"/>
      <c r="G272" s="1436"/>
      <c r="H272" s="1436"/>
      <c r="I272" s="1436"/>
      <c r="J272" s="1436"/>
      <c r="K272" s="1436"/>
      <c r="L272" s="1436"/>
      <c r="M272" s="1436"/>
      <c r="N272" s="1436"/>
      <c r="O272" s="1436"/>
      <c r="P272" s="1436"/>
      <c r="Q272" s="1436"/>
      <c r="R272" s="1436"/>
      <c r="S272" s="1436"/>
      <c r="T272" s="1436"/>
      <c r="U272" s="1436"/>
      <c r="V272" s="1436"/>
      <c r="W272" s="1436"/>
      <c r="X272" s="1436"/>
      <c r="Y272" s="1436"/>
      <c r="Z272" s="1436"/>
      <c r="AA272" s="1436"/>
      <c r="AB272" s="1436"/>
      <c r="AC272" s="1436"/>
      <c r="AD272" s="1436"/>
      <c r="AE272" s="1436"/>
      <c r="AF272" s="1436"/>
    </row>
    <row r="273" spans="1:32">
      <c r="A273" s="1436"/>
      <c r="B273" s="1436"/>
      <c r="C273" s="1436"/>
      <c r="D273" s="1436"/>
      <c r="E273" s="1436"/>
      <c r="F273" s="1436"/>
      <c r="G273" s="1436"/>
      <c r="H273" s="1436"/>
      <c r="I273" s="1436"/>
      <c r="J273" s="1436"/>
      <c r="K273" s="1436"/>
      <c r="L273" s="1436"/>
      <c r="M273" s="1436"/>
      <c r="N273" s="1436"/>
      <c r="O273" s="1436"/>
      <c r="P273" s="1436"/>
      <c r="Q273" s="1436"/>
      <c r="R273" s="1436"/>
      <c r="S273" s="1436"/>
      <c r="T273" s="1436"/>
      <c r="U273" s="1436"/>
      <c r="V273" s="1436"/>
      <c r="W273" s="1436"/>
      <c r="X273" s="1436"/>
      <c r="Y273" s="1436"/>
      <c r="Z273" s="1436"/>
      <c r="AA273" s="1436"/>
      <c r="AB273" s="1436"/>
      <c r="AC273" s="1436"/>
      <c r="AD273" s="1436"/>
      <c r="AE273" s="1436"/>
      <c r="AF273" s="1436"/>
    </row>
    <row r="274" spans="1:32">
      <c r="A274" s="1436"/>
      <c r="B274" s="1436"/>
      <c r="C274" s="1436"/>
      <c r="D274" s="1436"/>
      <c r="E274" s="1436"/>
      <c r="F274" s="1436"/>
      <c r="G274" s="1436"/>
      <c r="H274" s="1436"/>
      <c r="I274" s="1436"/>
      <c r="J274" s="1436"/>
      <c r="K274" s="1436"/>
      <c r="L274" s="1436"/>
      <c r="M274" s="1436"/>
      <c r="N274" s="1436"/>
      <c r="O274" s="1436"/>
      <c r="P274" s="1436"/>
      <c r="Q274" s="1436"/>
      <c r="R274" s="1436"/>
      <c r="S274" s="1436"/>
      <c r="T274" s="1436"/>
      <c r="U274" s="1436"/>
      <c r="V274" s="1436"/>
      <c r="W274" s="1436"/>
      <c r="X274" s="1436"/>
      <c r="Y274" s="1436"/>
      <c r="Z274" s="1436"/>
      <c r="AA274" s="1436"/>
      <c r="AB274" s="1436"/>
      <c r="AC274" s="1436"/>
      <c r="AD274" s="1436"/>
      <c r="AE274" s="1436"/>
      <c r="AF274" s="1436"/>
    </row>
    <row r="275" spans="1:32">
      <c r="A275" s="1436"/>
      <c r="B275" s="1436"/>
      <c r="C275" s="1436"/>
      <c r="D275" s="1436"/>
      <c r="E275" s="1436"/>
      <c r="F275" s="1436"/>
      <c r="G275" s="1436"/>
      <c r="H275" s="1436"/>
      <c r="I275" s="1436"/>
      <c r="J275" s="1436"/>
      <c r="K275" s="1436"/>
      <c r="L275" s="1436"/>
      <c r="M275" s="1436"/>
      <c r="N275" s="1436"/>
      <c r="O275" s="1436"/>
      <c r="P275" s="1436"/>
      <c r="Q275" s="1436"/>
      <c r="R275" s="1436"/>
      <c r="S275" s="1436"/>
      <c r="T275" s="1436"/>
      <c r="U275" s="1436"/>
      <c r="V275" s="1436"/>
      <c r="W275" s="1436"/>
      <c r="X275" s="1436"/>
      <c r="Y275" s="1436"/>
      <c r="Z275" s="1436"/>
      <c r="AA275" s="1436"/>
      <c r="AB275" s="1436"/>
      <c r="AC275" s="1436"/>
      <c r="AD275" s="1436"/>
      <c r="AE275" s="1436"/>
      <c r="AF275" s="1436"/>
    </row>
    <row r="276" spans="1:32">
      <c r="A276" s="1436"/>
      <c r="B276" s="1436"/>
      <c r="C276" s="1436"/>
      <c r="D276" s="1436"/>
      <c r="E276" s="1436"/>
      <c r="F276" s="1436"/>
      <c r="G276" s="1436"/>
      <c r="H276" s="1436"/>
      <c r="I276" s="1436"/>
      <c r="J276" s="1436"/>
      <c r="K276" s="1436"/>
      <c r="L276" s="1436"/>
      <c r="M276" s="1436"/>
      <c r="N276" s="1436"/>
      <c r="O276" s="1436"/>
      <c r="P276" s="1436"/>
      <c r="Q276" s="1436"/>
      <c r="R276" s="1436"/>
      <c r="S276" s="1436"/>
      <c r="T276" s="1436"/>
      <c r="U276" s="1436"/>
      <c r="V276" s="1436"/>
      <c r="W276" s="1436"/>
      <c r="X276" s="1436"/>
      <c r="Y276" s="1436"/>
      <c r="Z276" s="1436"/>
      <c r="AA276" s="1436"/>
      <c r="AB276" s="1436"/>
      <c r="AC276" s="1436"/>
      <c r="AD276" s="1436"/>
      <c r="AE276" s="1436"/>
      <c r="AF276" s="1436"/>
    </row>
    <row r="277" spans="1:32">
      <c r="A277" s="1436"/>
      <c r="B277" s="1436"/>
      <c r="C277" s="1436"/>
      <c r="D277" s="1436"/>
      <c r="E277" s="1436"/>
      <c r="F277" s="1436"/>
      <c r="G277" s="1436"/>
      <c r="H277" s="1436"/>
      <c r="I277" s="1436"/>
      <c r="J277" s="1436"/>
      <c r="K277" s="1436"/>
      <c r="L277" s="1436"/>
      <c r="M277" s="1436"/>
      <c r="N277" s="1436"/>
      <c r="O277" s="1436"/>
      <c r="P277" s="1436"/>
      <c r="Q277" s="1436"/>
      <c r="R277" s="1436"/>
      <c r="S277" s="1436"/>
      <c r="T277" s="1436"/>
      <c r="U277" s="1436"/>
      <c r="V277" s="1436"/>
      <c r="W277" s="1436"/>
      <c r="X277" s="1436"/>
      <c r="Y277" s="1436"/>
      <c r="Z277" s="1436"/>
      <c r="AA277" s="1436"/>
      <c r="AB277" s="1436"/>
      <c r="AC277" s="1436"/>
      <c r="AD277" s="1436"/>
      <c r="AE277" s="1436"/>
      <c r="AF277" s="1436"/>
    </row>
    <row r="278" spans="1:32">
      <c r="A278" s="1436"/>
      <c r="B278" s="1436"/>
      <c r="C278" s="1436"/>
      <c r="D278" s="1436"/>
      <c r="E278" s="1436"/>
      <c r="F278" s="1436"/>
      <c r="G278" s="1436"/>
      <c r="H278" s="1436"/>
      <c r="I278" s="1436"/>
      <c r="J278" s="1436"/>
      <c r="K278" s="1436"/>
      <c r="L278" s="1436"/>
      <c r="M278" s="1436"/>
      <c r="N278" s="1436"/>
      <c r="O278" s="1436"/>
      <c r="P278" s="1436"/>
      <c r="Q278" s="1436"/>
      <c r="R278" s="1436"/>
      <c r="S278" s="1436"/>
      <c r="T278" s="1436"/>
      <c r="U278" s="1436"/>
      <c r="V278" s="1436"/>
      <c r="W278" s="1436"/>
      <c r="X278" s="1436"/>
      <c r="Y278" s="1436"/>
      <c r="Z278" s="1436"/>
      <c r="AA278" s="1436"/>
      <c r="AB278" s="1436"/>
      <c r="AC278" s="1436"/>
      <c r="AD278" s="1436"/>
      <c r="AE278" s="1436"/>
      <c r="AF278" s="1436"/>
    </row>
    <row r="279" spans="1:32">
      <c r="A279" s="1436"/>
      <c r="B279" s="1436"/>
      <c r="C279" s="1436"/>
      <c r="D279" s="1436"/>
      <c r="E279" s="1436"/>
      <c r="F279" s="1436"/>
      <c r="G279" s="1436"/>
      <c r="H279" s="1436"/>
      <c r="I279" s="1436"/>
      <c r="J279" s="1436"/>
      <c r="K279" s="1436"/>
      <c r="L279" s="1436"/>
      <c r="M279" s="1436"/>
      <c r="N279" s="1436"/>
      <c r="O279" s="1436"/>
      <c r="P279" s="1436"/>
      <c r="Q279" s="1436"/>
      <c r="R279" s="1436"/>
      <c r="S279" s="1436"/>
      <c r="T279" s="1436"/>
      <c r="U279" s="1436"/>
      <c r="V279" s="1436"/>
      <c r="W279" s="1436"/>
      <c r="X279" s="1436"/>
      <c r="Y279" s="1436"/>
      <c r="Z279" s="1436"/>
      <c r="AA279" s="1436"/>
      <c r="AB279" s="1436"/>
      <c r="AC279" s="1436"/>
      <c r="AD279" s="1436"/>
      <c r="AE279" s="1436"/>
      <c r="AF279" s="1436"/>
    </row>
    <row r="280" spans="1:32">
      <c r="A280" s="1436"/>
      <c r="B280" s="1436"/>
      <c r="C280" s="1436"/>
      <c r="D280" s="1436"/>
      <c r="E280" s="1436"/>
      <c r="F280" s="1436"/>
      <c r="G280" s="1436"/>
      <c r="H280" s="1436"/>
      <c r="I280" s="1436"/>
      <c r="J280" s="1436"/>
      <c r="K280" s="1436"/>
      <c r="L280" s="1436"/>
      <c r="M280" s="1436"/>
      <c r="N280" s="1436"/>
      <c r="O280" s="1436"/>
      <c r="P280" s="1436"/>
      <c r="Q280" s="1436"/>
      <c r="R280" s="1436"/>
      <c r="S280" s="1436"/>
      <c r="T280" s="1436"/>
      <c r="U280" s="1436"/>
      <c r="V280" s="1436"/>
      <c r="W280" s="1436"/>
      <c r="X280" s="1436"/>
      <c r="Y280" s="1436"/>
      <c r="Z280" s="1436"/>
      <c r="AA280" s="1436"/>
      <c r="AB280" s="1436"/>
      <c r="AC280" s="1436"/>
      <c r="AD280" s="1436"/>
      <c r="AE280" s="1436"/>
      <c r="AF280" s="1436"/>
    </row>
    <row r="281" spans="1:32">
      <c r="A281" s="1436"/>
      <c r="B281" s="1436"/>
      <c r="C281" s="1436"/>
      <c r="D281" s="1436"/>
      <c r="E281" s="1436"/>
      <c r="F281" s="1436"/>
      <c r="G281" s="1436"/>
      <c r="H281" s="1436"/>
      <c r="I281" s="1436"/>
      <c r="J281" s="1436"/>
      <c r="K281" s="1436"/>
      <c r="L281" s="1436"/>
      <c r="M281" s="1436"/>
      <c r="N281" s="1436"/>
      <c r="O281" s="1436"/>
      <c r="P281" s="1436"/>
      <c r="Q281" s="1436"/>
      <c r="R281" s="1436"/>
      <c r="S281" s="1436"/>
      <c r="T281" s="1436"/>
      <c r="U281" s="1436"/>
      <c r="V281" s="1436"/>
      <c r="W281" s="1436"/>
      <c r="X281" s="1436"/>
      <c r="Y281" s="1436"/>
      <c r="Z281" s="1436"/>
      <c r="AA281" s="1436"/>
      <c r="AB281" s="1436"/>
      <c r="AC281" s="1436"/>
      <c r="AD281" s="1436"/>
      <c r="AE281" s="1436"/>
      <c r="AF281" s="1436"/>
    </row>
    <row r="282" spans="1:32">
      <c r="A282" s="1436"/>
      <c r="B282" s="1436"/>
      <c r="C282" s="1436"/>
      <c r="D282" s="1436"/>
      <c r="E282" s="1436"/>
      <c r="F282" s="1436"/>
      <c r="G282" s="1436"/>
      <c r="H282" s="1436"/>
      <c r="I282" s="1436"/>
      <c r="J282" s="1436"/>
      <c r="K282" s="1436"/>
      <c r="L282" s="1436"/>
      <c r="M282" s="1436"/>
      <c r="N282" s="1436"/>
      <c r="O282" s="1436"/>
      <c r="P282" s="1436"/>
      <c r="Q282" s="1436"/>
      <c r="R282" s="1436"/>
      <c r="S282" s="1436"/>
      <c r="T282" s="1436"/>
      <c r="U282" s="1436"/>
      <c r="V282" s="1436"/>
      <c r="W282" s="1436"/>
      <c r="X282" s="1436"/>
      <c r="Y282" s="1436"/>
      <c r="Z282" s="1436"/>
      <c r="AA282" s="1436"/>
      <c r="AB282" s="1436"/>
      <c r="AC282" s="1436"/>
      <c r="AD282" s="1436"/>
      <c r="AE282" s="1436"/>
      <c r="AF282" s="1436"/>
    </row>
    <row r="283" spans="1:32">
      <c r="A283" s="1436"/>
      <c r="B283" s="1436"/>
      <c r="C283" s="1436"/>
      <c r="D283" s="1436"/>
      <c r="E283" s="1436"/>
      <c r="F283" s="1436"/>
      <c r="G283" s="1436"/>
      <c r="H283" s="1436"/>
      <c r="I283" s="1436"/>
      <c r="J283" s="1436"/>
      <c r="K283" s="1436"/>
      <c r="L283" s="1436"/>
      <c r="M283" s="1436"/>
      <c r="N283" s="1436"/>
      <c r="O283" s="1436"/>
      <c r="P283" s="1436"/>
      <c r="Q283" s="1436"/>
      <c r="R283" s="1436"/>
      <c r="S283" s="1436"/>
      <c r="T283" s="1436"/>
      <c r="U283" s="1436"/>
      <c r="V283" s="1436"/>
      <c r="W283" s="1436"/>
      <c r="X283" s="1436"/>
      <c r="Y283" s="1436"/>
      <c r="Z283" s="1436"/>
      <c r="AA283" s="1436"/>
      <c r="AB283" s="1436"/>
      <c r="AC283" s="1436"/>
      <c r="AD283" s="1436"/>
      <c r="AE283" s="1436"/>
      <c r="AF283" s="1436"/>
    </row>
    <row r="284" spans="1:32">
      <c r="A284" s="1436"/>
      <c r="B284" s="1436"/>
      <c r="C284" s="1436"/>
      <c r="D284" s="1436"/>
      <c r="E284" s="1436"/>
      <c r="F284" s="1436"/>
      <c r="G284" s="1436"/>
      <c r="H284" s="1436"/>
      <c r="I284" s="1436"/>
      <c r="J284" s="1436"/>
      <c r="K284" s="1436"/>
      <c r="L284" s="1436"/>
      <c r="M284" s="1436"/>
      <c r="N284" s="1436"/>
      <c r="O284" s="1436"/>
      <c r="P284" s="1436"/>
      <c r="Q284" s="1436"/>
      <c r="R284" s="1436"/>
      <c r="S284" s="1436"/>
      <c r="T284" s="1436"/>
      <c r="U284" s="1436"/>
      <c r="V284" s="1436"/>
      <c r="W284" s="1436"/>
      <c r="X284" s="1436"/>
      <c r="Y284" s="1436"/>
      <c r="Z284" s="1436"/>
      <c r="AA284" s="1436"/>
      <c r="AB284" s="1436"/>
      <c r="AC284" s="1436"/>
      <c r="AD284" s="1436"/>
      <c r="AE284" s="1436"/>
      <c r="AF284" s="1436"/>
    </row>
    <row r="285" spans="1:32">
      <c r="A285" s="1436"/>
      <c r="B285" s="1436"/>
      <c r="C285" s="1436"/>
      <c r="D285" s="1436"/>
      <c r="E285" s="1436"/>
      <c r="F285" s="1436"/>
      <c r="G285" s="1436"/>
      <c r="H285" s="1436"/>
      <c r="I285" s="1436"/>
      <c r="J285" s="1436"/>
      <c r="K285" s="1436"/>
      <c r="L285" s="1436"/>
      <c r="M285" s="1436"/>
      <c r="N285" s="1436"/>
      <c r="O285" s="1436"/>
      <c r="P285" s="1436"/>
      <c r="Q285" s="1436"/>
      <c r="R285" s="1436"/>
      <c r="S285" s="1436"/>
      <c r="T285" s="1436"/>
      <c r="U285" s="1436"/>
      <c r="V285" s="1436"/>
      <c r="W285" s="1436"/>
      <c r="X285" s="1436"/>
      <c r="Y285" s="1436"/>
      <c r="Z285" s="1436"/>
      <c r="AA285" s="1436"/>
      <c r="AB285" s="1436"/>
      <c r="AC285" s="1436"/>
      <c r="AD285" s="1436"/>
      <c r="AE285" s="1436"/>
      <c r="AF285" s="1436"/>
    </row>
    <row r="286" spans="1:32">
      <c r="A286" s="1436"/>
      <c r="B286" s="1436"/>
      <c r="C286" s="1436"/>
      <c r="D286" s="1436"/>
      <c r="E286" s="1436"/>
      <c r="F286" s="1436"/>
      <c r="G286" s="1436"/>
      <c r="H286" s="1436"/>
      <c r="I286" s="1436"/>
      <c r="J286" s="1436"/>
      <c r="K286" s="1436"/>
      <c r="L286" s="1436"/>
      <c r="M286" s="1436"/>
      <c r="N286" s="1436"/>
      <c r="O286" s="1436"/>
      <c r="P286" s="1436"/>
      <c r="Q286" s="1436"/>
      <c r="R286" s="1436"/>
      <c r="S286" s="1436"/>
      <c r="T286" s="1436"/>
      <c r="U286" s="1436"/>
      <c r="V286" s="1436"/>
      <c r="W286" s="1436"/>
      <c r="X286" s="1436"/>
      <c r="Y286" s="1436"/>
      <c r="Z286" s="1436"/>
      <c r="AA286" s="1436"/>
      <c r="AB286" s="1436"/>
      <c r="AC286" s="1436"/>
      <c r="AD286" s="1436"/>
      <c r="AE286" s="1436"/>
      <c r="AF286" s="1436"/>
    </row>
    <row r="287" spans="1:32">
      <c r="A287" s="1436"/>
      <c r="B287" s="1436"/>
      <c r="C287" s="1436"/>
      <c r="D287" s="1436"/>
      <c r="E287" s="1436"/>
      <c r="F287" s="1436"/>
      <c r="G287" s="1436"/>
      <c r="H287" s="1436"/>
      <c r="I287" s="1436"/>
      <c r="J287" s="1436"/>
      <c r="K287" s="1436"/>
      <c r="L287" s="1436"/>
      <c r="M287" s="1436"/>
      <c r="N287" s="1436"/>
      <c r="O287" s="1436"/>
      <c r="P287" s="1436"/>
      <c r="Q287" s="1436"/>
      <c r="R287" s="1436"/>
      <c r="S287" s="1436"/>
      <c r="T287" s="1436"/>
      <c r="U287" s="1436"/>
      <c r="V287" s="1436"/>
      <c r="W287" s="1436"/>
      <c r="X287" s="1436"/>
      <c r="Y287" s="1436"/>
      <c r="Z287" s="1436"/>
      <c r="AA287" s="1436"/>
      <c r="AB287" s="1436"/>
      <c r="AC287" s="1436"/>
      <c r="AD287" s="1436"/>
      <c r="AE287" s="1436"/>
      <c r="AF287" s="1436"/>
    </row>
    <row r="288" spans="1:32">
      <c r="A288" s="1436"/>
      <c r="B288" s="1436"/>
      <c r="C288" s="1436"/>
      <c r="D288" s="1436"/>
      <c r="E288" s="1436"/>
      <c r="F288" s="1436"/>
      <c r="G288" s="1436"/>
      <c r="H288" s="1436"/>
      <c r="I288" s="1436"/>
      <c r="J288" s="1436"/>
      <c r="K288" s="1436"/>
      <c r="L288" s="1436"/>
      <c r="M288" s="1436"/>
      <c r="N288" s="1436"/>
      <c r="O288" s="1436"/>
      <c r="P288" s="1436"/>
      <c r="Q288" s="1436"/>
      <c r="R288" s="1436"/>
      <c r="S288" s="1436"/>
      <c r="T288" s="1436"/>
      <c r="U288" s="1436"/>
      <c r="V288" s="1436"/>
      <c r="W288" s="1436"/>
      <c r="X288" s="1436"/>
      <c r="Y288" s="1436"/>
      <c r="Z288" s="1436"/>
      <c r="AA288" s="1436"/>
      <c r="AB288" s="1436"/>
      <c r="AC288" s="1436"/>
      <c r="AD288" s="1436"/>
      <c r="AE288" s="1436"/>
      <c r="AF288" s="1436"/>
    </row>
    <row r="289" spans="1:32">
      <c r="A289" s="1436"/>
      <c r="B289" s="1436"/>
      <c r="C289" s="1436"/>
      <c r="D289" s="1436"/>
      <c r="E289" s="1436"/>
      <c r="F289" s="1436"/>
      <c r="G289" s="1436"/>
      <c r="H289" s="1436"/>
      <c r="I289" s="1436"/>
      <c r="J289" s="1436"/>
      <c r="K289" s="1436"/>
      <c r="L289" s="1436"/>
      <c r="M289" s="1436"/>
      <c r="N289" s="1436"/>
      <c r="O289" s="1436"/>
      <c r="P289" s="1436"/>
      <c r="Q289" s="1436"/>
      <c r="R289" s="1436"/>
      <c r="S289" s="1436"/>
      <c r="T289" s="1436"/>
      <c r="U289" s="1436"/>
      <c r="V289" s="1436"/>
      <c r="W289" s="1436"/>
      <c r="X289" s="1436"/>
      <c r="Y289" s="1436"/>
      <c r="Z289" s="1436"/>
      <c r="AA289" s="1436"/>
      <c r="AB289" s="1436"/>
      <c r="AC289" s="1436"/>
      <c r="AD289" s="1436"/>
      <c r="AE289" s="1436"/>
      <c r="AF289" s="1436"/>
    </row>
    <row r="290" spans="1:32">
      <c r="A290" s="1436"/>
      <c r="B290" s="1436"/>
      <c r="C290" s="1436"/>
      <c r="D290" s="1436"/>
      <c r="E290" s="1436"/>
      <c r="F290" s="1436"/>
      <c r="G290" s="1436"/>
      <c r="H290" s="1436"/>
      <c r="I290" s="1436"/>
      <c r="J290" s="1436"/>
      <c r="K290" s="1436"/>
      <c r="L290" s="1436"/>
      <c r="M290" s="1436"/>
      <c r="N290" s="1436"/>
      <c r="O290" s="1436"/>
      <c r="P290" s="1436"/>
      <c r="Q290" s="1436"/>
      <c r="R290" s="1436"/>
      <c r="S290" s="1436"/>
      <c r="T290" s="1436"/>
      <c r="U290" s="1436"/>
      <c r="V290" s="1436"/>
      <c r="W290" s="1436"/>
      <c r="X290" s="1436"/>
      <c r="Y290" s="1436"/>
      <c r="Z290" s="1436"/>
      <c r="AA290" s="1436"/>
      <c r="AB290" s="1436"/>
      <c r="AC290" s="1436"/>
      <c r="AD290" s="1436"/>
      <c r="AE290" s="1436"/>
      <c r="AF290" s="1436"/>
    </row>
    <row r="291" spans="1:32">
      <c r="A291" s="1436"/>
      <c r="B291" s="1436"/>
      <c r="C291" s="1436"/>
      <c r="D291" s="1436"/>
      <c r="E291" s="1436"/>
      <c r="F291" s="1436"/>
      <c r="G291" s="1436"/>
      <c r="H291" s="1436"/>
      <c r="I291" s="1436"/>
      <c r="J291" s="1436"/>
      <c r="K291" s="1436"/>
      <c r="L291" s="1436"/>
      <c r="M291" s="1436"/>
      <c r="N291" s="1436"/>
      <c r="O291" s="1436"/>
      <c r="P291" s="1436"/>
      <c r="Q291" s="1436"/>
      <c r="R291" s="1436"/>
      <c r="S291" s="1436"/>
      <c r="T291" s="1436"/>
      <c r="U291" s="1436"/>
      <c r="V291" s="1436"/>
      <c r="W291" s="1436"/>
      <c r="X291" s="1436"/>
      <c r="Y291" s="1436"/>
      <c r="Z291" s="1436"/>
      <c r="AA291" s="1436"/>
      <c r="AB291" s="1436"/>
      <c r="AC291" s="1436"/>
      <c r="AD291" s="1436"/>
      <c r="AE291" s="1436"/>
      <c r="AF291" s="1436"/>
    </row>
    <row r="292" spans="1:32">
      <c r="A292" s="1436"/>
      <c r="B292" s="1436"/>
      <c r="C292" s="1436"/>
      <c r="D292" s="1436"/>
      <c r="E292" s="1436"/>
      <c r="F292" s="1436"/>
      <c r="G292" s="1436"/>
      <c r="H292" s="1436"/>
      <c r="I292" s="1436"/>
      <c r="J292" s="1436"/>
      <c r="K292" s="1436"/>
      <c r="L292" s="1436"/>
      <c r="M292" s="1436"/>
      <c r="N292" s="1436"/>
      <c r="O292" s="1436"/>
      <c r="P292" s="1436"/>
      <c r="Q292" s="1436"/>
      <c r="R292" s="1436"/>
      <c r="S292" s="1436"/>
      <c r="T292" s="1436"/>
      <c r="U292" s="1436"/>
      <c r="V292" s="1436"/>
      <c r="W292" s="1436"/>
      <c r="X292" s="1436"/>
      <c r="Y292" s="1436"/>
      <c r="Z292" s="1436"/>
      <c r="AA292" s="1436"/>
      <c r="AB292" s="1436"/>
      <c r="AC292" s="1436"/>
      <c r="AD292" s="1436"/>
      <c r="AE292" s="1436"/>
      <c r="AF292" s="1436"/>
    </row>
    <row r="293" spans="1:32">
      <c r="A293" s="1436"/>
      <c r="B293" s="1436"/>
      <c r="C293" s="1436"/>
      <c r="D293" s="1436"/>
      <c r="E293" s="1436"/>
      <c r="F293" s="1436"/>
      <c r="G293" s="1436"/>
      <c r="H293" s="1436"/>
      <c r="I293" s="1436"/>
      <c r="J293" s="1436"/>
      <c r="K293" s="1436"/>
      <c r="L293" s="1436"/>
      <c r="M293" s="1436"/>
      <c r="N293" s="1436"/>
      <c r="O293" s="1436"/>
      <c r="P293" s="1436"/>
      <c r="Q293" s="1436"/>
      <c r="R293" s="1436"/>
      <c r="S293" s="1436"/>
      <c r="T293" s="1436"/>
      <c r="U293" s="1436"/>
      <c r="V293" s="1436"/>
      <c r="W293" s="1436"/>
      <c r="X293" s="1436"/>
      <c r="Y293" s="1436"/>
      <c r="Z293" s="1436"/>
      <c r="AA293" s="1436"/>
      <c r="AB293" s="1436"/>
      <c r="AC293" s="1436"/>
      <c r="AD293" s="1436"/>
      <c r="AE293" s="1436"/>
      <c r="AF293" s="1436"/>
    </row>
    <row r="294" spans="1:32">
      <c r="A294" s="1436"/>
      <c r="B294" s="1436"/>
      <c r="C294" s="1436"/>
      <c r="D294" s="1436"/>
      <c r="E294" s="1436"/>
      <c r="F294" s="1436"/>
      <c r="G294" s="1436"/>
      <c r="H294" s="1436"/>
      <c r="I294" s="1436"/>
      <c r="J294" s="1436"/>
      <c r="K294" s="1436"/>
      <c r="L294" s="1436"/>
      <c r="M294" s="1436"/>
      <c r="N294" s="1436"/>
      <c r="O294" s="1436"/>
      <c r="P294" s="1436"/>
      <c r="Q294" s="1436"/>
      <c r="R294" s="1436"/>
      <c r="S294" s="1436"/>
      <c r="T294" s="1436"/>
      <c r="U294" s="1436"/>
      <c r="V294" s="1436"/>
      <c r="W294" s="1436"/>
      <c r="X294" s="1436"/>
      <c r="Y294" s="1436"/>
      <c r="Z294" s="1436"/>
      <c r="AA294" s="1436"/>
      <c r="AB294" s="1436"/>
      <c r="AC294" s="1436"/>
      <c r="AD294" s="1436"/>
      <c r="AE294" s="1436"/>
      <c r="AF294" s="1436"/>
    </row>
    <row r="295" spans="1:32">
      <c r="A295" s="1436"/>
      <c r="B295" s="1436"/>
      <c r="C295" s="1436"/>
      <c r="D295" s="1436"/>
      <c r="E295" s="1436"/>
      <c r="F295" s="1436"/>
      <c r="G295" s="1436"/>
      <c r="H295" s="1436"/>
      <c r="I295" s="1436"/>
      <c r="J295" s="1436"/>
      <c r="K295" s="1436"/>
      <c r="L295" s="1436"/>
      <c r="M295" s="1436"/>
      <c r="N295" s="1436"/>
      <c r="O295" s="1436"/>
      <c r="P295" s="1436"/>
      <c r="Q295" s="1436"/>
      <c r="R295" s="1436"/>
      <c r="S295" s="1436"/>
      <c r="T295" s="1436"/>
      <c r="U295" s="1436"/>
      <c r="V295" s="1436"/>
      <c r="W295" s="1436"/>
      <c r="X295" s="1436"/>
      <c r="Y295" s="1436"/>
      <c r="Z295" s="1436"/>
      <c r="AA295" s="1436"/>
      <c r="AB295" s="1436"/>
      <c r="AC295" s="1436"/>
      <c r="AD295" s="1436"/>
      <c r="AE295" s="1436"/>
      <c r="AF295" s="1436"/>
    </row>
    <row r="296" spans="1:32">
      <c r="A296" s="1436"/>
      <c r="B296" s="1436"/>
      <c r="C296" s="1436"/>
      <c r="D296" s="1436"/>
      <c r="E296" s="1436"/>
      <c r="F296" s="1436"/>
      <c r="G296" s="1436"/>
      <c r="H296" s="1436"/>
      <c r="I296" s="1436"/>
      <c r="J296" s="1436"/>
      <c r="K296" s="1436"/>
      <c r="L296" s="1436"/>
      <c r="M296" s="1436"/>
      <c r="N296" s="1436"/>
      <c r="O296" s="1436"/>
      <c r="P296" s="1436"/>
      <c r="Q296" s="1436"/>
      <c r="R296" s="1436"/>
      <c r="S296" s="1436"/>
      <c r="T296" s="1436"/>
      <c r="U296" s="1436"/>
      <c r="V296" s="1436"/>
      <c r="W296" s="1436"/>
      <c r="X296" s="1436"/>
      <c r="Y296" s="1436"/>
      <c r="Z296" s="1436"/>
      <c r="AA296" s="1436"/>
      <c r="AB296" s="1436"/>
      <c r="AC296" s="1436"/>
      <c r="AD296" s="1436"/>
      <c r="AE296" s="1436"/>
      <c r="AF296" s="1436"/>
    </row>
    <row r="297" spans="1:32">
      <c r="A297" s="1436"/>
      <c r="B297" s="1436"/>
      <c r="C297" s="1436"/>
      <c r="D297" s="1436"/>
      <c r="E297" s="1436"/>
      <c r="F297" s="1436"/>
      <c r="G297" s="1436"/>
      <c r="H297" s="1436"/>
      <c r="I297" s="1436"/>
      <c r="J297" s="1436"/>
      <c r="K297" s="1436"/>
      <c r="L297" s="1436"/>
      <c r="M297" s="1436"/>
      <c r="N297" s="1436"/>
      <c r="O297" s="1436"/>
      <c r="P297" s="1436"/>
      <c r="Q297" s="1436"/>
      <c r="R297" s="1436"/>
      <c r="S297" s="1436"/>
      <c r="T297" s="1436"/>
      <c r="U297" s="1436"/>
      <c r="V297" s="1436"/>
      <c r="W297" s="1436"/>
      <c r="X297" s="1436"/>
      <c r="Y297" s="1436"/>
      <c r="Z297" s="1436"/>
      <c r="AA297" s="1436"/>
      <c r="AB297" s="1436"/>
      <c r="AC297" s="1436"/>
      <c r="AD297" s="1436"/>
      <c r="AE297" s="1436"/>
      <c r="AF297" s="1436"/>
    </row>
    <row r="298" spans="1:32">
      <c r="A298" s="1436"/>
      <c r="B298" s="1436"/>
      <c r="C298" s="1436"/>
      <c r="D298" s="1436"/>
      <c r="E298" s="1436"/>
      <c r="F298" s="1436"/>
      <c r="G298" s="1436"/>
      <c r="H298" s="1436"/>
      <c r="I298" s="1436"/>
      <c r="J298" s="1436"/>
      <c r="K298" s="1436"/>
      <c r="L298" s="1436"/>
      <c r="M298" s="1436"/>
      <c r="N298" s="1436"/>
      <c r="O298" s="1436"/>
      <c r="P298" s="1436"/>
      <c r="Q298" s="1436"/>
      <c r="R298" s="1436"/>
      <c r="S298" s="1436"/>
      <c r="T298" s="1436"/>
      <c r="U298" s="1436"/>
      <c r="V298" s="1436"/>
      <c r="W298" s="1436"/>
      <c r="X298" s="1436"/>
      <c r="Y298" s="1436"/>
      <c r="Z298" s="1436"/>
      <c r="AA298" s="1436"/>
      <c r="AB298" s="1436"/>
      <c r="AC298" s="1436"/>
      <c r="AD298" s="1436"/>
      <c r="AE298" s="1436"/>
      <c r="AF298" s="1436"/>
    </row>
    <row r="299" spans="1:32">
      <c r="A299" s="1436"/>
      <c r="B299" s="1436"/>
      <c r="C299" s="1436"/>
      <c r="D299" s="1436"/>
      <c r="E299" s="1436"/>
      <c r="F299" s="1436"/>
      <c r="G299" s="1436"/>
      <c r="H299" s="1436"/>
      <c r="I299" s="1436"/>
      <c r="J299" s="1436"/>
      <c r="K299" s="1436"/>
      <c r="L299" s="1436"/>
      <c r="M299" s="1436"/>
      <c r="N299" s="1436"/>
      <c r="O299" s="1436"/>
      <c r="P299" s="1436"/>
      <c r="Q299" s="1436"/>
      <c r="R299" s="1436"/>
      <c r="S299" s="1436"/>
      <c r="T299" s="1436"/>
      <c r="U299" s="1436"/>
      <c r="V299" s="1436"/>
      <c r="W299" s="1436"/>
      <c r="X299" s="1436"/>
      <c r="Y299" s="1436"/>
      <c r="Z299" s="1436"/>
      <c r="AA299" s="1436"/>
      <c r="AB299" s="1436"/>
      <c r="AC299" s="1436"/>
      <c r="AD299" s="1436"/>
      <c r="AE299" s="1436"/>
      <c r="AF299" s="1436"/>
    </row>
    <row r="300" spans="1:32">
      <c r="A300" s="1436"/>
      <c r="B300" s="1436"/>
      <c r="C300" s="1436"/>
      <c r="D300" s="1436"/>
      <c r="E300" s="1436"/>
      <c r="F300" s="1436"/>
      <c r="G300" s="1436"/>
      <c r="H300" s="1436"/>
      <c r="I300" s="1436"/>
      <c r="J300" s="1436"/>
      <c r="K300" s="1436"/>
      <c r="L300" s="1436"/>
      <c r="M300" s="1436"/>
      <c r="N300" s="1436"/>
      <c r="O300" s="1436"/>
      <c r="P300" s="1436"/>
      <c r="Q300" s="1436"/>
      <c r="R300" s="1436"/>
      <c r="S300" s="1436"/>
      <c r="T300" s="1436"/>
      <c r="U300" s="1436"/>
      <c r="V300" s="1436"/>
      <c r="W300" s="1436"/>
      <c r="X300" s="1436"/>
      <c r="Y300" s="1436"/>
      <c r="Z300" s="1436"/>
      <c r="AA300" s="1436"/>
      <c r="AB300" s="1436"/>
      <c r="AC300" s="1436"/>
      <c r="AD300" s="1436"/>
      <c r="AE300" s="1436"/>
      <c r="AF300" s="1436"/>
    </row>
    <row r="301" spans="1:32">
      <c r="A301" s="1436"/>
      <c r="B301" s="1436"/>
      <c r="C301" s="1436"/>
      <c r="D301" s="1436"/>
      <c r="E301" s="1436"/>
      <c r="F301" s="1436"/>
      <c r="G301" s="1436"/>
      <c r="H301" s="1436"/>
      <c r="I301" s="1436"/>
      <c r="J301" s="1436"/>
      <c r="K301" s="1436"/>
      <c r="L301" s="1436"/>
      <c r="M301" s="1436"/>
      <c r="N301" s="1436"/>
      <c r="O301" s="1436"/>
      <c r="P301" s="1436"/>
      <c r="Q301" s="1436"/>
      <c r="R301" s="1436"/>
      <c r="S301" s="1436"/>
      <c r="T301" s="1436"/>
      <c r="U301" s="1436"/>
      <c r="V301" s="1436"/>
      <c r="W301" s="1436"/>
      <c r="X301" s="1436"/>
      <c r="Y301" s="1436"/>
      <c r="Z301" s="1436"/>
      <c r="AA301" s="1436"/>
      <c r="AB301" s="1436"/>
      <c r="AC301" s="1436"/>
      <c r="AD301" s="1436"/>
      <c r="AE301" s="1436"/>
      <c r="AF301" s="1436"/>
    </row>
    <row r="302" spans="1:32">
      <c r="A302" s="1436"/>
      <c r="B302" s="1436"/>
      <c r="C302" s="1436"/>
      <c r="D302" s="1436"/>
      <c r="E302" s="1436"/>
      <c r="F302" s="1436"/>
      <c r="G302" s="1436"/>
      <c r="H302" s="1436"/>
      <c r="I302" s="1436"/>
      <c r="J302" s="1436"/>
      <c r="K302" s="1436"/>
      <c r="L302" s="1436"/>
      <c r="M302" s="1436"/>
      <c r="N302" s="1436"/>
      <c r="O302" s="1436"/>
      <c r="P302" s="1436"/>
      <c r="Q302" s="1436"/>
      <c r="R302" s="1436"/>
      <c r="S302" s="1436"/>
      <c r="T302" s="1436"/>
      <c r="U302" s="1436"/>
      <c r="V302" s="1436"/>
      <c r="W302" s="1436"/>
      <c r="X302" s="1436"/>
      <c r="Y302" s="1436"/>
      <c r="Z302" s="1436"/>
      <c r="AA302" s="1436"/>
      <c r="AB302" s="1436"/>
      <c r="AC302" s="1436"/>
      <c r="AD302" s="1436"/>
      <c r="AE302" s="1436"/>
      <c r="AF302" s="1436"/>
    </row>
    <row r="303" spans="1:32">
      <c r="A303" s="1436"/>
      <c r="B303" s="1436"/>
      <c r="C303" s="1436"/>
      <c r="D303" s="1436"/>
      <c r="E303" s="1436"/>
      <c r="F303" s="1436"/>
      <c r="G303" s="1436"/>
      <c r="H303" s="1436"/>
      <c r="I303" s="1436"/>
      <c r="J303" s="1436"/>
      <c r="K303" s="1436"/>
      <c r="L303" s="1436"/>
      <c r="M303" s="1436"/>
      <c r="N303" s="1436"/>
      <c r="O303" s="1436"/>
      <c r="P303" s="1436"/>
      <c r="Q303" s="1436"/>
      <c r="R303" s="1436"/>
      <c r="S303" s="1436"/>
      <c r="T303" s="1436"/>
      <c r="U303" s="1436"/>
      <c r="V303" s="1436"/>
      <c r="W303" s="1436"/>
      <c r="X303" s="1436"/>
      <c r="Y303" s="1436"/>
      <c r="Z303" s="1436"/>
      <c r="AA303" s="1436"/>
      <c r="AB303" s="1436"/>
      <c r="AC303" s="1436"/>
      <c r="AD303" s="1436"/>
      <c r="AE303" s="1436"/>
      <c r="AF303" s="1436"/>
    </row>
    <row r="304" spans="1:32">
      <c r="A304" s="1436"/>
      <c r="B304" s="1436"/>
      <c r="C304" s="1436"/>
      <c r="D304" s="1436"/>
      <c r="E304" s="1436"/>
      <c r="F304" s="1436"/>
      <c r="G304" s="1436"/>
      <c r="H304" s="1436"/>
      <c r="I304" s="1436"/>
      <c r="J304" s="1436"/>
      <c r="K304" s="1436"/>
      <c r="L304" s="1436"/>
      <c r="M304" s="1436"/>
      <c r="N304" s="1436"/>
      <c r="O304" s="1436"/>
      <c r="P304" s="1436"/>
      <c r="Q304" s="1436"/>
      <c r="R304" s="1436"/>
      <c r="S304" s="1436"/>
      <c r="T304" s="1436"/>
      <c r="U304" s="1436"/>
      <c r="V304" s="1436"/>
      <c r="W304" s="1436"/>
      <c r="X304" s="1436"/>
      <c r="Y304" s="1436"/>
      <c r="Z304" s="1436"/>
      <c r="AA304" s="1436"/>
      <c r="AB304" s="1436"/>
      <c r="AC304" s="1436"/>
      <c r="AD304" s="1436"/>
      <c r="AE304" s="1436"/>
      <c r="AF304" s="1436"/>
    </row>
    <row r="305" spans="1:32">
      <c r="A305" s="1436"/>
      <c r="B305" s="1436"/>
      <c r="C305" s="1436"/>
      <c r="D305" s="1436"/>
      <c r="E305" s="1436"/>
      <c r="F305" s="1436"/>
      <c r="G305" s="1436"/>
      <c r="H305" s="1436"/>
      <c r="I305" s="1436"/>
      <c r="J305" s="1436"/>
      <c r="K305" s="1436"/>
      <c r="L305" s="1436"/>
      <c r="M305" s="1436"/>
      <c r="N305" s="1436"/>
      <c r="O305" s="1436"/>
      <c r="P305" s="1436"/>
      <c r="Q305" s="1436"/>
      <c r="R305" s="1436"/>
      <c r="S305" s="1436"/>
      <c r="T305" s="1436"/>
      <c r="U305" s="1436"/>
      <c r="V305" s="1436"/>
      <c r="W305" s="1436"/>
      <c r="X305" s="1436"/>
      <c r="Y305" s="1436"/>
      <c r="Z305" s="1436"/>
      <c r="AA305" s="1436"/>
      <c r="AB305" s="1436"/>
      <c r="AC305" s="1436"/>
      <c r="AD305" s="1436"/>
      <c r="AE305" s="1436"/>
      <c r="AF305" s="1436"/>
    </row>
    <row r="306" spans="1:32">
      <c r="A306" s="1436"/>
      <c r="B306" s="1436"/>
      <c r="C306" s="1436"/>
      <c r="D306" s="1436"/>
      <c r="E306" s="1436"/>
      <c r="F306" s="1436"/>
      <c r="G306" s="1436"/>
      <c r="H306" s="1436"/>
      <c r="I306" s="1436"/>
      <c r="J306" s="1436"/>
      <c r="K306" s="1436"/>
      <c r="L306" s="1436"/>
      <c r="M306" s="1436"/>
      <c r="N306" s="1436"/>
      <c r="O306" s="1436"/>
      <c r="P306" s="1436"/>
      <c r="Q306" s="1436"/>
      <c r="R306" s="1436"/>
      <c r="S306" s="1436"/>
      <c r="T306" s="1436"/>
      <c r="U306" s="1436"/>
      <c r="V306" s="1436"/>
      <c r="W306" s="1436"/>
      <c r="X306" s="1436"/>
      <c r="Y306" s="1436"/>
      <c r="Z306" s="1436"/>
      <c r="AA306" s="1436"/>
      <c r="AB306" s="1436"/>
      <c r="AC306" s="1436"/>
      <c r="AD306" s="1436"/>
      <c r="AE306" s="1436"/>
      <c r="AF306" s="1436"/>
    </row>
    <row r="307" spans="1:32">
      <c r="A307" s="1436"/>
      <c r="B307" s="1436"/>
      <c r="C307" s="1436"/>
      <c r="D307" s="1436"/>
      <c r="E307" s="1436"/>
      <c r="F307" s="1436"/>
      <c r="G307" s="1436"/>
      <c r="H307" s="1436"/>
      <c r="I307" s="1436"/>
      <c r="J307" s="1436"/>
      <c r="K307" s="1436"/>
      <c r="L307" s="1436"/>
      <c r="M307" s="1436"/>
      <c r="N307" s="1436"/>
      <c r="O307" s="1436"/>
      <c r="P307" s="1436"/>
      <c r="Q307" s="1436"/>
      <c r="R307" s="1436"/>
      <c r="S307" s="1436"/>
      <c r="T307" s="1436"/>
      <c r="U307" s="1436"/>
      <c r="V307" s="1436"/>
      <c r="W307" s="1436"/>
      <c r="X307" s="1436"/>
      <c r="Y307" s="1436"/>
      <c r="Z307" s="1436"/>
      <c r="AA307" s="1436"/>
      <c r="AB307" s="1436"/>
      <c r="AC307" s="1436"/>
      <c r="AD307" s="1436"/>
      <c r="AE307" s="1436"/>
      <c r="AF307" s="1436"/>
    </row>
    <row r="308" spans="1:32">
      <c r="A308" s="1436"/>
      <c r="B308" s="1436"/>
      <c r="C308" s="1436"/>
      <c r="D308" s="1436"/>
      <c r="E308" s="1436"/>
      <c r="F308" s="1436"/>
      <c r="G308" s="1436"/>
      <c r="H308" s="1436"/>
      <c r="I308" s="1436"/>
      <c r="J308" s="1436"/>
      <c r="K308" s="1436"/>
      <c r="L308" s="1436"/>
      <c r="M308" s="1436"/>
      <c r="N308" s="1436"/>
      <c r="O308" s="1436"/>
      <c r="P308" s="1436"/>
      <c r="Q308" s="1436"/>
      <c r="R308" s="1436"/>
      <c r="S308" s="1436"/>
      <c r="T308" s="1436"/>
      <c r="U308" s="1436"/>
      <c r="V308" s="1436"/>
      <c r="W308" s="1436"/>
      <c r="X308" s="1436"/>
      <c r="Y308" s="1436"/>
      <c r="Z308" s="1436"/>
      <c r="AA308" s="1436"/>
      <c r="AB308" s="1436"/>
      <c r="AC308" s="1436"/>
      <c r="AD308" s="1436"/>
      <c r="AE308" s="1436"/>
      <c r="AF308" s="1436"/>
    </row>
    <row r="309" spans="1:32">
      <c r="A309" s="1436"/>
      <c r="B309" s="1436"/>
      <c r="C309" s="1436"/>
      <c r="D309" s="1436"/>
      <c r="E309" s="1436"/>
      <c r="F309" s="1436"/>
      <c r="G309" s="1436"/>
      <c r="H309" s="1436"/>
      <c r="I309" s="1436"/>
      <c r="J309" s="1436"/>
      <c r="K309" s="1436"/>
      <c r="L309" s="1436"/>
      <c r="M309" s="1436"/>
      <c r="N309" s="1436"/>
      <c r="O309" s="1436"/>
      <c r="P309" s="1436"/>
      <c r="Q309" s="1436"/>
      <c r="R309" s="1436"/>
      <c r="S309" s="1436"/>
      <c r="T309" s="1436"/>
      <c r="U309" s="1436"/>
      <c r="V309" s="1436"/>
      <c r="W309" s="1436"/>
      <c r="X309" s="1436"/>
      <c r="Y309" s="1436"/>
      <c r="Z309" s="1436"/>
      <c r="AA309" s="1436"/>
      <c r="AB309" s="1436"/>
      <c r="AC309" s="1436"/>
      <c r="AD309" s="1436"/>
      <c r="AE309" s="1436"/>
      <c r="AF309" s="1436"/>
    </row>
    <row r="310" spans="1:32">
      <c r="A310" s="1436"/>
      <c r="B310" s="1436"/>
      <c r="C310" s="1436"/>
      <c r="D310" s="1436"/>
      <c r="E310" s="1436"/>
      <c r="F310" s="1436"/>
      <c r="G310" s="1436"/>
      <c r="H310" s="1436"/>
      <c r="I310" s="1436"/>
      <c r="J310" s="1436"/>
      <c r="K310" s="1436"/>
      <c r="L310" s="1436"/>
      <c r="M310" s="1436"/>
      <c r="N310" s="1436"/>
      <c r="O310" s="1436"/>
      <c r="P310" s="1436"/>
      <c r="Q310" s="1436"/>
      <c r="R310" s="1436"/>
      <c r="S310" s="1436"/>
      <c r="T310" s="1436"/>
      <c r="U310" s="1436"/>
      <c r="V310" s="1436"/>
      <c r="W310" s="1436"/>
      <c r="X310" s="1436"/>
      <c r="Y310" s="1436"/>
      <c r="Z310" s="1436"/>
      <c r="AA310" s="1436"/>
      <c r="AB310" s="1436"/>
      <c r="AC310" s="1436"/>
      <c r="AD310" s="1436"/>
      <c r="AE310" s="1436"/>
      <c r="AF310" s="1436"/>
    </row>
    <row r="311" spans="1:32">
      <c r="A311" s="1436"/>
      <c r="B311" s="1436"/>
      <c r="C311" s="1436"/>
      <c r="D311" s="1436"/>
      <c r="E311" s="1436"/>
      <c r="F311" s="1436"/>
      <c r="G311" s="1436"/>
      <c r="H311" s="1436"/>
      <c r="I311" s="1436"/>
      <c r="J311" s="1436"/>
      <c r="K311" s="1436"/>
      <c r="L311" s="1436"/>
      <c r="M311" s="1436"/>
      <c r="N311" s="1436"/>
      <c r="O311" s="1436"/>
      <c r="P311" s="1436"/>
      <c r="Q311" s="1436"/>
      <c r="R311" s="1436"/>
      <c r="S311" s="1436"/>
      <c r="T311" s="1436"/>
      <c r="U311" s="1436"/>
      <c r="V311" s="1436"/>
      <c r="W311" s="1436"/>
      <c r="X311" s="1436"/>
      <c r="Y311" s="1436"/>
      <c r="Z311" s="1436"/>
      <c r="AA311" s="1436"/>
      <c r="AB311" s="1436"/>
      <c r="AC311" s="1436"/>
      <c r="AD311" s="1436"/>
      <c r="AE311" s="1436"/>
      <c r="AF311" s="1436"/>
    </row>
    <row r="312" spans="1:32">
      <c r="A312" s="1436"/>
      <c r="B312" s="1436"/>
      <c r="C312" s="1436"/>
      <c r="D312" s="1436"/>
      <c r="E312" s="1436"/>
      <c r="F312" s="1436"/>
      <c r="G312" s="1436"/>
      <c r="H312" s="1436"/>
      <c r="I312" s="1436"/>
      <c r="J312" s="1436"/>
      <c r="K312" s="1436"/>
      <c r="L312" s="1436"/>
      <c r="M312" s="1436"/>
      <c r="N312" s="1436"/>
      <c r="O312" s="1436"/>
      <c r="P312" s="1436"/>
      <c r="Q312" s="1436"/>
      <c r="R312" s="1436"/>
      <c r="S312" s="1436"/>
      <c r="T312" s="1436"/>
      <c r="U312" s="1436"/>
      <c r="V312" s="1436"/>
      <c r="W312" s="1436"/>
      <c r="X312" s="1436"/>
      <c r="Y312" s="1436"/>
      <c r="Z312" s="1436"/>
      <c r="AA312" s="1436"/>
      <c r="AB312" s="1436"/>
      <c r="AC312" s="1436"/>
      <c r="AD312" s="1436"/>
      <c r="AE312" s="1436"/>
      <c r="AF312" s="1436"/>
    </row>
    <row r="313" spans="1:32">
      <c r="A313" s="1436"/>
      <c r="B313" s="1436"/>
      <c r="C313" s="1436"/>
      <c r="D313" s="1436"/>
      <c r="E313" s="1436"/>
      <c r="F313" s="1436"/>
      <c r="G313" s="1436"/>
      <c r="H313" s="1436"/>
      <c r="I313" s="1436"/>
      <c r="J313" s="1436"/>
      <c r="K313" s="1436"/>
      <c r="L313" s="1436"/>
      <c r="M313" s="1436"/>
      <c r="N313" s="1436"/>
      <c r="O313" s="1436"/>
      <c r="P313" s="1436"/>
      <c r="Q313" s="1436"/>
      <c r="R313" s="1436"/>
      <c r="S313" s="1436"/>
      <c r="T313" s="1436"/>
      <c r="U313" s="1436"/>
      <c r="V313" s="1436"/>
      <c r="W313" s="1436"/>
      <c r="X313" s="1436"/>
      <c r="Y313" s="1436"/>
      <c r="Z313" s="1436"/>
      <c r="AA313" s="1436"/>
      <c r="AB313" s="1436"/>
      <c r="AC313" s="1436"/>
      <c r="AD313" s="1436"/>
      <c r="AE313" s="1436"/>
      <c r="AF313" s="1436"/>
    </row>
    <row r="314" spans="1:32">
      <c r="A314" s="1436"/>
      <c r="B314" s="1436"/>
      <c r="C314" s="1436"/>
      <c r="D314" s="1436"/>
      <c r="E314" s="1436"/>
      <c r="F314" s="1436"/>
      <c r="G314" s="1436"/>
      <c r="H314" s="1436"/>
      <c r="I314" s="1436"/>
      <c r="J314" s="1436"/>
      <c r="K314" s="1436"/>
      <c r="L314" s="1436"/>
      <c r="M314" s="1436"/>
      <c r="N314" s="1436"/>
      <c r="O314" s="1436"/>
      <c r="P314" s="1436"/>
      <c r="Q314" s="1436"/>
      <c r="R314" s="1436"/>
      <c r="S314" s="1436"/>
      <c r="T314" s="1436"/>
      <c r="U314" s="1436"/>
      <c r="V314" s="1436"/>
      <c r="W314" s="1436"/>
      <c r="X314" s="1436"/>
      <c r="Y314" s="1436"/>
      <c r="Z314" s="1436"/>
      <c r="AA314" s="1436"/>
      <c r="AB314" s="1436"/>
      <c r="AC314" s="1436"/>
      <c r="AD314" s="1436"/>
      <c r="AE314" s="1436"/>
      <c r="AF314" s="1436"/>
    </row>
    <row r="315" spans="1:32">
      <c r="A315" s="1436"/>
      <c r="B315" s="1436"/>
      <c r="C315" s="1436"/>
      <c r="D315" s="1436"/>
      <c r="E315" s="1436"/>
      <c r="F315" s="1436"/>
      <c r="G315" s="1436"/>
      <c r="H315" s="1436"/>
      <c r="I315" s="1436"/>
      <c r="J315" s="1436"/>
      <c r="K315" s="1436"/>
      <c r="L315" s="1436"/>
      <c r="M315" s="1436"/>
      <c r="N315" s="1436"/>
      <c r="O315" s="1436"/>
      <c r="P315" s="1436"/>
      <c r="Q315" s="1436"/>
      <c r="R315" s="1436"/>
      <c r="S315" s="1436"/>
      <c r="T315" s="1436"/>
      <c r="U315" s="1436"/>
      <c r="V315" s="1436"/>
      <c r="W315" s="1436"/>
      <c r="X315" s="1436"/>
      <c r="Y315" s="1436"/>
      <c r="Z315" s="1436"/>
      <c r="AA315" s="1436"/>
      <c r="AB315" s="1436"/>
      <c r="AC315" s="1436"/>
      <c r="AD315" s="1436"/>
      <c r="AE315" s="1436"/>
      <c r="AF315" s="1436"/>
    </row>
    <row r="316" spans="1:32">
      <c r="A316" s="1436"/>
      <c r="B316" s="1436"/>
      <c r="C316" s="1436"/>
      <c r="D316" s="1436"/>
      <c r="E316" s="1436"/>
      <c r="F316" s="1436"/>
      <c r="G316" s="1436"/>
      <c r="H316" s="1436"/>
      <c r="I316" s="1436"/>
      <c r="J316" s="1436"/>
      <c r="K316" s="1436"/>
      <c r="L316" s="1436"/>
      <c r="M316" s="1436"/>
      <c r="N316" s="1436"/>
      <c r="O316" s="1436"/>
      <c r="P316" s="1436"/>
      <c r="Q316" s="1436"/>
      <c r="R316" s="1436"/>
      <c r="S316" s="1436"/>
      <c r="T316" s="1436"/>
      <c r="U316" s="1436"/>
      <c r="V316" s="1436"/>
      <c r="W316" s="1436"/>
      <c r="X316" s="1436"/>
      <c r="Y316" s="1436"/>
      <c r="Z316" s="1436"/>
      <c r="AA316" s="1436"/>
      <c r="AB316" s="1436"/>
      <c r="AC316" s="1436"/>
      <c r="AD316" s="1436"/>
      <c r="AE316" s="1436"/>
      <c r="AF316" s="1436"/>
    </row>
    <row r="317" spans="1:32">
      <c r="A317" s="1436"/>
      <c r="B317" s="1436"/>
      <c r="C317" s="1436"/>
      <c r="D317" s="1436"/>
      <c r="E317" s="1436"/>
      <c r="F317" s="1436"/>
      <c r="G317" s="1436"/>
      <c r="H317" s="1436"/>
      <c r="I317" s="1436"/>
      <c r="J317" s="1436"/>
      <c r="K317" s="1436"/>
      <c r="L317" s="1436"/>
      <c r="M317" s="1436"/>
      <c r="N317" s="1436"/>
      <c r="O317" s="1436"/>
      <c r="P317" s="1436"/>
      <c r="Q317" s="1436"/>
      <c r="R317" s="1436"/>
      <c r="S317" s="1436"/>
      <c r="T317" s="1436"/>
      <c r="U317" s="1436"/>
      <c r="V317" s="1436"/>
      <c r="W317" s="1436"/>
      <c r="X317" s="1436"/>
      <c r="Y317" s="1436"/>
      <c r="Z317" s="1436"/>
      <c r="AA317" s="1436"/>
      <c r="AB317" s="1436"/>
      <c r="AC317" s="1436"/>
      <c r="AD317" s="1436"/>
      <c r="AE317" s="1436"/>
      <c r="AF317" s="1436"/>
    </row>
    <row r="318" spans="1:32">
      <c r="A318" s="1436"/>
      <c r="B318" s="1436"/>
      <c r="C318" s="1436"/>
      <c r="D318" s="1436"/>
      <c r="E318" s="1436"/>
      <c r="F318" s="1436"/>
      <c r="G318" s="1436"/>
      <c r="H318" s="1436"/>
      <c r="I318" s="1436"/>
      <c r="J318" s="1436"/>
      <c r="K318" s="1436"/>
      <c r="L318" s="1436"/>
      <c r="M318" s="1436"/>
      <c r="N318" s="1436"/>
      <c r="O318" s="1436"/>
      <c r="P318" s="1436"/>
      <c r="Q318" s="1436"/>
      <c r="R318" s="1436"/>
      <c r="S318" s="1436"/>
      <c r="T318" s="1436"/>
      <c r="U318" s="1436"/>
      <c r="V318" s="1436"/>
      <c r="W318" s="1436"/>
      <c r="X318" s="1436"/>
      <c r="Y318" s="1436"/>
      <c r="Z318" s="1436"/>
      <c r="AA318" s="1436"/>
      <c r="AB318" s="1436"/>
      <c r="AC318" s="1436"/>
      <c r="AD318" s="1436"/>
      <c r="AE318" s="1436"/>
      <c r="AF318" s="1436"/>
    </row>
    <row r="319" spans="1:32">
      <c r="A319" s="1436"/>
      <c r="B319" s="1436"/>
      <c r="C319" s="1436"/>
      <c r="D319" s="1436"/>
      <c r="E319" s="1436"/>
      <c r="F319" s="1436"/>
      <c r="G319" s="1436"/>
      <c r="H319" s="1436"/>
      <c r="I319" s="1436"/>
      <c r="J319" s="1436"/>
      <c r="K319" s="1436"/>
      <c r="L319" s="1436"/>
      <c r="M319" s="1436"/>
      <c r="N319" s="1436"/>
      <c r="O319" s="1436"/>
      <c r="P319" s="1436"/>
      <c r="Q319" s="1436"/>
      <c r="R319" s="1436"/>
      <c r="S319" s="1436"/>
      <c r="T319" s="1436"/>
      <c r="U319" s="1436"/>
      <c r="V319" s="1436"/>
      <c r="W319" s="1436"/>
      <c r="X319" s="1436"/>
      <c r="Y319" s="1436"/>
      <c r="Z319" s="1436"/>
      <c r="AA319" s="1436"/>
      <c r="AB319" s="1436"/>
      <c r="AC319" s="1436"/>
      <c r="AD319" s="1436"/>
      <c r="AE319" s="1436"/>
      <c r="AF319" s="1436"/>
    </row>
    <row r="320" spans="1:32">
      <c r="A320" s="1436"/>
      <c r="B320" s="1436"/>
      <c r="C320" s="1436"/>
      <c r="D320" s="1436"/>
      <c r="E320" s="1436"/>
      <c r="F320" s="1436"/>
      <c r="G320" s="1436"/>
      <c r="H320" s="1436"/>
      <c r="I320" s="1436"/>
      <c r="J320" s="1436"/>
      <c r="K320" s="1436"/>
      <c r="L320" s="1436"/>
      <c r="M320" s="1436"/>
      <c r="N320" s="1436"/>
      <c r="O320" s="1436"/>
      <c r="P320" s="1436"/>
      <c r="Q320" s="1436"/>
      <c r="R320" s="1436"/>
      <c r="S320" s="1436"/>
      <c r="T320" s="1436"/>
      <c r="U320" s="1436"/>
      <c r="V320" s="1436"/>
      <c r="W320" s="1436"/>
      <c r="X320" s="1436"/>
      <c r="Y320" s="1436"/>
      <c r="Z320" s="1436"/>
      <c r="AA320" s="1436"/>
      <c r="AB320" s="1436"/>
      <c r="AC320" s="1436"/>
      <c r="AD320" s="1436"/>
      <c r="AE320" s="1436"/>
      <c r="AF320" s="1436"/>
    </row>
    <row r="321" spans="1:32">
      <c r="A321" s="1436"/>
      <c r="B321" s="1436"/>
      <c r="C321" s="1436"/>
      <c r="D321" s="1436"/>
      <c r="E321" s="1436"/>
      <c r="F321" s="1436"/>
      <c r="G321" s="1436"/>
      <c r="H321" s="1436"/>
      <c r="I321" s="1436"/>
      <c r="J321" s="1436"/>
      <c r="K321" s="1436"/>
      <c r="L321" s="1436"/>
      <c r="M321" s="1436"/>
      <c r="N321" s="1436"/>
      <c r="O321" s="1436"/>
      <c r="P321" s="1436"/>
      <c r="Q321" s="1436"/>
      <c r="R321" s="1436"/>
      <c r="S321" s="1436"/>
      <c r="T321" s="1436"/>
      <c r="U321" s="1436"/>
      <c r="V321" s="1436"/>
      <c r="W321" s="1436"/>
      <c r="X321" s="1436"/>
      <c r="Y321" s="1436"/>
      <c r="Z321" s="1436"/>
      <c r="AA321" s="1436"/>
      <c r="AB321" s="1436"/>
      <c r="AC321" s="1436"/>
      <c r="AD321" s="1436"/>
      <c r="AE321" s="1436"/>
      <c r="AF321" s="1436"/>
    </row>
    <row r="322" spans="1:32">
      <c r="A322" s="1436"/>
      <c r="B322" s="1436"/>
      <c r="C322" s="1436"/>
      <c r="D322" s="1436"/>
      <c r="E322" s="1436"/>
      <c r="F322" s="1436"/>
      <c r="G322" s="1436"/>
      <c r="H322" s="1436"/>
      <c r="I322" s="1436"/>
      <c r="J322" s="1436"/>
      <c r="K322" s="1436"/>
      <c r="L322" s="1436"/>
      <c r="M322" s="1436"/>
      <c r="N322" s="1436"/>
      <c r="O322" s="1436"/>
      <c r="P322" s="1436"/>
      <c r="Q322" s="1436"/>
      <c r="R322" s="1436"/>
      <c r="S322" s="1436"/>
      <c r="T322" s="1436"/>
      <c r="U322" s="1436"/>
      <c r="V322" s="1436"/>
      <c r="W322" s="1436"/>
      <c r="X322" s="1436"/>
      <c r="Y322" s="1436"/>
      <c r="Z322" s="1436"/>
      <c r="AA322" s="1436"/>
      <c r="AB322" s="1436"/>
      <c r="AC322" s="1436"/>
      <c r="AD322" s="1436"/>
      <c r="AE322" s="1436"/>
      <c r="AF322" s="1436"/>
    </row>
    <row r="323" spans="1:32">
      <c r="A323" s="1436"/>
      <c r="B323" s="1436"/>
      <c r="C323" s="1436"/>
      <c r="D323" s="1436"/>
      <c r="E323" s="1436"/>
      <c r="F323" s="1436"/>
      <c r="G323" s="1436"/>
      <c r="H323" s="1436"/>
      <c r="I323" s="1436"/>
      <c r="J323" s="1436"/>
      <c r="K323" s="1436"/>
      <c r="L323" s="1436"/>
      <c r="M323" s="1436"/>
      <c r="N323" s="1436"/>
      <c r="O323" s="1436"/>
      <c r="P323" s="1436"/>
      <c r="Q323" s="1436"/>
      <c r="R323" s="1436"/>
      <c r="S323" s="1436"/>
      <c r="T323" s="1436"/>
      <c r="U323" s="1436"/>
      <c r="V323" s="1436"/>
      <c r="W323" s="1436"/>
      <c r="X323" s="1436"/>
      <c r="Y323" s="1436"/>
      <c r="Z323" s="1436"/>
      <c r="AA323" s="1436"/>
      <c r="AB323" s="1436"/>
      <c r="AC323" s="1436"/>
      <c r="AD323" s="1436"/>
      <c r="AE323" s="1436"/>
      <c r="AF323" s="1436"/>
    </row>
    <row r="324" spans="1:32">
      <c r="A324" s="1436"/>
      <c r="B324" s="1436"/>
      <c r="C324" s="1436"/>
      <c r="D324" s="1436"/>
      <c r="E324" s="1436"/>
      <c r="F324" s="1436"/>
      <c r="G324" s="1436"/>
      <c r="H324" s="1436"/>
      <c r="I324" s="1436"/>
      <c r="J324" s="1436"/>
      <c r="K324" s="1436"/>
      <c r="L324" s="1436"/>
      <c r="M324" s="1436"/>
      <c r="N324" s="1436"/>
      <c r="O324" s="1436"/>
      <c r="P324" s="1436"/>
      <c r="Q324" s="1436"/>
      <c r="R324" s="1436"/>
      <c r="S324" s="1436"/>
      <c r="T324" s="1436"/>
      <c r="U324" s="1436"/>
      <c r="V324" s="1436"/>
      <c r="W324" s="1436"/>
      <c r="X324" s="1436"/>
      <c r="Y324" s="1436"/>
      <c r="Z324" s="1436"/>
      <c r="AA324" s="1436"/>
      <c r="AB324" s="1436"/>
      <c r="AC324" s="1436"/>
      <c r="AD324" s="1436"/>
      <c r="AE324" s="1436"/>
      <c r="AF324" s="1436"/>
    </row>
    <row r="325" spans="1:32">
      <c r="A325" s="1436"/>
      <c r="B325" s="1436"/>
      <c r="C325" s="1436"/>
      <c r="D325" s="1436"/>
      <c r="E325" s="1436"/>
      <c r="F325" s="1436"/>
      <c r="G325" s="1436"/>
      <c r="H325" s="1436"/>
      <c r="I325" s="1436"/>
      <c r="J325" s="1436"/>
      <c r="K325" s="1436"/>
      <c r="L325" s="1436"/>
      <c r="M325" s="1436"/>
      <c r="N325" s="1436"/>
      <c r="O325" s="1436"/>
      <c r="P325" s="1436"/>
      <c r="Q325" s="1436"/>
      <c r="R325" s="1436"/>
      <c r="S325" s="1436"/>
      <c r="T325" s="1436"/>
      <c r="U325" s="1436"/>
      <c r="V325" s="1436"/>
      <c r="W325" s="1436"/>
      <c r="X325" s="1436"/>
      <c r="Y325" s="1436"/>
      <c r="Z325" s="1436"/>
      <c r="AA325" s="1436"/>
      <c r="AB325" s="1436"/>
      <c r="AC325" s="1436"/>
      <c r="AD325" s="1436"/>
      <c r="AE325" s="1436"/>
      <c r="AF325" s="1436"/>
    </row>
    <row r="326" spans="1:32">
      <c r="A326" s="1436"/>
      <c r="B326" s="1436"/>
      <c r="C326" s="1436"/>
      <c r="D326" s="1436"/>
      <c r="E326" s="1436"/>
      <c r="F326" s="1436"/>
      <c r="G326" s="1436"/>
      <c r="H326" s="1436"/>
      <c r="I326" s="1436"/>
      <c r="J326" s="1436"/>
      <c r="K326" s="1436"/>
      <c r="L326" s="1436"/>
      <c r="M326" s="1436"/>
      <c r="N326" s="1436"/>
      <c r="O326" s="1436"/>
      <c r="P326" s="1436"/>
      <c r="Q326" s="1436"/>
      <c r="R326" s="1436"/>
      <c r="S326" s="1436"/>
      <c r="T326" s="1436"/>
      <c r="U326" s="1436"/>
      <c r="V326" s="1436"/>
      <c r="W326" s="1436"/>
      <c r="X326" s="1436"/>
      <c r="Y326" s="1436"/>
      <c r="Z326" s="1436"/>
      <c r="AA326" s="1436"/>
      <c r="AB326" s="1436"/>
      <c r="AC326" s="1436"/>
      <c r="AD326" s="1436"/>
      <c r="AE326" s="1436"/>
      <c r="AF326" s="1436"/>
    </row>
    <row r="327" spans="1:32">
      <c r="A327" s="1436"/>
      <c r="B327" s="1436"/>
      <c r="C327" s="1436"/>
      <c r="D327" s="1436"/>
      <c r="E327" s="1436"/>
      <c r="F327" s="1436"/>
      <c r="G327" s="1436"/>
      <c r="H327" s="1436"/>
      <c r="I327" s="1436"/>
      <c r="J327" s="1436"/>
      <c r="K327" s="1436"/>
      <c r="L327" s="1436"/>
      <c r="M327" s="1436"/>
      <c r="N327" s="1436"/>
      <c r="O327" s="1436"/>
      <c r="P327" s="1436"/>
      <c r="Q327" s="1436"/>
      <c r="R327" s="1436"/>
      <c r="S327" s="1436"/>
      <c r="T327" s="1436"/>
      <c r="U327" s="1436"/>
      <c r="V327" s="1436"/>
      <c r="W327" s="1436"/>
      <c r="X327" s="1436"/>
      <c r="Y327" s="1436"/>
      <c r="Z327" s="1436"/>
      <c r="AA327" s="1436"/>
      <c r="AB327" s="1436"/>
      <c r="AC327" s="1436"/>
      <c r="AD327" s="1436"/>
      <c r="AE327" s="1436"/>
      <c r="AF327" s="1436"/>
    </row>
    <row r="328" spans="1:32">
      <c r="A328" s="1436"/>
      <c r="B328" s="1436"/>
      <c r="C328" s="1436"/>
      <c r="D328" s="1436"/>
      <c r="E328" s="1436"/>
      <c r="F328" s="1436"/>
      <c r="G328" s="1436"/>
      <c r="H328" s="1436"/>
      <c r="I328" s="1436"/>
      <c r="J328" s="1436"/>
      <c r="K328" s="1436"/>
      <c r="L328" s="1436"/>
      <c r="M328" s="1436"/>
      <c r="N328" s="1436"/>
      <c r="O328" s="1436"/>
      <c r="P328" s="1436"/>
      <c r="Q328" s="1436"/>
      <c r="R328" s="1436"/>
      <c r="S328" s="1436"/>
      <c r="T328" s="1436"/>
      <c r="U328" s="1436"/>
      <c r="V328" s="1436"/>
      <c r="W328" s="1436"/>
      <c r="X328" s="1436"/>
      <c r="Y328" s="1436"/>
      <c r="Z328" s="1436"/>
      <c r="AA328" s="1436"/>
      <c r="AB328" s="1436"/>
      <c r="AC328" s="1436"/>
      <c r="AD328" s="1436"/>
      <c r="AE328" s="1436"/>
      <c r="AF328" s="1436"/>
    </row>
    <row r="329" spans="1:32">
      <c r="A329" s="1436"/>
      <c r="B329" s="1436"/>
      <c r="C329" s="1436"/>
      <c r="D329" s="1436"/>
      <c r="E329" s="1436"/>
      <c r="F329" s="1436"/>
      <c r="G329" s="1436"/>
      <c r="H329" s="1436"/>
      <c r="I329" s="1436"/>
      <c r="J329" s="1436"/>
      <c r="K329" s="1436"/>
      <c r="L329" s="1436"/>
      <c r="M329" s="1436"/>
      <c r="N329" s="1436"/>
      <c r="O329" s="1436"/>
      <c r="P329" s="1436"/>
      <c r="Q329" s="1436"/>
      <c r="R329" s="1436"/>
      <c r="S329" s="1436"/>
      <c r="T329" s="1436"/>
      <c r="U329" s="1436"/>
      <c r="V329" s="1436"/>
      <c r="W329" s="1436"/>
      <c r="X329" s="1436"/>
      <c r="Y329" s="1436"/>
      <c r="Z329" s="1436"/>
      <c r="AA329" s="1436"/>
      <c r="AB329" s="1436"/>
      <c r="AC329" s="1436"/>
      <c r="AD329" s="1436"/>
      <c r="AE329" s="1436"/>
      <c r="AF329" s="1436"/>
    </row>
    <row r="330" spans="1:32">
      <c r="A330" s="1436"/>
      <c r="B330" s="1436"/>
      <c r="C330" s="1436"/>
      <c r="D330" s="1436"/>
      <c r="E330" s="1436"/>
      <c r="F330" s="1436"/>
      <c r="G330" s="1436"/>
      <c r="H330" s="1436"/>
      <c r="I330" s="1436"/>
      <c r="J330" s="1436"/>
      <c r="K330" s="1436"/>
      <c r="L330" s="1436"/>
      <c r="M330" s="1436"/>
      <c r="N330" s="1436"/>
      <c r="O330" s="1436"/>
      <c r="P330" s="1436"/>
      <c r="Q330" s="1436"/>
      <c r="R330" s="1436"/>
      <c r="S330" s="1436"/>
      <c r="T330" s="1436"/>
      <c r="U330" s="1436"/>
      <c r="V330" s="1436"/>
      <c r="W330" s="1436"/>
      <c r="X330" s="1436"/>
      <c r="Y330" s="1436"/>
      <c r="Z330" s="1436"/>
      <c r="AA330" s="1436"/>
      <c r="AB330" s="1436"/>
      <c r="AC330" s="1436"/>
      <c r="AD330" s="1436"/>
      <c r="AE330" s="1436"/>
      <c r="AF330" s="1436"/>
    </row>
    <row r="331" spans="1:32">
      <c r="A331" s="1436"/>
      <c r="B331" s="1436"/>
      <c r="C331" s="1436"/>
      <c r="D331" s="1436"/>
      <c r="E331" s="1436"/>
      <c r="F331" s="1436"/>
      <c r="G331" s="1436"/>
      <c r="H331" s="1436"/>
      <c r="I331" s="1436"/>
      <c r="J331" s="1436"/>
      <c r="K331" s="1436"/>
      <c r="L331" s="1436"/>
      <c r="M331" s="1436"/>
      <c r="N331" s="1436"/>
      <c r="O331" s="1436"/>
      <c r="P331" s="1436"/>
      <c r="Q331" s="1436"/>
      <c r="R331" s="1436"/>
      <c r="S331" s="1436"/>
      <c r="T331" s="1436"/>
      <c r="U331" s="1436"/>
      <c r="V331" s="1436"/>
      <c r="W331" s="1436"/>
      <c r="X331" s="1436"/>
      <c r="Y331" s="1436"/>
      <c r="Z331" s="1436"/>
      <c r="AA331" s="1436"/>
      <c r="AB331" s="1436"/>
      <c r="AC331" s="1436"/>
      <c r="AD331" s="1436"/>
      <c r="AE331" s="1436"/>
      <c r="AF331" s="1436"/>
    </row>
    <row r="332" spans="1:32">
      <c r="A332" s="1436"/>
      <c r="B332" s="1436"/>
      <c r="C332" s="1436"/>
      <c r="D332" s="1436"/>
      <c r="E332" s="1436"/>
      <c r="F332" s="1436"/>
      <c r="G332" s="1436"/>
      <c r="H332" s="1436"/>
      <c r="I332" s="1436"/>
      <c r="J332" s="1436"/>
      <c r="K332" s="1436"/>
      <c r="L332" s="1436"/>
      <c r="M332" s="1436"/>
      <c r="N332" s="1436"/>
      <c r="O332" s="1436"/>
      <c r="P332" s="1436"/>
      <c r="Q332" s="1436"/>
      <c r="R332" s="1436"/>
      <c r="S332" s="1436"/>
      <c r="T332" s="1436"/>
      <c r="U332" s="1436"/>
      <c r="V332" s="1436"/>
      <c r="W332" s="1436"/>
      <c r="X332" s="1436"/>
      <c r="Y332" s="1436"/>
      <c r="Z332" s="1436"/>
      <c r="AA332" s="1436"/>
      <c r="AB332" s="1436"/>
      <c r="AC332" s="1436"/>
      <c r="AD332" s="1436"/>
      <c r="AE332" s="1436"/>
      <c r="AF332" s="1436"/>
    </row>
    <row r="333" spans="1:32">
      <c r="A333" s="1436"/>
      <c r="B333" s="1436"/>
      <c r="C333" s="1436"/>
      <c r="D333" s="1436"/>
      <c r="E333" s="1436"/>
      <c r="F333" s="1436"/>
      <c r="G333" s="1436"/>
      <c r="H333" s="1436"/>
      <c r="I333" s="1436"/>
      <c r="J333" s="1436"/>
      <c r="K333" s="1436"/>
      <c r="L333" s="1436"/>
      <c r="M333" s="1436"/>
      <c r="N333" s="1436"/>
      <c r="O333" s="1436"/>
      <c r="P333" s="1436"/>
      <c r="Q333" s="1436"/>
      <c r="R333" s="1436"/>
      <c r="S333" s="1436"/>
      <c r="T333" s="1436"/>
      <c r="U333" s="1436"/>
      <c r="V333" s="1436"/>
      <c r="W333" s="1436"/>
      <c r="X333" s="1436"/>
      <c r="Y333" s="1436"/>
      <c r="Z333" s="1436"/>
      <c r="AA333" s="1436"/>
      <c r="AB333" s="1436"/>
      <c r="AC333" s="1436"/>
      <c r="AD333" s="1436"/>
      <c r="AE333" s="1436"/>
      <c r="AF333" s="1436"/>
    </row>
    <row r="334" spans="1:32">
      <c r="A334" s="1436"/>
      <c r="B334" s="1436"/>
      <c r="C334" s="1436"/>
      <c r="D334" s="1436"/>
      <c r="E334" s="1436"/>
      <c r="F334" s="1436"/>
      <c r="G334" s="1436"/>
      <c r="H334" s="1436"/>
      <c r="I334" s="1436"/>
      <c r="J334" s="1436"/>
      <c r="K334" s="1436"/>
      <c r="L334" s="1436"/>
      <c r="M334" s="1436"/>
      <c r="N334" s="1436"/>
      <c r="O334" s="1436"/>
      <c r="P334" s="1436"/>
      <c r="Q334" s="1436"/>
      <c r="R334" s="1436"/>
      <c r="S334" s="1436"/>
      <c r="T334" s="1436"/>
      <c r="U334" s="1436"/>
      <c r="V334" s="1436"/>
      <c r="W334" s="1436"/>
      <c r="X334" s="1436"/>
      <c r="Y334" s="1436"/>
      <c r="Z334" s="1436"/>
      <c r="AA334" s="1436"/>
      <c r="AB334" s="1436"/>
      <c r="AC334" s="1436"/>
      <c r="AD334" s="1436"/>
      <c r="AE334" s="1436"/>
      <c r="AF334" s="1436"/>
    </row>
    <row r="335" spans="1:32">
      <c r="A335" s="1436"/>
      <c r="B335" s="1436"/>
      <c r="C335" s="1436"/>
      <c r="D335" s="1436"/>
      <c r="E335" s="1436"/>
      <c r="F335" s="1436"/>
      <c r="G335" s="1436"/>
      <c r="H335" s="1436"/>
      <c r="I335" s="1436"/>
      <c r="J335" s="1436"/>
      <c r="K335" s="1436"/>
      <c r="L335" s="1436"/>
      <c r="M335" s="1436"/>
      <c r="N335" s="1436"/>
      <c r="O335" s="1436"/>
      <c r="P335" s="1436"/>
      <c r="Q335" s="1436"/>
      <c r="R335" s="1436"/>
      <c r="S335" s="1436"/>
      <c r="T335" s="1436"/>
      <c r="U335" s="1436"/>
      <c r="V335" s="1436"/>
      <c r="W335" s="1436"/>
      <c r="X335" s="1436"/>
      <c r="Y335" s="1436"/>
      <c r="Z335" s="1436"/>
      <c r="AA335" s="1436"/>
      <c r="AB335" s="1436"/>
      <c r="AC335" s="1436"/>
      <c r="AD335" s="1436"/>
      <c r="AE335" s="1436"/>
      <c r="AF335" s="1436"/>
    </row>
    <row r="336" spans="1:32">
      <c r="A336" s="1436"/>
      <c r="B336" s="1436"/>
      <c r="C336" s="1436"/>
      <c r="D336" s="1436"/>
      <c r="E336" s="1436"/>
      <c r="F336" s="1436"/>
      <c r="G336" s="1436"/>
      <c r="H336" s="1436"/>
      <c r="I336" s="1436"/>
      <c r="J336" s="1436"/>
      <c r="K336" s="1436"/>
      <c r="L336" s="1436"/>
      <c r="M336" s="1436"/>
      <c r="N336" s="1436"/>
      <c r="O336" s="1436"/>
      <c r="P336" s="1436"/>
      <c r="Q336" s="1436"/>
      <c r="R336" s="1436"/>
      <c r="S336" s="1436"/>
      <c r="T336" s="1436"/>
      <c r="U336" s="1436"/>
      <c r="V336" s="1436"/>
      <c r="W336" s="1436"/>
      <c r="X336" s="1436"/>
      <c r="Y336" s="1436"/>
      <c r="Z336" s="1436"/>
      <c r="AA336" s="1436"/>
      <c r="AB336" s="1436"/>
      <c r="AC336" s="1436"/>
      <c r="AD336" s="1436"/>
      <c r="AE336" s="1436"/>
      <c r="AF336" s="1436"/>
    </row>
    <row r="337" spans="1:32">
      <c r="A337" s="1436"/>
      <c r="B337" s="1436"/>
      <c r="C337" s="1436"/>
      <c r="D337" s="1436"/>
      <c r="E337" s="1436"/>
      <c r="F337" s="1436"/>
      <c r="G337" s="1436"/>
      <c r="H337" s="1436"/>
      <c r="I337" s="1436"/>
      <c r="J337" s="1436"/>
      <c r="K337" s="1436"/>
      <c r="L337" s="1436"/>
      <c r="M337" s="1436"/>
      <c r="N337" s="1436"/>
      <c r="O337" s="1436"/>
      <c r="P337" s="1436"/>
      <c r="Q337" s="1436"/>
      <c r="R337" s="1436"/>
      <c r="S337" s="1436"/>
      <c r="T337" s="1436"/>
      <c r="U337" s="1436"/>
      <c r="V337" s="1436"/>
      <c r="W337" s="1436"/>
      <c r="X337" s="1436"/>
      <c r="Y337" s="1436"/>
      <c r="Z337" s="1436"/>
      <c r="AA337" s="1436"/>
      <c r="AB337" s="1436"/>
      <c r="AC337" s="1436"/>
      <c r="AD337" s="1436"/>
      <c r="AE337" s="1436"/>
      <c r="AF337" s="1436"/>
    </row>
    <row r="338" spans="1:32">
      <c r="A338" s="1436"/>
      <c r="B338" s="1436"/>
      <c r="C338" s="1436"/>
      <c r="D338" s="1436"/>
      <c r="E338" s="1436"/>
      <c r="F338" s="1436"/>
      <c r="G338" s="1436"/>
      <c r="H338" s="1436"/>
      <c r="I338" s="1436"/>
      <c r="J338" s="1436"/>
      <c r="K338" s="1436"/>
      <c r="L338" s="1436"/>
      <c r="M338" s="1436"/>
      <c r="N338" s="1436"/>
      <c r="O338" s="1436"/>
      <c r="P338" s="1436"/>
      <c r="Q338" s="1436"/>
      <c r="R338" s="1436"/>
      <c r="S338" s="1436"/>
      <c r="T338" s="1436"/>
      <c r="U338" s="1436"/>
      <c r="V338" s="1436"/>
      <c r="W338" s="1436"/>
      <c r="X338" s="1436"/>
      <c r="Y338" s="1436"/>
      <c r="Z338" s="1436"/>
      <c r="AA338" s="1436"/>
      <c r="AB338" s="1436"/>
      <c r="AC338" s="1436"/>
      <c r="AD338" s="1436"/>
      <c r="AE338" s="1436"/>
      <c r="AF338" s="1436"/>
    </row>
    <row r="339" spans="1:32">
      <c r="A339" s="1436"/>
      <c r="B339" s="1436"/>
      <c r="C339" s="1436"/>
      <c r="D339" s="1436"/>
      <c r="E339" s="1436"/>
      <c r="F339" s="1436"/>
      <c r="G339" s="1436"/>
      <c r="H339" s="1436"/>
      <c r="I339" s="1436"/>
      <c r="J339" s="1436"/>
      <c r="K339" s="1436"/>
      <c r="L339" s="1436"/>
      <c r="M339" s="1436"/>
      <c r="N339" s="1436"/>
      <c r="O339" s="1436"/>
      <c r="P339" s="1436"/>
      <c r="Q339" s="1436"/>
      <c r="R339" s="1436"/>
      <c r="S339" s="1436"/>
      <c r="T339" s="1436"/>
      <c r="U339" s="1436"/>
      <c r="V339" s="1436"/>
      <c r="W339" s="1436"/>
      <c r="X339" s="1436"/>
      <c r="Y339" s="1436"/>
      <c r="Z339" s="1436"/>
      <c r="AA339" s="1436"/>
      <c r="AB339" s="1436"/>
      <c r="AC339" s="1436"/>
      <c r="AD339" s="1436"/>
      <c r="AE339" s="1436"/>
      <c r="AF339" s="1436"/>
    </row>
    <row r="340" spans="1:32">
      <c r="A340" s="1436"/>
      <c r="B340" s="1436"/>
      <c r="C340" s="1436"/>
      <c r="D340" s="1436"/>
      <c r="E340" s="1436"/>
      <c r="F340" s="1436"/>
      <c r="G340" s="1436"/>
      <c r="H340" s="1436"/>
      <c r="I340" s="1436"/>
      <c r="J340" s="1436"/>
      <c r="K340" s="1436"/>
      <c r="L340" s="1436"/>
      <c r="M340" s="1436"/>
      <c r="N340" s="1436"/>
      <c r="O340" s="1436"/>
      <c r="P340" s="1436"/>
      <c r="Q340" s="1436"/>
      <c r="R340" s="1436"/>
      <c r="S340" s="1436"/>
      <c r="T340" s="1436"/>
      <c r="U340" s="1436"/>
      <c r="V340" s="1436"/>
      <c r="W340" s="1436"/>
      <c r="X340" s="1436"/>
      <c r="Y340" s="1436"/>
      <c r="Z340" s="1436"/>
      <c r="AA340" s="1436"/>
      <c r="AB340" s="1436"/>
      <c r="AC340" s="1436"/>
      <c r="AD340" s="1436"/>
      <c r="AE340" s="1436"/>
      <c r="AF340" s="1436"/>
    </row>
    <row r="341" spans="1:32">
      <c r="A341" s="1436"/>
      <c r="B341" s="1436"/>
      <c r="C341" s="1436"/>
      <c r="D341" s="1436"/>
      <c r="E341" s="1436"/>
      <c r="F341" s="1436"/>
      <c r="G341" s="1436"/>
      <c r="H341" s="1436"/>
      <c r="I341" s="1436"/>
      <c r="J341" s="1436"/>
      <c r="K341" s="1436"/>
      <c r="L341" s="1436"/>
      <c r="M341" s="1436"/>
      <c r="N341" s="1436"/>
      <c r="O341" s="1436"/>
      <c r="P341" s="1436"/>
      <c r="Q341" s="1436"/>
      <c r="R341" s="1436"/>
      <c r="S341" s="1436"/>
      <c r="T341" s="1436"/>
      <c r="U341" s="1436"/>
      <c r="V341" s="1436"/>
      <c r="W341" s="1436"/>
      <c r="X341" s="1436"/>
      <c r="Y341" s="1436"/>
      <c r="Z341" s="1436"/>
      <c r="AA341" s="1436"/>
      <c r="AB341" s="1436"/>
      <c r="AC341" s="1436"/>
      <c r="AD341" s="1436"/>
      <c r="AE341" s="1436"/>
      <c r="AF341" s="1436"/>
    </row>
    <row r="342" spans="1:32">
      <c r="A342" s="1436"/>
      <c r="B342" s="1436"/>
      <c r="C342" s="1436"/>
      <c r="D342" s="1436"/>
      <c r="E342" s="1436"/>
      <c r="F342" s="1436"/>
      <c r="G342" s="1436"/>
      <c r="H342" s="1436"/>
      <c r="I342" s="1436"/>
      <c r="J342" s="1436"/>
      <c r="K342" s="1436"/>
      <c r="L342" s="1436"/>
      <c r="M342" s="1436"/>
      <c r="N342" s="1436"/>
      <c r="O342" s="1436"/>
      <c r="P342" s="1436"/>
      <c r="Q342" s="1436"/>
      <c r="R342" s="1436"/>
      <c r="S342" s="1436"/>
      <c r="T342" s="1436"/>
      <c r="U342" s="1436"/>
      <c r="V342" s="1436"/>
      <c r="W342" s="1436"/>
      <c r="X342" s="1436"/>
      <c r="Y342" s="1436"/>
      <c r="Z342" s="1436"/>
      <c r="AA342" s="1436"/>
      <c r="AB342" s="1436"/>
      <c r="AC342" s="1436"/>
      <c r="AD342" s="1436"/>
      <c r="AE342" s="1436"/>
      <c r="AF342" s="1436"/>
    </row>
    <row r="343" spans="1:32">
      <c r="A343" s="1436"/>
      <c r="B343" s="1436"/>
      <c r="C343" s="1436"/>
      <c r="D343" s="1436"/>
      <c r="E343" s="1436"/>
      <c r="F343" s="1436"/>
      <c r="G343" s="1436"/>
      <c r="H343" s="1436"/>
      <c r="I343" s="1436"/>
      <c r="J343" s="1436"/>
      <c r="K343" s="1436"/>
      <c r="L343" s="1436"/>
      <c r="M343" s="1436"/>
      <c r="N343" s="1436"/>
      <c r="O343" s="1436"/>
      <c r="P343" s="1436"/>
      <c r="Q343" s="1436"/>
      <c r="R343" s="1436"/>
      <c r="S343" s="1436"/>
      <c r="T343" s="1436"/>
      <c r="U343" s="1436"/>
      <c r="V343" s="1436"/>
      <c r="W343" s="1436"/>
      <c r="X343" s="1436"/>
      <c r="Y343" s="1436"/>
      <c r="Z343" s="1436"/>
      <c r="AA343" s="1436"/>
      <c r="AB343" s="1436"/>
      <c r="AC343" s="1436"/>
      <c r="AD343" s="1436"/>
      <c r="AE343" s="1436"/>
      <c r="AF343" s="1436"/>
    </row>
    <row r="344" spans="1:32">
      <c r="A344" s="1436"/>
      <c r="B344" s="1436"/>
      <c r="C344" s="1436"/>
      <c r="D344" s="1436"/>
      <c r="E344" s="1436"/>
      <c r="F344" s="1436"/>
      <c r="G344" s="1436"/>
      <c r="H344" s="1436"/>
      <c r="I344" s="1436"/>
      <c r="J344" s="1436"/>
      <c r="K344" s="1436"/>
      <c r="L344" s="1436"/>
      <c r="M344" s="1436"/>
      <c r="N344" s="1436"/>
      <c r="O344" s="1436"/>
      <c r="P344" s="1436"/>
      <c r="Q344" s="1436"/>
      <c r="R344" s="1436"/>
      <c r="S344" s="1436"/>
      <c r="T344" s="1436"/>
      <c r="U344" s="1436"/>
      <c r="V344" s="1436"/>
      <c r="W344" s="1436"/>
      <c r="X344" s="1436"/>
      <c r="Y344" s="1436"/>
      <c r="Z344" s="1436"/>
      <c r="AA344" s="1436"/>
      <c r="AB344" s="1436"/>
      <c r="AC344" s="1436"/>
      <c r="AD344" s="1436"/>
      <c r="AE344" s="1436"/>
      <c r="AF344" s="1436"/>
    </row>
    <row r="345" spans="1:32">
      <c r="A345" s="1436"/>
      <c r="B345" s="1436"/>
      <c r="C345" s="1436"/>
      <c r="D345" s="1436"/>
      <c r="E345" s="1436"/>
      <c r="F345" s="1436"/>
      <c r="G345" s="1436"/>
      <c r="H345" s="1436"/>
      <c r="I345" s="1436"/>
      <c r="J345" s="1436"/>
      <c r="K345" s="1436"/>
      <c r="L345" s="1436"/>
      <c r="M345" s="1436"/>
      <c r="N345" s="1436"/>
      <c r="O345" s="1436"/>
      <c r="P345" s="1436"/>
      <c r="Q345" s="1436"/>
      <c r="R345" s="1436"/>
      <c r="S345" s="1436"/>
      <c r="T345" s="1436"/>
      <c r="U345" s="1436"/>
      <c r="V345" s="1436"/>
      <c r="W345" s="1436"/>
      <c r="X345" s="1436"/>
      <c r="Y345" s="1436"/>
      <c r="Z345" s="1436"/>
      <c r="AA345" s="1436"/>
      <c r="AB345" s="1436"/>
      <c r="AC345" s="1436"/>
      <c r="AD345" s="1436"/>
      <c r="AE345" s="1436"/>
      <c r="AF345" s="1436"/>
    </row>
    <row r="346" spans="1:32">
      <c r="A346" s="1436"/>
      <c r="B346" s="1436"/>
      <c r="C346" s="1436"/>
      <c r="D346" s="1436"/>
      <c r="E346" s="1436"/>
      <c r="F346" s="1436"/>
      <c r="G346" s="1436"/>
      <c r="H346" s="1436"/>
      <c r="I346" s="1436"/>
      <c r="J346" s="1436"/>
      <c r="K346" s="1436"/>
      <c r="L346" s="1436"/>
      <c r="M346" s="1436"/>
      <c r="N346" s="1436"/>
      <c r="O346" s="1436"/>
      <c r="P346" s="1436"/>
      <c r="Q346" s="1436"/>
      <c r="R346" s="1436"/>
      <c r="S346" s="1436"/>
      <c r="T346" s="1436"/>
      <c r="U346" s="1436"/>
      <c r="V346" s="1436"/>
      <c r="W346" s="1436"/>
      <c r="X346" s="1436"/>
      <c r="Y346" s="1436"/>
      <c r="Z346" s="1436"/>
      <c r="AA346" s="1436"/>
      <c r="AB346" s="1436"/>
      <c r="AC346" s="1436"/>
      <c r="AD346" s="1436"/>
      <c r="AE346" s="1436"/>
      <c r="AF346" s="1436"/>
    </row>
    <row r="347" spans="1:32">
      <c r="A347" s="1436"/>
      <c r="B347" s="1436"/>
      <c r="C347" s="1436"/>
      <c r="D347" s="1436"/>
      <c r="E347" s="1436"/>
      <c r="F347" s="1436"/>
      <c r="G347" s="1436"/>
      <c r="H347" s="1436"/>
      <c r="I347" s="1436"/>
      <c r="J347" s="1436"/>
      <c r="K347" s="1436"/>
      <c r="L347" s="1436"/>
      <c r="M347" s="1436"/>
      <c r="N347" s="1436"/>
      <c r="O347" s="1436"/>
      <c r="P347" s="1436"/>
      <c r="Q347" s="1436"/>
      <c r="R347" s="1436"/>
      <c r="S347" s="1436"/>
      <c r="T347" s="1436"/>
      <c r="U347" s="1436"/>
      <c r="V347" s="1436"/>
      <c r="W347" s="1436"/>
      <c r="X347" s="1436"/>
      <c r="Y347" s="1436"/>
      <c r="Z347" s="1436"/>
      <c r="AA347" s="1436"/>
      <c r="AB347" s="1436"/>
      <c r="AC347" s="1436"/>
      <c r="AD347" s="1436"/>
      <c r="AE347" s="1436"/>
      <c r="AF347" s="1436"/>
    </row>
    <row r="348" spans="1:32">
      <c r="A348" s="1436"/>
      <c r="B348" s="1436"/>
      <c r="C348" s="1436"/>
      <c r="D348" s="1436"/>
      <c r="E348" s="1436"/>
      <c r="F348" s="1436"/>
      <c r="G348" s="1436"/>
      <c r="H348" s="1436"/>
      <c r="I348" s="1436"/>
      <c r="J348" s="1436"/>
      <c r="K348" s="1436"/>
      <c r="L348" s="1436"/>
      <c r="M348" s="1436"/>
      <c r="N348" s="1436"/>
      <c r="O348" s="1436"/>
      <c r="P348" s="1436"/>
      <c r="Q348" s="1436"/>
      <c r="R348" s="1436"/>
      <c r="S348" s="1436"/>
      <c r="T348" s="1436"/>
      <c r="U348" s="1436"/>
      <c r="V348" s="1436"/>
      <c r="W348" s="1436"/>
      <c r="X348" s="1436"/>
      <c r="Y348" s="1436"/>
      <c r="Z348" s="1436"/>
      <c r="AA348" s="1436"/>
      <c r="AB348" s="1436"/>
      <c r="AC348" s="1436"/>
      <c r="AD348" s="1436"/>
      <c r="AE348" s="1436"/>
      <c r="AF348" s="1436"/>
    </row>
    <row r="349" spans="1:32">
      <c r="A349" s="1436"/>
      <c r="B349" s="1436"/>
      <c r="C349" s="1436"/>
      <c r="D349" s="1436"/>
      <c r="E349" s="1436"/>
      <c r="F349" s="1436"/>
      <c r="G349" s="1436"/>
      <c r="H349" s="1436"/>
      <c r="I349" s="1436"/>
      <c r="J349" s="1436"/>
      <c r="K349" s="1436"/>
      <c r="L349" s="1436"/>
      <c r="M349" s="1436"/>
      <c r="N349" s="1436"/>
      <c r="O349" s="1436"/>
      <c r="P349" s="1436"/>
      <c r="Q349" s="1436"/>
      <c r="R349" s="1436"/>
      <c r="S349" s="1436"/>
      <c r="T349" s="1436"/>
      <c r="U349" s="1436"/>
      <c r="V349" s="1436"/>
      <c r="W349" s="1436"/>
      <c r="X349" s="1436"/>
      <c r="Y349" s="1436"/>
      <c r="Z349" s="1436"/>
      <c r="AA349" s="1436"/>
      <c r="AB349" s="1436"/>
      <c r="AC349" s="1436"/>
      <c r="AD349" s="1436"/>
      <c r="AE349" s="1436"/>
      <c r="AF349" s="1436"/>
    </row>
    <row r="350" spans="1:32">
      <c r="A350" s="1436"/>
      <c r="B350" s="1436"/>
      <c r="C350" s="1436"/>
      <c r="D350" s="1436"/>
      <c r="E350" s="1436"/>
      <c r="F350" s="1436"/>
      <c r="G350" s="1436"/>
      <c r="H350" s="1436"/>
      <c r="I350" s="1436"/>
      <c r="J350" s="1436"/>
      <c r="K350" s="1436"/>
      <c r="L350" s="1436"/>
      <c r="M350" s="1436"/>
      <c r="N350" s="1436"/>
      <c r="O350" s="1436"/>
      <c r="P350" s="1436"/>
      <c r="Q350" s="1436"/>
      <c r="R350" s="1436"/>
      <c r="S350" s="1436"/>
      <c r="T350" s="1436"/>
      <c r="U350" s="1436"/>
      <c r="V350" s="1436"/>
      <c r="W350" s="1436"/>
      <c r="X350" s="1436"/>
      <c r="Y350" s="1436"/>
      <c r="Z350" s="1436"/>
      <c r="AA350" s="1436"/>
      <c r="AB350" s="1436"/>
      <c r="AC350" s="1436"/>
      <c r="AD350" s="1436"/>
      <c r="AE350" s="1436"/>
      <c r="AF350" s="1436"/>
    </row>
    <row r="351" spans="1:32">
      <c r="A351" s="1436"/>
      <c r="B351" s="1436"/>
      <c r="C351" s="1436"/>
      <c r="D351" s="1436"/>
      <c r="E351" s="1436"/>
      <c r="F351" s="1436"/>
      <c r="G351" s="1436"/>
      <c r="H351" s="1436"/>
      <c r="I351" s="1436"/>
      <c r="J351" s="1436"/>
      <c r="K351" s="1436"/>
      <c r="L351" s="1436"/>
      <c r="M351" s="1436"/>
      <c r="N351" s="1436"/>
      <c r="O351" s="1436"/>
      <c r="P351" s="1436"/>
      <c r="Q351" s="1436"/>
      <c r="R351" s="1436"/>
      <c r="S351" s="1436"/>
      <c r="T351" s="1436"/>
      <c r="U351" s="1436"/>
      <c r="V351" s="1436"/>
      <c r="W351" s="1436"/>
      <c r="X351" s="1436"/>
      <c r="Y351" s="1436"/>
      <c r="Z351" s="1436"/>
      <c r="AA351" s="1436"/>
      <c r="AB351" s="1436"/>
      <c r="AC351" s="1436"/>
      <c r="AD351" s="1436"/>
      <c r="AE351" s="1436"/>
      <c r="AF351" s="1436"/>
    </row>
    <row r="352" spans="1:32">
      <c r="A352" s="1436"/>
      <c r="B352" s="1436"/>
      <c r="C352" s="1436"/>
      <c r="D352" s="1436"/>
      <c r="E352" s="1436"/>
      <c r="F352" s="1436"/>
      <c r="G352" s="1436"/>
      <c r="H352" s="1436"/>
      <c r="I352" s="1436"/>
      <c r="J352" s="1436"/>
      <c r="K352" s="1436"/>
      <c r="L352" s="1436"/>
      <c r="M352" s="1436"/>
      <c r="N352" s="1436"/>
      <c r="O352" s="1436"/>
      <c r="P352" s="1436"/>
      <c r="Q352" s="1436"/>
      <c r="R352" s="1436"/>
      <c r="S352" s="1436"/>
      <c r="T352" s="1436"/>
      <c r="U352" s="1436"/>
      <c r="V352" s="1436"/>
      <c r="W352" s="1436"/>
      <c r="X352" s="1436"/>
      <c r="Y352" s="1436"/>
      <c r="Z352" s="1436"/>
      <c r="AA352" s="1436"/>
      <c r="AB352" s="1436"/>
      <c r="AC352" s="1436"/>
      <c r="AD352" s="1436"/>
      <c r="AE352" s="1436"/>
      <c r="AF352" s="1436"/>
    </row>
    <row r="353" spans="1:32">
      <c r="A353" s="1436"/>
      <c r="B353" s="1436"/>
      <c r="C353" s="1436"/>
      <c r="D353" s="1436"/>
      <c r="E353" s="1436"/>
      <c r="F353" s="1436"/>
      <c r="G353" s="1436"/>
      <c r="H353" s="1436"/>
      <c r="I353" s="1436"/>
      <c r="J353" s="1436"/>
      <c r="K353" s="1436"/>
      <c r="L353" s="1436"/>
      <c r="M353" s="1436"/>
      <c r="N353" s="1436"/>
      <c r="O353" s="1436"/>
      <c r="P353" s="1436"/>
      <c r="Q353" s="1436"/>
      <c r="R353" s="1436"/>
      <c r="S353" s="1436"/>
      <c r="T353" s="1436"/>
      <c r="U353" s="1436"/>
      <c r="V353" s="1436"/>
      <c r="W353" s="1436"/>
      <c r="X353" s="1436"/>
      <c r="Y353" s="1436"/>
      <c r="Z353" s="1436"/>
      <c r="AA353" s="1436"/>
      <c r="AB353" s="1436"/>
      <c r="AC353" s="1436"/>
      <c r="AD353" s="1436"/>
      <c r="AE353" s="1436"/>
      <c r="AF353" s="1436"/>
    </row>
    <row r="354" spans="1:32">
      <c r="A354" s="1436"/>
      <c r="B354" s="1436"/>
      <c r="C354" s="1436"/>
      <c r="D354" s="1436"/>
      <c r="E354" s="1436"/>
      <c r="F354" s="1436"/>
      <c r="G354" s="1436"/>
      <c r="H354" s="1436"/>
      <c r="I354" s="1436"/>
      <c r="J354" s="1436"/>
      <c r="K354" s="1436"/>
      <c r="L354" s="1436"/>
      <c r="M354" s="1436"/>
      <c r="N354" s="1436"/>
      <c r="O354" s="1436"/>
      <c r="P354" s="1436"/>
      <c r="Q354" s="1436"/>
      <c r="R354" s="1436"/>
      <c r="S354" s="1436"/>
      <c r="T354" s="1436"/>
      <c r="U354" s="1436"/>
      <c r="V354" s="1436"/>
      <c r="W354" s="1436"/>
      <c r="X354" s="1436"/>
      <c r="Y354" s="1436"/>
      <c r="Z354" s="1436"/>
      <c r="AA354" s="1436"/>
      <c r="AB354" s="1436"/>
      <c r="AC354" s="1436"/>
      <c r="AD354" s="1436"/>
      <c r="AE354" s="1436"/>
      <c r="AF354" s="1436"/>
    </row>
    <row r="355" spans="1:32">
      <c r="A355" s="1436"/>
      <c r="B355" s="1436"/>
      <c r="C355" s="1436"/>
      <c r="D355" s="1436"/>
      <c r="E355" s="1436"/>
      <c r="F355" s="1436"/>
      <c r="G355" s="1436"/>
      <c r="H355" s="1436"/>
      <c r="I355" s="1436"/>
      <c r="J355" s="1436"/>
      <c r="K355" s="1436"/>
      <c r="L355" s="1436"/>
      <c r="M355" s="1436"/>
      <c r="N355" s="1436"/>
      <c r="O355" s="1436"/>
      <c r="P355" s="1436"/>
      <c r="Q355" s="1436"/>
      <c r="R355" s="1436"/>
      <c r="S355" s="1436"/>
      <c r="T355" s="1436"/>
      <c r="U355" s="1436"/>
      <c r="V355" s="1436"/>
      <c r="W355" s="1436"/>
      <c r="X355" s="1436"/>
      <c r="Y355" s="1436"/>
      <c r="Z355" s="1436"/>
      <c r="AA355" s="1436"/>
      <c r="AB355" s="1436"/>
      <c r="AC355" s="1436"/>
      <c r="AD355" s="1436"/>
      <c r="AE355" s="1436"/>
      <c r="AF355" s="1436"/>
    </row>
    <row r="356" spans="1:32">
      <c r="A356" s="1436"/>
      <c r="B356" s="1436"/>
      <c r="C356" s="1436"/>
      <c r="D356" s="1436"/>
      <c r="E356" s="1436"/>
      <c r="F356" s="1436"/>
      <c r="G356" s="1436"/>
      <c r="H356" s="1436"/>
      <c r="I356" s="1436"/>
      <c r="J356" s="1436"/>
      <c r="K356" s="1436"/>
      <c r="L356" s="1436"/>
      <c r="M356" s="1436"/>
      <c r="N356" s="1436"/>
      <c r="O356" s="1436"/>
      <c r="P356" s="1436"/>
      <c r="Q356" s="1436"/>
      <c r="R356" s="1436"/>
      <c r="S356" s="1436"/>
      <c r="T356" s="1436"/>
      <c r="U356" s="1436"/>
      <c r="V356" s="1436"/>
      <c r="W356" s="1436"/>
      <c r="X356" s="1436"/>
      <c r="Y356" s="1436"/>
      <c r="Z356" s="1436"/>
      <c r="AA356" s="1436"/>
      <c r="AB356" s="1436"/>
      <c r="AC356" s="1436"/>
      <c r="AD356" s="1436"/>
      <c r="AE356" s="1436"/>
      <c r="AF356" s="1436"/>
    </row>
    <row r="357" spans="1:32">
      <c r="A357" s="1436"/>
      <c r="B357" s="1436"/>
      <c r="C357" s="1436"/>
      <c r="D357" s="1436"/>
      <c r="E357" s="1436"/>
      <c r="F357" s="1436"/>
      <c r="G357" s="1436"/>
      <c r="H357" s="1436"/>
      <c r="I357" s="1436"/>
      <c r="J357" s="1436"/>
      <c r="K357" s="1436"/>
      <c r="L357" s="1436"/>
      <c r="M357" s="1436"/>
      <c r="N357" s="1436"/>
      <c r="O357" s="1436"/>
      <c r="P357" s="1436"/>
      <c r="Q357" s="1436"/>
      <c r="R357" s="1436"/>
      <c r="S357" s="1436"/>
      <c r="T357" s="1436"/>
      <c r="U357" s="1436"/>
      <c r="V357" s="1436"/>
      <c r="W357" s="1436"/>
      <c r="X357" s="1436"/>
      <c r="Y357" s="1436"/>
      <c r="Z357" s="1436"/>
      <c r="AA357" s="1436"/>
      <c r="AB357" s="1436"/>
      <c r="AC357" s="1436"/>
      <c r="AD357" s="1436"/>
      <c r="AE357" s="1436"/>
      <c r="AF357" s="1436"/>
    </row>
    <row r="358" spans="1:32">
      <c r="A358" s="1436"/>
      <c r="B358" s="1436"/>
      <c r="C358" s="1436"/>
      <c r="D358" s="1436"/>
      <c r="E358" s="1436"/>
      <c r="F358" s="1436"/>
      <c r="G358" s="1436"/>
      <c r="H358" s="1436"/>
      <c r="I358" s="1436"/>
      <c r="J358" s="1436"/>
      <c r="K358" s="1436"/>
      <c r="L358" s="1436"/>
      <c r="M358" s="1436"/>
      <c r="N358" s="1436"/>
      <c r="O358" s="1436"/>
      <c r="P358" s="1436"/>
      <c r="Q358" s="1436"/>
      <c r="R358" s="1436"/>
      <c r="S358" s="1436"/>
      <c r="T358" s="1436"/>
      <c r="U358" s="1436"/>
      <c r="V358" s="1436"/>
      <c r="W358" s="1436"/>
      <c r="X358" s="1436"/>
      <c r="Y358" s="1436"/>
      <c r="Z358" s="1436"/>
      <c r="AA358" s="1436"/>
      <c r="AB358" s="1436"/>
      <c r="AC358" s="1436"/>
      <c r="AD358" s="1436"/>
      <c r="AE358" s="1436"/>
      <c r="AF358" s="1436"/>
    </row>
    <row r="359" spans="1:32">
      <c r="A359" s="1436"/>
      <c r="B359" s="1436"/>
      <c r="C359" s="1436"/>
      <c r="D359" s="1436"/>
      <c r="E359" s="1436"/>
      <c r="F359" s="1436"/>
      <c r="G359" s="1436"/>
      <c r="H359" s="1436"/>
      <c r="I359" s="1436"/>
      <c r="J359" s="1436"/>
      <c r="K359" s="1436"/>
      <c r="L359" s="1436"/>
      <c r="M359" s="1436"/>
      <c r="N359" s="1436"/>
      <c r="O359" s="1436"/>
      <c r="P359" s="1436"/>
      <c r="Q359" s="1436"/>
      <c r="R359" s="1436"/>
      <c r="S359" s="1436"/>
      <c r="T359" s="1436"/>
      <c r="U359" s="1436"/>
      <c r="V359" s="1436"/>
      <c r="W359" s="1436"/>
      <c r="X359" s="1436"/>
      <c r="Y359" s="1436"/>
      <c r="Z359" s="1436"/>
      <c r="AA359" s="1436"/>
      <c r="AB359" s="1436"/>
      <c r="AC359" s="1436"/>
      <c r="AD359" s="1436"/>
      <c r="AE359" s="1436"/>
      <c r="AF359" s="1436"/>
    </row>
    <row r="360" spans="1:32">
      <c r="A360" s="1436"/>
      <c r="B360" s="1436"/>
      <c r="C360" s="1436"/>
      <c r="D360" s="1436"/>
      <c r="E360" s="1436"/>
      <c r="F360" s="1436"/>
      <c r="G360" s="1436"/>
      <c r="H360" s="1436"/>
      <c r="I360" s="1436"/>
      <c r="J360" s="1436"/>
      <c r="K360" s="1436"/>
      <c r="L360" s="1436"/>
      <c r="M360" s="1436"/>
      <c r="N360" s="1436"/>
      <c r="O360" s="1436"/>
      <c r="P360" s="1436"/>
      <c r="Q360" s="1436"/>
      <c r="R360" s="1436"/>
      <c r="S360" s="1436"/>
      <c r="T360" s="1436"/>
      <c r="U360" s="1436"/>
      <c r="V360" s="1436"/>
      <c r="W360" s="1436"/>
      <c r="X360" s="1436"/>
      <c r="Y360" s="1436"/>
      <c r="Z360" s="1436"/>
      <c r="AA360" s="1436"/>
      <c r="AB360" s="1436"/>
      <c r="AC360" s="1436"/>
      <c r="AD360" s="1436"/>
      <c r="AE360" s="1436"/>
      <c r="AF360" s="1436"/>
    </row>
    <row r="361" spans="1:32">
      <c r="A361" s="1436"/>
      <c r="B361" s="1436"/>
      <c r="C361" s="1436"/>
      <c r="D361" s="1436"/>
      <c r="E361" s="1436"/>
      <c r="F361" s="1436"/>
      <c r="G361" s="1436"/>
      <c r="H361" s="1436"/>
      <c r="I361" s="1436"/>
      <c r="J361" s="1436"/>
      <c r="K361" s="1436"/>
      <c r="L361" s="1436"/>
      <c r="M361" s="1436"/>
      <c r="N361" s="1436"/>
      <c r="O361" s="1436"/>
      <c r="P361" s="1436"/>
      <c r="Q361" s="1436"/>
      <c r="R361" s="1436"/>
      <c r="S361" s="1436"/>
      <c r="T361" s="1436"/>
      <c r="U361" s="1436"/>
      <c r="V361" s="1436"/>
      <c r="W361" s="1436"/>
      <c r="X361" s="1436"/>
      <c r="Y361" s="1436"/>
      <c r="Z361" s="1436"/>
      <c r="AA361" s="1436"/>
      <c r="AB361" s="1436"/>
      <c r="AC361" s="1436"/>
      <c r="AD361" s="1436"/>
      <c r="AE361" s="1436"/>
      <c r="AF361" s="1436"/>
    </row>
    <row r="362" spans="1:32">
      <c r="A362" s="1436"/>
      <c r="B362" s="1436"/>
      <c r="C362" s="1436"/>
      <c r="D362" s="1436"/>
      <c r="E362" s="1436"/>
      <c r="F362" s="1436"/>
      <c r="G362" s="1436"/>
      <c r="H362" s="1436"/>
      <c r="I362" s="1436"/>
      <c r="J362" s="1436"/>
      <c r="K362" s="1436"/>
      <c r="L362" s="1436"/>
      <c r="M362" s="1436"/>
      <c r="N362" s="1436"/>
      <c r="O362" s="1436"/>
      <c r="P362" s="1436"/>
      <c r="Q362" s="1436"/>
      <c r="R362" s="1436"/>
      <c r="S362" s="1436"/>
      <c r="T362" s="1436"/>
      <c r="U362" s="1436"/>
      <c r="V362" s="1436"/>
      <c r="W362" s="1436"/>
      <c r="X362" s="1436"/>
      <c r="Y362" s="1436"/>
      <c r="Z362" s="1436"/>
      <c r="AA362" s="1436"/>
      <c r="AB362" s="1436"/>
      <c r="AC362" s="1436"/>
      <c r="AD362" s="1436"/>
      <c r="AE362" s="1436"/>
      <c r="AF362" s="1436"/>
    </row>
    <row r="363" spans="1:32">
      <c r="A363" s="1436"/>
      <c r="B363" s="1436"/>
      <c r="C363" s="1436"/>
      <c r="D363" s="1436"/>
      <c r="E363" s="1436"/>
      <c r="F363" s="1436"/>
      <c r="G363" s="1436"/>
      <c r="H363" s="1436"/>
      <c r="I363" s="1436"/>
      <c r="J363" s="1436"/>
      <c r="K363" s="1436"/>
      <c r="L363" s="1436"/>
      <c r="M363" s="1436"/>
      <c r="N363" s="1436"/>
      <c r="O363" s="1436"/>
      <c r="P363" s="1436"/>
      <c r="Q363" s="1436"/>
      <c r="R363" s="1436"/>
      <c r="S363" s="1436"/>
      <c r="T363" s="1436"/>
      <c r="U363" s="1436"/>
      <c r="V363" s="1436"/>
      <c r="W363" s="1436"/>
      <c r="X363" s="1436"/>
      <c r="Y363" s="1436"/>
      <c r="Z363" s="1436"/>
      <c r="AA363" s="1436"/>
      <c r="AB363" s="1436"/>
      <c r="AC363" s="1436"/>
      <c r="AD363" s="1436"/>
      <c r="AE363" s="1436"/>
      <c r="AF363" s="1436"/>
    </row>
    <row r="364" spans="1:32">
      <c r="A364" s="1436"/>
      <c r="B364" s="1436"/>
      <c r="C364" s="1436"/>
      <c r="D364" s="1436"/>
      <c r="E364" s="1436"/>
      <c r="F364" s="1436"/>
      <c r="G364" s="1436"/>
      <c r="H364" s="1436"/>
      <c r="I364" s="1436"/>
      <c r="J364" s="1436"/>
      <c r="K364" s="1436"/>
      <c r="L364" s="1436"/>
      <c r="M364" s="1436"/>
      <c r="N364" s="1436"/>
      <c r="O364" s="1436"/>
      <c r="P364" s="1436"/>
      <c r="Q364" s="1436"/>
      <c r="R364" s="1436"/>
      <c r="S364" s="1436"/>
      <c r="T364" s="1436"/>
      <c r="U364" s="1436"/>
      <c r="V364" s="1436"/>
      <c r="W364" s="1436"/>
      <c r="X364" s="1436"/>
      <c r="Y364" s="1436"/>
      <c r="Z364" s="1436"/>
      <c r="AA364" s="1436"/>
      <c r="AB364" s="1436"/>
      <c r="AC364" s="1436"/>
      <c r="AD364" s="1436"/>
      <c r="AE364" s="1436"/>
      <c r="AF364" s="1436"/>
    </row>
    <row r="365" spans="1:32">
      <c r="A365" s="1436"/>
      <c r="B365" s="1436"/>
      <c r="C365" s="1436"/>
      <c r="D365" s="1436"/>
      <c r="E365" s="1436"/>
      <c r="F365" s="1436"/>
      <c r="G365" s="1436"/>
      <c r="H365" s="1436"/>
      <c r="I365" s="1436"/>
      <c r="J365" s="1436"/>
      <c r="K365" s="1436"/>
      <c r="L365" s="1436"/>
      <c r="M365" s="1436"/>
      <c r="N365" s="1436"/>
      <c r="O365" s="1436"/>
      <c r="P365" s="1436"/>
      <c r="Q365" s="1436"/>
      <c r="R365" s="1436"/>
      <c r="S365" s="1436"/>
      <c r="T365" s="1436"/>
      <c r="U365" s="1436"/>
      <c r="V365" s="1436"/>
      <c r="W365" s="1436"/>
      <c r="X365" s="1436"/>
      <c r="Y365" s="1436"/>
      <c r="Z365" s="1436"/>
      <c r="AA365" s="1436"/>
      <c r="AB365" s="1436"/>
      <c r="AC365" s="1436"/>
      <c r="AD365" s="1436"/>
      <c r="AE365" s="1436"/>
      <c r="AF365" s="1436"/>
    </row>
    <row r="366" spans="1:32">
      <c r="A366" s="1436"/>
      <c r="B366" s="1436"/>
      <c r="C366" s="1436"/>
      <c r="D366" s="1436"/>
      <c r="E366" s="1436"/>
      <c r="F366" s="1436"/>
      <c r="G366" s="1436"/>
      <c r="H366" s="1436"/>
      <c r="I366" s="1436"/>
      <c r="J366" s="1436"/>
      <c r="K366" s="1436"/>
      <c r="L366" s="1436"/>
      <c r="M366" s="1436"/>
      <c r="N366" s="1436"/>
      <c r="O366" s="1436"/>
      <c r="P366" s="1436"/>
      <c r="Q366" s="1436"/>
      <c r="R366" s="1436"/>
      <c r="S366" s="1436"/>
      <c r="T366" s="1436"/>
      <c r="U366" s="1436"/>
      <c r="V366" s="1436"/>
      <c r="W366" s="1436"/>
      <c r="X366" s="1436"/>
      <c r="Y366" s="1436"/>
      <c r="Z366" s="1436"/>
      <c r="AA366" s="1436"/>
      <c r="AB366" s="1436"/>
      <c r="AC366" s="1436"/>
      <c r="AD366" s="1436"/>
      <c r="AE366" s="1436"/>
      <c r="AF366" s="1436"/>
    </row>
    <row r="367" spans="1:32">
      <c r="A367" s="1436"/>
      <c r="B367" s="1436"/>
      <c r="C367" s="1436"/>
      <c r="D367" s="1436"/>
      <c r="E367" s="1436"/>
      <c r="F367" s="1436"/>
      <c r="G367" s="1436"/>
      <c r="H367" s="1436"/>
      <c r="I367" s="1436"/>
      <c r="J367" s="1436"/>
      <c r="K367" s="1436"/>
      <c r="L367" s="1436"/>
      <c r="M367" s="1436"/>
      <c r="N367" s="1436"/>
      <c r="O367" s="1436"/>
      <c r="P367" s="1436"/>
      <c r="Q367" s="1436"/>
      <c r="R367" s="1436"/>
      <c r="S367" s="1436"/>
      <c r="T367" s="1436"/>
      <c r="U367" s="1436"/>
      <c r="V367" s="1436"/>
      <c r="W367" s="1436"/>
      <c r="X367" s="1436"/>
      <c r="Y367" s="1436"/>
      <c r="Z367" s="1436"/>
      <c r="AA367" s="1436"/>
      <c r="AB367" s="1436"/>
      <c r="AC367" s="1436"/>
      <c r="AD367" s="1436"/>
      <c r="AE367" s="1436"/>
      <c r="AF367" s="1436"/>
    </row>
    <row r="368" spans="1:32">
      <c r="A368" s="1436"/>
      <c r="B368" s="1436"/>
      <c r="C368" s="1436"/>
      <c r="D368" s="1436"/>
      <c r="E368" s="1436"/>
      <c r="F368" s="1436"/>
      <c r="G368" s="1436"/>
      <c r="H368" s="1436"/>
      <c r="I368" s="1436"/>
      <c r="J368" s="1436"/>
      <c r="K368" s="1436"/>
      <c r="L368" s="1436"/>
      <c r="M368" s="1436"/>
      <c r="N368" s="1436"/>
      <c r="O368" s="1436"/>
      <c r="P368" s="1436"/>
      <c r="Q368" s="1436"/>
      <c r="R368" s="1436"/>
      <c r="S368" s="1436"/>
      <c r="T368" s="1436"/>
      <c r="U368" s="1436"/>
      <c r="V368" s="1436"/>
      <c r="W368" s="1436"/>
      <c r="X368" s="1436"/>
      <c r="Y368" s="1436"/>
      <c r="Z368" s="1436"/>
      <c r="AA368" s="1436"/>
      <c r="AB368" s="1436"/>
      <c r="AC368" s="1436"/>
      <c r="AD368" s="1436"/>
      <c r="AE368" s="1436"/>
      <c r="AF368" s="1436"/>
    </row>
    <row r="369" spans="1:32">
      <c r="A369" s="1436"/>
      <c r="B369" s="1436"/>
      <c r="C369" s="1436"/>
      <c r="D369" s="1436"/>
      <c r="E369" s="1436"/>
      <c r="F369" s="1436"/>
      <c r="G369" s="1436"/>
      <c r="H369" s="1436"/>
      <c r="I369" s="1436"/>
      <c r="J369" s="1436"/>
      <c r="K369" s="1436"/>
      <c r="L369" s="1436"/>
      <c r="M369" s="1436"/>
      <c r="N369" s="1436"/>
      <c r="O369" s="1436"/>
      <c r="P369" s="1436"/>
      <c r="Q369" s="1436"/>
      <c r="R369" s="1436"/>
      <c r="S369" s="1436"/>
      <c r="T369" s="1436"/>
      <c r="U369" s="1436"/>
      <c r="V369" s="1436"/>
      <c r="W369" s="1436"/>
      <c r="X369" s="1436"/>
      <c r="Y369" s="1436"/>
      <c r="Z369" s="1436"/>
      <c r="AA369" s="1436"/>
      <c r="AB369" s="1436"/>
      <c r="AC369" s="1436"/>
      <c r="AD369" s="1436"/>
      <c r="AE369" s="1436"/>
      <c r="AF369" s="1436"/>
    </row>
    <row r="370" spans="1:32">
      <c r="A370" s="1436"/>
      <c r="B370" s="1436"/>
      <c r="C370" s="1436"/>
      <c r="D370" s="1436"/>
      <c r="E370" s="1436"/>
      <c r="F370" s="1436"/>
      <c r="G370" s="1436"/>
      <c r="H370" s="1436"/>
      <c r="I370" s="1436"/>
      <c r="J370" s="1436"/>
      <c r="K370" s="1436"/>
      <c r="L370" s="1436"/>
      <c r="M370" s="1436"/>
      <c r="N370" s="1436"/>
      <c r="O370" s="1436"/>
      <c r="P370" s="1436"/>
      <c r="Q370" s="1436"/>
      <c r="R370" s="1436"/>
      <c r="S370" s="1436"/>
      <c r="T370" s="1436"/>
      <c r="U370" s="1436"/>
      <c r="V370" s="1436"/>
      <c r="W370" s="1436"/>
      <c r="X370" s="1436"/>
      <c r="Y370" s="1436"/>
      <c r="Z370" s="1436"/>
      <c r="AA370" s="1436"/>
      <c r="AB370" s="1436"/>
      <c r="AC370" s="1436"/>
      <c r="AD370" s="1436"/>
      <c r="AE370" s="1436"/>
      <c r="AF370" s="1436"/>
    </row>
    <row r="371" spans="1:32">
      <c r="A371" s="1436"/>
      <c r="B371" s="1436"/>
      <c r="C371" s="1436"/>
      <c r="D371" s="1436"/>
      <c r="E371" s="1436"/>
      <c r="F371" s="1436"/>
      <c r="G371" s="1436"/>
      <c r="H371" s="1436"/>
      <c r="I371" s="1436"/>
      <c r="J371" s="1436"/>
      <c r="K371" s="1436"/>
      <c r="L371" s="1436"/>
      <c r="M371" s="1436"/>
      <c r="N371" s="1436"/>
      <c r="O371" s="1436"/>
      <c r="P371" s="1436"/>
      <c r="Q371" s="1436"/>
      <c r="R371" s="1436"/>
      <c r="S371" s="1436"/>
      <c r="T371" s="1436"/>
      <c r="U371" s="1436"/>
      <c r="V371" s="1436"/>
      <c r="W371" s="1436"/>
      <c r="X371" s="1436"/>
      <c r="Y371" s="1436"/>
      <c r="Z371" s="1436"/>
      <c r="AA371" s="1436"/>
      <c r="AB371" s="1436"/>
      <c r="AC371" s="1436"/>
      <c r="AD371" s="1436"/>
      <c r="AE371" s="1436"/>
      <c r="AF371" s="1436"/>
    </row>
    <row r="372" spans="1:32">
      <c r="A372" s="1436"/>
      <c r="B372" s="1436"/>
      <c r="C372" s="1436"/>
      <c r="D372" s="1436"/>
      <c r="E372" s="1436"/>
      <c r="F372" s="1436"/>
      <c r="G372" s="1436"/>
      <c r="H372" s="1436"/>
      <c r="I372" s="1436"/>
      <c r="J372" s="1436"/>
      <c r="K372" s="1436"/>
      <c r="L372" s="1436"/>
      <c r="M372" s="1436"/>
      <c r="N372" s="1436"/>
      <c r="O372" s="1436"/>
      <c r="P372" s="1436"/>
      <c r="Q372" s="1436"/>
      <c r="R372" s="1436"/>
      <c r="S372" s="1436"/>
      <c r="T372" s="1436"/>
      <c r="U372" s="1436"/>
      <c r="V372" s="1436"/>
      <c r="W372" s="1436"/>
      <c r="X372" s="1436"/>
      <c r="Y372" s="1436"/>
      <c r="Z372" s="1436"/>
      <c r="AA372" s="1436"/>
      <c r="AB372" s="1436"/>
      <c r="AC372" s="1436"/>
      <c r="AD372" s="1436"/>
      <c r="AE372" s="1436"/>
      <c r="AF372" s="1436"/>
    </row>
    <row r="373" spans="1:32">
      <c r="A373" s="1436"/>
      <c r="B373" s="1436"/>
      <c r="C373" s="1436"/>
      <c r="D373" s="1436"/>
      <c r="E373" s="1436"/>
      <c r="F373" s="1436"/>
      <c r="G373" s="1436"/>
      <c r="H373" s="1436"/>
      <c r="I373" s="1436"/>
      <c r="J373" s="1436"/>
      <c r="K373" s="1436"/>
      <c r="L373" s="1436"/>
      <c r="M373" s="1436"/>
      <c r="N373" s="1436"/>
      <c r="O373" s="1436"/>
      <c r="P373" s="1436"/>
      <c r="Q373" s="1436"/>
      <c r="R373" s="1436"/>
      <c r="S373" s="1436"/>
      <c r="T373" s="1436"/>
      <c r="U373" s="1436"/>
      <c r="V373" s="1436"/>
      <c r="W373" s="1436"/>
      <c r="X373" s="1436"/>
      <c r="Y373" s="1436"/>
      <c r="Z373" s="1436"/>
      <c r="AA373" s="1436"/>
      <c r="AB373" s="1436"/>
      <c r="AC373" s="1436"/>
      <c r="AD373" s="1436"/>
      <c r="AE373" s="1436"/>
      <c r="AF373" s="1436"/>
    </row>
    <row r="374" spans="1:32">
      <c r="A374" s="1436"/>
      <c r="B374" s="1436"/>
      <c r="C374" s="1436"/>
      <c r="D374" s="1436"/>
      <c r="E374" s="1436"/>
      <c r="F374" s="1436"/>
      <c r="G374" s="1436"/>
      <c r="H374" s="1436"/>
      <c r="I374" s="1436"/>
      <c r="J374" s="1436"/>
      <c r="K374" s="1436"/>
      <c r="L374" s="1436"/>
      <c r="M374" s="1436"/>
      <c r="N374" s="1436"/>
      <c r="O374" s="1436"/>
      <c r="P374" s="1436"/>
      <c r="Q374" s="1436"/>
      <c r="R374" s="1436"/>
      <c r="S374" s="1436"/>
      <c r="T374" s="1436"/>
      <c r="U374" s="1436"/>
      <c r="V374" s="1436"/>
      <c r="W374" s="1436"/>
      <c r="X374" s="1436"/>
      <c r="Y374" s="1436"/>
      <c r="Z374" s="1436"/>
      <c r="AA374" s="1436"/>
      <c r="AB374" s="1436"/>
      <c r="AC374" s="1436"/>
      <c r="AD374" s="1436"/>
      <c r="AE374" s="1436"/>
      <c r="AF374" s="1436"/>
    </row>
    <row r="375" spans="1:32">
      <c r="A375" s="1436"/>
      <c r="B375" s="1436"/>
      <c r="C375" s="1436"/>
      <c r="D375" s="1436"/>
      <c r="E375" s="1436"/>
      <c r="F375" s="1436"/>
      <c r="G375" s="1436"/>
      <c r="H375" s="1436"/>
      <c r="I375" s="1436"/>
      <c r="J375" s="1436"/>
      <c r="K375" s="1436"/>
      <c r="L375" s="1436"/>
      <c r="M375" s="1436"/>
      <c r="N375" s="1436"/>
      <c r="O375" s="1436"/>
      <c r="P375" s="1436"/>
      <c r="Q375" s="1436"/>
      <c r="R375" s="1436"/>
      <c r="S375" s="1436"/>
      <c r="T375" s="1436"/>
      <c r="U375" s="1436"/>
      <c r="V375" s="1436"/>
      <c r="W375" s="1436"/>
      <c r="X375" s="1436"/>
      <c r="Y375" s="1436"/>
      <c r="Z375" s="1436"/>
      <c r="AA375" s="1436"/>
      <c r="AB375" s="1436"/>
      <c r="AC375" s="1436"/>
      <c r="AD375" s="1436"/>
      <c r="AE375" s="1436"/>
      <c r="AF375" s="1436"/>
    </row>
    <row r="376" spans="1:32">
      <c r="A376" s="1436"/>
      <c r="B376" s="1436"/>
      <c r="C376" s="1436"/>
      <c r="D376" s="1436"/>
      <c r="E376" s="1436"/>
      <c r="F376" s="1436"/>
      <c r="G376" s="1436"/>
      <c r="H376" s="1436"/>
      <c r="I376" s="1436"/>
      <c r="J376" s="1436"/>
      <c r="K376" s="1436"/>
      <c r="L376" s="1436"/>
      <c r="M376" s="1436"/>
      <c r="N376" s="1436"/>
      <c r="O376" s="1436"/>
      <c r="P376" s="1436"/>
      <c r="Q376" s="1436"/>
      <c r="R376" s="1436"/>
      <c r="S376" s="1436"/>
      <c r="T376" s="1436"/>
      <c r="U376" s="1436"/>
      <c r="V376" s="1436"/>
      <c r="W376" s="1436"/>
      <c r="X376" s="1436"/>
      <c r="Y376" s="1436"/>
      <c r="Z376" s="1436"/>
      <c r="AA376" s="1436"/>
      <c r="AB376" s="1436"/>
      <c r="AC376" s="1436"/>
      <c r="AD376" s="1436"/>
      <c r="AE376" s="1436"/>
      <c r="AF376" s="1436"/>
    </row>
    <row r="377" spans="1:32">
      <c r="A377" s="1436"/>
      <c r="B377" s="1436"/>
      <c r="C377" s="1436"/>
      <c r="D377" s="1436"/>
      <c r="E377" s="1436"/>
      <c r="F377" s="1436"/>
      <c r="G377" s="1436"/>
      <c r="H377" s="1436"/>
      <c r="I377" s="1436"/>
      <c r="J377" s="1436"/>
      <c r="K377" s="1436"/>
      <c r="L377" s="1436"/>
      <c r="M377" s="1436"/>
      <c r="N377" s="1436"/>
      <c r="O377" s="1436"/>
      <c r="P377" s="1436"/>
      <c r="Q377" s="1436"/>
      <c r="R377" s="1436"/>
      <c r="S377" s="1436"/>
      <c r="T377" s="1436"/>
      <c r="U377" s="1436"/>
      <c r="V377" s="1436"/>
      <c r="W377" s="1436"/>
      <c r="X377" s="1436"/>
      <c r="Y377" s="1436"/>
      <c r="Z377" s="1436"/>
      <c r="AA377" s="1436"/>
      <c r="AB377" s="1436"/>
      <c r="AC377" s="1436"/>
      <c r="AD377" s="1436"/>
      <c r="AE377" s="1436"/>
      <c r="AF377" s="1436"/>
    </row>
    <row r="378" spans="1:32">
      <c r="A378" s="1436"/>
      <c r="B378" s="1436"/>
      <c r="C378" s="1436"/>
      <c r="D378" s="1436"/>
      <c r="E378" s="1436"/>
      <c r="F378" s="1436"/>
      <c r="G378" s="1436"/>
      <c r="H378" s="1436"/>
      <c r="I378" s="1436"/>
      <c r="J378" s="1436"/>
      <c r="K378" s="1436"/>
      <c r="L378" s="1436"/>
      <c r="M378" s="1436"/>
      <c r="N378" s="1436"/>
      <c r="O378" s="1436"/>
      <c r="P378" s="1436"/>
      <c r="Q378" s="1436"/>
      <c r="R378" s="1436"/>
      <c r="S378" s="1436"/>
      <c r="T378" s="1436"/>
      <c r="U378" s="1436"/>
      <c r="V378" s="1436"/>
      <c r="W378" s="1436"/>
      <c r="X378" s="1436"/>
      <c r="Y378" s="1436"/>
      <c r="Z378" s="1436"/>
      <c r="AA378" s="1436"/>
      <c r="AB378" s="1436"/>
      <c r="AC378" s="1436"/>
      <c r="AD378" s="1436"/>
      <c r="AE378" s="1436"/>
      <c r="AF378" s="1436"/>
    </row>
    <row r="379" spans="1:32">
      <c r="A379" s="1436"/>
      <c r="B379" s="1436"/>
      <c r="C379" s="1436"/>
      <c r="D379" s="1436"/>
      <c r="E379" s="1436"/>
      <c r="F379" s="1436"/>
      <c r="G379" s="1436"/>
      <c r="H379" s="1436"/>
      <c r="I379" s="1436"/>
      <c r="J379" s="1436"/>
      <c r="K379" s="1436"/>
      <c r="L379" s="1436"/>
      <c r="M379" s="1436"/>
      <c r="N379" s="1436"/>
      <c r="O379" s="1436"/>
      <c r="P379" s="1436"/>
      <c r="Q379" s="1436"/>
      <c r="R379" s="1436"/>
      <c r="S379" s="1436"/>
      <c r="T379" s="1436"/>
      <c r="U379" s="1436"/>
      <c r="V379" s="1436"/>
      <c r="W379" s="1436"/>
      <c r="X379" s="1436"/>
      <c r="Y379" s="1436"/>
      <c r="Z379" s="1436"/>
      <c r="AA379" s="1436"/>
      <c r="AB379" s="1436"/>
      <c r="AC379" s="1436"/>
      <c r="AD379" s="1436"/>
      <c r="AE379" s="1436"/>
      <c r="AF379" s="1436"/>
    </row>
    <row r="380" spans="1:32">
      <c r="A380" s="1436"/>
      <c r="B380" s="1436"/>
      <c r="C380" s="1436"/>
      <c r="D380" s="1436"/>
      <c r="E380" s="1436"/>
      <c r="F380" s="1436"/>
      <c r="G380" s="1436"/>
      <c r="H380" s="1436"/>
      <c r="I380" s="1436"/>
      <c r="J380" s="1436"/>
      <c r="K380" s="1436"/>
      <c r="L380" s="1436"/>
      <c r="M380" s="1436"/>
      <c r="N380" s="1436"/>
      <c r="O380" s="1436"/>
      <c r="P380" s="1436"/>
      <c r="Q380" s="1436"/>
      <c r="R380" s="1436"/>
      <c r="S380" s="1436"/>
      <c r="T380" s="1436"/>
      <c r="U380" s="1436"/>
      <c r="V380" s="1436"/>
      <c r="W380" s="1436"/>
      <c r="X380" s="1436"/>
      <c r="Y380" s="1436"/>
      <c r="Z380" s="1436"/>
      <c r="AA380" s="1436"/>
      <c r="AB380" s="1436"/>
      <c r="AC380" s="1436"/>
      <c r="AD380" s="1436"/>
      <c r="AE380" s="1436"/>
      <c r="AF380" s="1436"/>
    </row>
    <row r="381" spans="1:32">
      <c r="A381" s="1436"/>
      <c r="B381" s="1436"/>
      <c r="C381" s="1436"/>
      <c r="D381" s="1436"/>
      <c r="E381" s="1436"/>
      <c r="F381" s="1436"/>
      <c r="G381" s="1436"/>
      <c r="H381" s="1436"/>
      <c r="I381" s="1436"/>
      <c r="J381" s="1436"/>
      <c r="K381" s="1436"/>
      <c r="L381" s="1436"/>
      <c r="M381" s="1436"/>
      <c r="N381" s="1436"/>
      <c r="O381" s="1436"/>
      <c r="P381" s="1436"/>
      <c r="Q381" s="1436"/>
      <c r="R381" s="1436"/>
      <c r="S381" s="1436"/>
      <c r="T381" s="1436"/>
      <c r="U381" s="1436"/>
      <c r="V381" s="1436"/>
      <c r="W381" s="1436"/>
      <c r="X381" s="1436"/>
      <c r="Y381" s="1436"/>
      <c r="Z381" s="1436"/>
      <c r="AA381" s="1436"/>
      <c r="AB381" s="1436"/>
      <c r="AC381" s="1436"/>
      <c r="AD381" s="1436"/>
      <c r="AE381" s="1436"/>
      <c r="AF381" s="1436"/>
    </row>
    <row r="382" spans="1:32">
      <c r="A382" s="1436"/>
      <c r="B382" s="1436"/>
      <c r="C382" s="1436"/>
      <c r="D382" s="1436"/>
      <c r="E382" s="1436"/>
      <c r="F382" s="1436"/>
      <c r="G382" s="1436"/>
      <c r="H382" s="1436"/>
      <c r="I382" s="1436"/>
      <c r="J382" s="1436"/>
      <c r="K382" s="1436"/>
      <c r="L382" s="1436"/>
      <c r="M382" s="1436"/>
      <c r="N382" s="1436"/>
      <c r="O382" s="1436"/>
      <c r="P382" s="1436"/>
      <c r="Q382" s="1436"/>
      <c r="R382" s="1436"/>
      <c r="S382" s="1436"/>
      <c r="T382" s="1436"/>
      <c r="U382" s="1436"/>
      <c r="V382" s="1436"/>
      <c r="W382" s="1436"/>
      <c r="X382" s="1436"/>
      <c r="Y382" s="1436"/>
      <c r="Z382" s="1436"/>
      <c r="AA382" s="1436"/>
      <c r="AB382" s="1436"/>
      <c r="AC382" s="1436"/>
      <c r="AD382" s="1436"/>
      <c r="AE382" s="1436"/>
      <c r="AF382" s="1436"/>
    </row>
    <row r="383" spans="1:32">
      <c r="A383" s="1436"/>
      <c r="B383" s="1436"/>
      <c r="C383" s="1436"/>
      <c r="D383" s="1436"/>
      <c r="E383" s="1436"/>
      <c r="F383" s="1436"/>
      <c r="G383" s="1436"/>
      <c r="H383" s="1436"/>
      <c r="I383" s="1436"/>
      <c r="J383" s="1436"/>
      <c r="K383" s="1436"/>
      <c r="L383" s="1436"/>
      <c r="M383" s="1436"/>
      <c r="N383" s="1436"/>
      <c r="O383" s="1436"/>
      <c r="P383" s="1436"/>
      <c r="Q383" s="1436"/>
      <c r="R383" s="1436"/>
      <c r="S383" s="1436"/>
      <c r="T383" s="1436"/>
      <c r="U383" s="1436"/>
      <c r="V383" s="1436"/>
      <c r="W383" s="1436"/>
      <c r="X383" s="1436"/>
      <c r="Y383" s="1436"/>
      <c r="Z383" s="1436"/>
      <c r="AA383" s="1436"/>
      <c r="AB383" s="1436"/>
      <c r="AC383" s="1436"/>
      <c r="AD383" s="1436"/>
      <c r="AE383" s="1436"/>
      <c r="AF383" s="1436"/>
    </row>
    <row r="384" spans="1:32">
      <c r="A384" s="1436"/>
      <c r="B384" s="1436"/>
      <c r="C384" s="1436"/>
      <c r="D384" s="1436"/>
      <c r="E384" s="1436"/>
      <c r="F384" s="1436"/>
      <c r="G384" s="1436"/>
      <c r="H384" s="1436"/>
      <c r="I384" s="1436"/>
      <c r="J384" s="1436"/>
      <c r="K384" s="1436"/>
      <c r="L384" s="1436"/>
      <c r="M384" s="1436"/>
      <c r="N384" s="1436"/>
      <c r="O384" s="1436"/>
      <c r="P384" s="1436"/>
      <c r="Q384" s="1436"/>
      <c r="R384" s="1436"/>
      <c r="S384" s="1436"/>
      <c r="T384" s="1436"/>
      <c r="U384" s="1436"/>
      <c r="V384" s="1436"/>
      <c r="W384" s="1436"/>
      <c r="X384" s="1436"/>
      <c r="Y384" s="1436"/>
      <c r="Z384" s="1436"/>
      <c r="AA384" s="1436"/>
      <c r="AB384" s="1436"/>
      <c r="AC384" s="1436"/>
      <c r="AD384" s="1436"/>
      <c r="AE384" s="1436"/>
      <c r="AF384" s="1436"/>
    </row>
    <row r="385" spans="1:32">
      <c r="A385" s="1436"/>
      <c r="B385" s="1436"/>
      <c r="C385" s="1436"/>
      <c r="D385" s="1436"/>
      <c r="E385" s="1436"/>
      <c r="F385" s="1436"/>
      <c r="G385" s="1436"/>
      <c r="H385" s="1436"/>
      <c r="I385" s="1436"/>
      <c r="J385" s="1436"/>
      <c r="K385" s="1436"/>
      <c r="L385" s="1436"/>
      <c r="M385" s="1436"/>
      <c r="N385" s="1436"/>
      <c r="O385" s="1436"/>
      <c r="P385" s="1436"/>
      <c r="Q385" s="1436"/>
      <c r="R385" s="1436"/>
      <c r="S385" s="1436"/>
      <c r="T385" s="1436"/>
      <c r="U385" s="1436"/>
      <c r="V385" s="1436"/>
      <c r="W385" s="1436"/>
      <c r="X385" s="1436"/>
      <c r="Y385" s="1436"/>
      <c r="Z385" s="1436"/>
      <c r="AA385" s="1436"/>
      <c r="AB385" s="1436"/>
      <c r="AC385" s="1436"/>
      <c r="AD385" s="1436"/>
      <c r="AE385" s="1436"/>
      <c r="AF385" s="1436"/>
    </row>
    <row r="386" spans="1:32">
      <c r="A386" s="1436"/>
      <c r="B386" s="1436"/>
      <c r="C386" s="1436"/>
      <c r="D386" s="1436"/>
      <c r="E386" s="1436"/>
      <c r="F386" s="1436"/>
      <c r="G386" s="1436"/>
      <c r="H386" s="1436"/>
      <c r="I386" s="1436"/>
      <c r="J386" s="1436"/>
      <c r="K386" s="1436"/>
      <c r="L386" s="1436"/>
      <c r="M386" s="1436"/>
      <c r="N386" s="1436"/>
      <c r="O386" s="1436"/>
      <c r="P386" s="1436"/>
      <c r="Q386" s="1436"/>
      <c r="R386" s="1436"/>
      <c r="S386" s="1436"/>
      <c r="T386" s="1436"/>
      <c r="U386" s="1436"/>
      <c r="V386" s="1436"/>
      <c r="W386" s="1436"/>
      <c r="X386" s="1436"/>
      <c r="Y386" s="1436"/>
      <c r="Z386" s="1436"/>
      <c r="AA386" s="1436"/>
      <c r="AB386" s="1436"/>
      <c r="AC386" s="1436"/>
      <c r="AD386" s="1436"/>
      <c r="AE386" s="1436"/>
      <c r="AF386" s="1436"/>
    </row>
    <row r="387" spans="1:32">
      <c r="A387" s="1436"/>
      <c r="B387" s="1436"/>
      <c r="C387" s="1436"/>
      <c r="D387" s="1436"/>
      <c r="E387" s="1436"/>
      <c r="F387" s="1436"/>
      <c r="G387" s="1436"/>
      <c r="H387" s="1436"/>
      <c r="I387" s="1436"/>
      <c r="J387" s="1436"/>
      <c r="K387" s="1436"/>
      <c r="L387" s="1436"/>
      <c r="M387" s="1436"/>
      <c r="N387" s="1436"/>
      <c r="O387" s="1436"/>
      <c r="P387" s="1436"/>
      <c r="Q387" s="1436"/>
      <c r="R387" s="1436"/>
      <c r="S387" s="1436"/>
      <c r="T387" s="1436"/>
      <c r="U387" s="1436"/>
      <c r="V387" s="1436"/>
      <c r="W387" s="1436"/>
      <c r="X387" s="1436"/>
      <c r="Y387" s="1436"/>
      <c r="Z387" s="1436"/>
      <c r="AA387" s="1436"/>
      <c r="AB387" s="1436"/>
      <c r="AC387" s="1436"/>
      <c r="AD387" s="1436"/>
      <c r="AE387" s="1436"/>
      <c r="AF387" s="1436"/>
    </row>
    <row r="388" spans="1:32">
      <c r="A388" s="1436"/>
      <c r="B388" s="1436"/>
      <c r="C388" s="1436"/>
      <c r="D388" s="1436"/>
      <c r="E388" s="1436"/>
      <c r="F388" s="1436"/>
      <c r="G388" s="1436"/>
      <c r="H388" s="1436"/>
      <c r="I388" s="1436"/>
      <c r="J388" s="1436"/>
      <c r="K388" s="1436"/>
      <c r="L388" s="1436"/>
      <c r="M388" s="1436"/>
      <c r="N388" s="1436"/>
      <c r="O388" s="1436"/>
      <c r="P388" s="1436"/>
      <c r="Q388" s="1436"/>
      <c r="R388" s="1436"/>
      <c r="S388" s="1436"/>
      <c r="T388" s="1436"/>
      <c r="U388" s="1436"/>
      <c r="V388" s="1436"/>
      <c r="W388" s="1436"/>
      <c r="X388" s="1436"/>
      <c r="Y388" s="1436"/>
      <c r="Z388" s="1436"/>
      <c r="AA388" s="1436"/>
      <c r="AB388" s="1436"/>
      <c r="AC388" s="1436"/>
      <c r="AD388" s="1436"/>
      <c r="AE388" s="1436"/>
      <c r="AF388" s="1436"/>
    </row>
    <row r="389" spans="1:32">
      <c r="A389" s="1436"/>
      <c r="B389" s="1436"/>
      <c r="C389" s="1436"/>
      <c r="D389" s="1436"/>
      <c r="E389" s="1436"/>
      <c r="F389" s="1436"/>
      <c r="G389" s="1436"/>
      <c r="H389" s="1436"/>
      <c r="I389" s="1436"/>
      <c r="J389" s="1436"/>
      <c r="K389" s="1436"/>
      <c r="L389" s="1436"/>
      <c r="M389" s="1436"/>
      <c r="N389" s="1436"/>
      <c r="O389" s="1436"/>
      <c r="P389" s="1436"/>
      <c r="Q389" s="1436"/>
      <c r="R389" s="1436"/>
      <c r="S389" s="1436"/>
      <c r="T389" s="1436"/>
      <c r="U389" s="1436"/>
      <c r="V389" s="1436"/>
      <c r="W389" s="1436"/>
      <c r="X389" s="1436"/>
      <c r="Y389" s="1436"/>
      <c r="Z389" s="1436"/>
      <c r="AA389" s="1436"/>
      <c r="AB389" s="1436"/>
      <c r="AC389" s="1436"/>
      <c r="AD389" s="1436"/>
      <c r="AE389" s="1436"/>
      <c r="AF389" s="1436"/>
    </row>
    <row r="390" spans="1:32">
      <c r="A390" s="1436"/>
      <c r="B390" s="1436"/>
      <c r="C390" s="1436"/>
      <c r="D390" s="1436"/>
      <c r="E390" s="1436"/>
      <c r="F390" s="1436"/>
      <c r="G390" s="1436"/>
      <c r="H390" s="1436"/>
      <c r="I390" s="1436"/>
      <c r="J390" s="1436"/>
      <c r="K390" s="1436"/>
      <c r="L390" s="1436"/>
      <c r="M390" s="1436"/>
      <c r="N390" s="1436"/>
      <c r="O390" s="1436"/>
      <c r="P390" s="1436"/>
      <c r="Q390" s="1436"/>
      <c r="R390" s="1436"/>
      <c r="S390" s="1436"/>
      <c r="T390" s="1436"/>
      <c r="U390" s="1436"/>
      <c r="V390" s="1436"/>
      <c r="W390" s="1436"/>
      <c r="X390" s="1436"/>
      <c r="Y390" s="1436"/>
      <c r="Z390" s="1436"/>
      <c r="AA390" s="1436"/>
      <c r="AB390" s="1436"/>
      <c r="AC390" s="1436"/>
      <c r="AD390" s="1436"/>
      <c r="AE390" s="1436"/>
      <c r="AF390" s="1436"/>
    </row>
    <row r="391" spans="1:32">
      <c r="A391" s="1436"/>
      <c r="B391" s="1436"/>
      <c r="C391" s="1436"/>
      <c r="D391" s="1436"/>
      <c r="E391" s="1436"/>
      <c r="F391" s="1436"/>
      <c r="G391" s="1436"/>
      <c r="H391" s="1436"/>
      <c r="I391" s="1436"/>
      <c r="J391" s="1436"/>
      <c r="K391" s="1436"/>
      <c r="L391" s="1436"/>
      <c r="M391" s="1436"/>
      <c r="N391" s="1436"/>
      <c r="O391" s="1436"/>
      <c r="P391" s="1436"/>
      <c r="Q391" s="1436"/>
      <c r="R391" s="1436"/>
      <c r="S391" s="1436"/>
      <c r="T391" s="1436"/>
      <c r="U391" s="1436"/>
      <c r="V391" s="1436"/>
      <c r="W391" s="1436"/>
      <c r="X391" s="1436"/>
      <c r="Y391" s="1436"/>
      <c r="Z391" s="1436"/>
      <c r="AA391" s="1436"/>
      <c r="AB391" s="1436"/>
      <c r="AC391" s="1436"/>
      <c r="AD391" s="1436"/>
      <c r="AE391" s="1436"/>
      <c r="AF391" s="1436"/>
    </row>
    <row r="392" spans="1:32">
      <c r="A392" s="1436"/>
      <c r="B392" s="1436"/>
      <c r="C392" s="1436"/>
      <c r="D392" s="1436"/>
      <c r="E392" s="1436"/>
      <c r="F392" s="1436"/>
      <c r="G392" s="1436"/>
      <c r="H392" s="1436"/>
      <c r="I392" s="1436"/>
      <c r="J392" s="1436"/>
      <c r="K392" s="1436"/>
      <c r="L392" s="1436"/>
      <c r="M392" s="1436"/>
      <c r="N392" s="1436"/>
      <c r="O392" s="1436"/>
      <c r="P392" s="1436"/>
      <c r="Q392" s="1436"/>
      <c r="R392" s="1436"/>
      <c r="S392" s="1436"/>
      <c r="T392" s="1436"/>
      <c r="U392" s="1436"/>
      <c r="V392" s="1436"/>
      <c r="W392" s="1436"/>
      <c r="X392" s="1436"/>
      <c r="Y392" s="1436"/>
      <c r="Z392" s="1436"/>
      <c r="AA392" s="1436"/>
      <c r="AB392" s="1436"/>
      <c r="AC392" s="1436"/>
      <c r="AD392" s="1436"/>
      <c r="AE392" s="1436"/>
      <c r="AF392" s="1436"/>
    </row>
    <row r="393" spans="1:32">
      <c r="A393" s="1436"/>
      <c r="B393" s="1436"/>
      <c r="C393" s="1436"/>
      <c r="D393" s="1436"/>
      <c r="E393" s="1436"/>
      <c r="F393" s="1436"/>
      <c r="G393" s="1436"/>
      <c r="H393" s="1436"/>
      <c r="I393" s="1436"/>
      <c r="J393" s="1436"/>
      <c r="K393" s="1436"/>
      <c r="L393" s="1436"/>
      <c r="M393" s="1436"/>
      <c r="N393" s="1436"/>
      <c r="O393" s="1436"/>
      <c r="P393" s="1436"/>
      <c r="Q393" s="1436"/>
      <c r="R393" s="1436"/>
      <c r="S393" s="1436"/>
      <c r="T393" s="1436"/>
      <c r="U393" s="1436"/>
      <c r="V393" s="1436"/>
      <c r="W393" s="1436"/>
      <c r="X393" s="1436"/>
      <c r="Y393" s="1436"/>
      <c r="Z393" s="1436"/>
      <c r="AA393" s="1436"/>
      <c r="AB393" s="1436"/>
      <c r="AC393" s="1436"/>
      <c r="AD393" s="1436"/>
      <c r="AE393" s="1436"/>
      <c r="AF393" s="1436"/>
    </row>
    <row r="394" spans="1:32">
      <c r="A394" s="1436"/>
      <c r="B394" s="1436"/>
      <c r="C394" s="1436"/>
      <c r="D394" s="1436"/>
      <c r="E394" s="1436"/>
      <c r="F394" s="1436"/>
      <c r="G394" s="1436"/>
      <c r="H394" s="1436"/>
      <c r="I394" s="1436"/>
      <c r="J394" s="1436"/>
      <c r="K394" s="1436"/>
      <c r="L394" s="1436"/>
      <c r="M394" s="1436"/>
      <c r="N394" s="1436"/>
      <c r="O394" s="1436"/>
      <c r="P394" s="1436"/>
      <c r="Q394" s="1436"/>
      <c r="R394" s="1436"/>
      <c r="S394" s="1436"/>
      <c r="T394" s="1436"/>
      <c r="U394" s="1436"/>
      <c r="V394" s="1436"/>
      <c r="W394" s="1436"/>
      <c r="X394" s="1436"/>
      <c r="Y394" s="1436"/>
      <c r="Z394" s="1436"/>
      <c r="AA394" s="1436"/>
      <c r="AB394" s="1436"/>
      <c r="AC394" s="1436"/>
      <c r="AD394" s="1436"/>
      <c r="AE394" s="1436"/>
      <c r="AF394" s="1436"/>
    </row>
    <row r="395" spans="1:32">
      <c r="A395" s="1436"/>
      <c r="B395" s="1436"/>
      <c r="C395" s="1436"/>
      <c r="D395" s="1436"/>
      <c r="E395" s="1436"/>
      <c r="F395" s="1436"/>
      <c r="G395" s="1436"/>
      <c r="H395" s="1436"/>
      <c r="I395" s="1436"/>
      <c r="J395" s="1436"/>
      <c r="K395" s="1436"/>
      <c r="L395" s="1436"/>
      <c r="M395" s="1436"/>
      <c r="N395" s="1436"/>
      <c r="O395" s="1436"/>
      <c r="P395" s="1436"/>
      <c r="Q395" s="1436"/>
      <c r="R395" s="1436"/>
      <c r="S395" s="1436"/>
      <c r="T395" s="1436"/>
      <c r="U395" s="1436"/>
      <c r="V395" s="1436"/>
      <c r="W395" s="1436"/>
      <c r="X395" s="1436"/>
      <c r="Y395" s="1436"/>
      <c r="Z395" s="1436"/>
      <c r="AA395" s="1436"/>
      <c r="AB395" s="1436"/>
      <c r="AC395" s="1436"/>
      <c r="AD395" s="1436"/>
      <c r="AE395" s="1436"/>
      <c r="AF395" s="1436"/>
    </row>
    <row r="396" spans="1:32">
      <c r="A396" s="1436"/>
      <c r="B396" s="1436"/>
      <c r="C396" s="1436"/>
      <c r="D396" s="1436"/>
      <c r="E396" s="1436"/>
      <c r="F396" s="1436"/>
      <c r="G396" s="1436"/>
      <c r="H396" s="1436"/>
      <c r="I396" s="1436"/>
      <c r="J396" s="1436"/>
      <c r="K396" s="1436"/>
      <c r="L396" s="1436"/>
      <c r="M396" s="1436"/>
      <c r="N396" s="1436"/>
      <c r="O396" s="1436"/>
      <c r="P396" s="1436"/>
      <c r="Q396" s="1436"/>
      <c r="R396" s="1436"/>
      <c r="S396" s="1436"/>
      <c r="T396" s="1436"/>
      <c r="U396" s="1436"/>
      <c r="V396" s="1436"/>
      <c r="W396" s="1436"/>
      <c r="X396" s="1436"/>
      <c r="Y396" s="1436"/>
      <c r="Z396" s="1436"/>
      <c r="AA396" s="1436"/>
      <c r="AB396" s="1436"/>
      <c r="AC396" s="1436"/>
      <c r="AD396" s="1436"/>
      <c r="AE396" s="1436"/>
      <c r="AF396" s="1436"/>
    </row>
    <row r="397" spans="1:32">
      <c r="A397" s="1436"/>
      <c r="B397" s="1436"/>
      <c r="C397" s="1436"/>
      <c r="D397" s="1436"/>
      <c r="E397" s="1436"/>
      <c r="F397" s="1436"/>
      <c r="G397" s="1436"/>
      <c r="H397" s="1436"/>
      <c r="I397" s="1436"/>
      <c r="J397" s="1436"/>
      <c r="K397" s="1436"/>
      <c r="L397" s="1436"/>
      <c r="M397" s="1436"/>
      <c r="N397" s="1436"/>
      <c r="O397" s="1436"/>
      <c r="P397" s="1436"/>
      <c r="Q397" s="1436"/>
      <c r="R397" s="1436"/>
      <c r="S397" s="1436"/>
      <c r="T397" s="1436"/>
      <c r="U397" s="1436"/>
      <c r="V397" s="1436"/>
      <c r="W397" s="1436"/>
      <c r="X397" s="1436"/>
      <c r="Y397" s="1436"/>
      <c r="Z397" s="1436"/>
      <c r="AA397" s="1436"/>
      <c r="AB397" s="1436"/>
      <c r="AC397" s="1436"/>
      <c r="AD397" s="1436"/>
      <c r="AE397" s="1436"/>
      <c r="AF397" s="1436"/>
    </row>
    <row r="398" spans="1:32">
      <c r="A398" s="1436"/>
      <c r="B398" s="1436"/>
      <c r="C398" s="1436"/>
      <c r="D398" s="1436"/>
      <c r="E398" s="1436"/>
      <c r="F398" s="1436"/>
      <c r="G398" s="1436"/>
      <c r="H398" s="1436"/>
      <c r="I398" s="1436"/>
      <c r="J398" s="1436"/>
      <c r="K398" s="1436"/>
      <c r="L398" s="1436"/>
      <c r="M398" s="1436"/>
      <c r="N398" s="1436"/>
      <c r="O398" s="1436"/>
      <c r="P398" s="1436"/>
      <c r="Q398" s="1436"/>
      <c r="R398" s="1436"/>
      <c r="S398" s="1436"/>
      <c r="T398" s="1436"/>
      <c r="U398" s="1436"/>
      <c r="V398" s="1436"/>
      <c r="W398" s="1436"/>
      <c r="X398" s="1436"/>
      <c r="Y398" s="1436"/>
      <c r="Z398" s="1436"/>
      <c r="AA398" s="1436"/>
      <c r="AB398" s="1436"/>
      <c r="AC398" s="1436"/>
      <c r="AD398" s="1436"/>
      <c r="AE398" s="1436"/>
      <c r="AF398" s="1436"/>
    </row>
    <row r="399" spans="1:32">
      <c r="A399" s="1436"/>
      <c r="B399" s="1436"/>
      <c r="C399" s="1436"/>
      <c r="D399" s="1436"/>
      <c r="E399" s="1436"/>
      <c r="F399" s="1436"/>
      <c r="G399" s="1436"/>
      <c r="H399" s="1436"/>
      <c r="I399" s="1436"/>
      <c r="J399" s="1436"/>
      <c r="K399" s="1436"/>
      <c r="L399" s="1436"/>
      <c r="M399" s="1436"/>
      <c r="N399" s="1436"/>
      <c r="O399" s="1436"/>
      <c r="P399" s="1436"/>
      <c r="Q399" s="1436"/>
      <c r="R399" s="1436"/>
      <c r="S399" s="1436"/>
      <c r="T399" s="1436"/>
      <c r="U399" s="1436"/>
      <c r="V399" s="1436"/>
      <c r="W399" s="1436"/>
      <c r="X399" s="1436"/>
      <c r="Y399" s="1436"/>
      <c r="Z399" s="1436"/>
      <c r="AA399" s="1436"/>
      <c r="AB399" s="1436"/>
      <c r="AC399" s="1436"/>
      <c r="AD399" s="1436"/>
      <c r="AE399" s="1436"/>
      <c r="AF399" s="1436"/>
    </row>
    <row r="400" spans="1:32">
      <c r="A400" s="1436"/>
      <c r="B400" s="1436"/>
      <c r="C400" s="1436"/>
      <c r="D400" s="1436"/>
      <c r="E400" s="1436"/>
      <c r="F400" s="1436"/>
      <c r="G400" s="1436"/>
      <c r="H400" s="1436"/>
      <c r="I400" s="1436"/>
      <c r="J400" s="1436"/>
      <c r="K400" s="1436"/>
      <c r="L400" s="1436"/>
      <c r="M400" s="1436"/>
      <c r="N400" s="1436"/>
      <c r="O400" s="1436"/>
      <c r="P400" s="1436"/>
      <c r="Q400" s="1436"/>
      <c r="R400" s="1436"/>
      <c r="S400" s="1436"/>
      <c r="T400" s="1436"/>
      <c r="U400" s="1436"/>
      <c r="V400" s="1436"/>
      <c r="W400" s="1436"/>
      <c r="X400" s="1436"/>
      <c r="Y400" s="1436"/>
      <c r="Z400" s="1436"/>
      <c r="AA400" s="1436"/>
      <c r="AB400" s="1436"/>
      <c r="AC400" s="1436"/>
      <c r="AD400" s="1436"/>
      <c r="AE400" s="1436"/>
      <c r="AF400" s="1436"/>
    </row>
    <row r="401" spans="1:32">
      <c r="A401" s="1436"/>
      <c r="B401" s="1436"/>
      <c r="C401" s="1436"/>
      <c r="D401" s="1436"/>
      <c r="E401" s="1436"/>
      <c r="F401" s="1436"/>
      <c r="G401" s="1436"/>
      <c r="H401" s="1436"/>
      <c r="I401" s="1436"/>
      <c r="J401" s="1436"/>
      <c r="K401" s="1436"/>
      <c r="L401" s="1436"/>
      <c r="M401" s="1436"/>
      <c r="N401" s="1436"/>
      <c r="O401" s="1436"/>
      <c r="P401" s="1436"/>
      <c r="Q401" s="1436"/>
      <c r="R401" s="1436"/>
      <c r="S401" s="1436"/>
      <c r="T401" s="1436"/>
      <c r="U401" s="1436"/>
      <c r="V401" s="1436"/>
      <c r="W401" s="1436"/>
      <c r="X401" s="1436"/>
      <c r="Y401" s="1436"/>
      <c r="Z401" s="1436"/>
      <c r="AA401" s="1436"/>
      <c r="AB401" s="1436"/>
      <c r="AC401" s="1436"/>
      <c r="AD401" s="1436"/>
      <c r="AE401" s="1436"/>
      <c r="AF401" s="1436"/>
    </row>
    <row r="402" spans="1:32">
      <c r="A402" s="1436"/>
      <c r="B402" s="1436"/>
      <c r="C402" s="1436"/>
      <c r="D402" s="1436"/>
      <c r="E402" s="1436"/>
      <c r="F402" s="1436"/>
      <c r="G402" s="1436"/>
      <c r="H402" s="1436"/>
      <c r="I402" s="1436"/>
      <c r="J402" s="1436"/>
      <c r="K402" s="1436"/>
      <c r="L402" s="1436"/>
      <c r="M402" s="1436"/>
      <c r="N402" s="1436"/>
      <c r="O402" s="1436"/>
      <c r="P402" s="1436"/>
      <c r="Q402" s="1436"/>
      <c r="R402" s="1436"/>
      <c r="S402" s="1436"/>
      <c r="T402" s="1436"/>
      <c r="U402" s="1436"/>
      <c r="V402" s="1436"/>
      <c r="W402" s="1436"/>
      <c r="X402" s="1436"/>
      <c r="Y402" s="1436"/>
      <c r="Z402" s="1436"/>
      <c r="AA402" s="1436"/>
      <c r="AB402" s="1436"/>
      <c r="AC402" s="1436"/>
      <c r="AD402" s="1436"/>
      <c r="AE402" s="1436"/>
      <c r="AF402" s="1436"/>
    </row>
    <row r="403" spans="1:32">
      <c r="A403" s="1436"/>
      <c r="B403" s="1436"/>
      <c r="C403" s="1436"/>
      <c r="D403" s="1436"/>
      <c r="E403" s="1436"/>
      <c r="F403" s="1436"/>
      <c r="G403" s="1436"/>
      <c r="H403" s="1436"/>
      <c r="I403" s="1436"/>
      <c r="J403" s="1436"/>
      <c r="K403" s="1436"/>
      <c r="L403" s="1436"/>
      <c r="M403" s="1436"/>
      <c r="N403" s="1436"/>
      <c r="O403" s="1436"/>
      <c r="P403" s="1436"/>
      <c r="Q403" s="1436"/>
      <c r="R403" s="1436"/>
      <c r="S403" s="1436"/>
      <c r="T403" s="1436"/>
      <c r="U403" s="1436"/>
      <c r="V403" s="1436"/>
      <c r="W403" s="1436"/>
      <c r="X403" s="1436"/>
      <c r="Y403" s="1436"/>
      <c r="Z403" s="1436"/>
      <c r="AA403" s="1436"/>
      <c r="AB403" s="1436"/>
      <c r="AC403" s="1436"/>
      <c r="AD403" s="1436"/>
      <c r="AE403" s="1436"/>
      <c r="AF403" s="1436"/>
    </row>
    <row r="404" spans="1:32">
      <c r="A404" s="1436"/>
      <c r="B404" s="1436"/>
      <c r="C404" s="1436"/>
      <c r="D404" s="1436"/>
      <c r="E404" s="1436"/>
      <c r="F404" s="1436"/>
      <c r="G404" s="1436"/>
      <c r="H404" s="1436"/>
      <c r="I404" s="1436"/>
      <c r="J404" s="1436"/>
      <c r="K404" s="1436"/>
      <c r="L404" s="1436"/>
      <c r="M404" s="1436"/>
      <c r="N404" s="1436"/>
      <c r="O404" s="1436"/>
      <c r="P404" s="1436"/>
      <c r="Q404" s="1436"/>
      <c r="R404" s="1436"/>
      <c r="S404" s="1436"/>
      <c r="T404" s="1436"/>
      <c r="U404" s="1436"/>
      <c r="V404" s="1436"/>
      <c r="W404" s="1436"/>
      <c r="X404" s="1436"/>
      <c r="Y404" s="1436"/>
      <c r="Z404" s="1436"/>
      <c r="AA404" s="1436"/>
      <c r="AB404" s="1436"/>
      <c r="AC404" s="1436"/>
      <c r="AD404" s="1436"/>
      <c r="AE404" s="1436"/>
      <c r="AF404" s="1436"/>
    </row>
    <row r="405" spans="1:32">
      <c r="A405" s="1436"/>
      <c r="B405" s="1436"/>
      <c r="C405" s="1436"/>
      <c r="D405" s="1436"/>
      <c r="E405" s="1436"/>
      <c r="F405" s="1436"/>
      <c r="G405" s="1436"/>
      <c r="H405" s="1436"/>
      <c r="I405" s="1436"/>
      <c r="J405" s="1436"/>
      <c r="K405" s="1436"/>
      <c r="L405" s="1436"/>
      <c r="M405" s="1436"/>
      <c r="N405" s="1436"/>
      <c r="O405" s="1436"/>
      <c r="P405" s="1436"/>
      <c r="Q405" s="1436"/>
      <c r="R405" s="1436"/>
      <c r="S405" s="1436"/>
      <c r="T405" s="1436"/>
      <c r="U405" s="1436"/>
      <c r="V405" s="1436"/>
      <c r="W405" s="1436"/>
      <c r="X405" s="1436"/>
      <c r="Y405" s="1436"/>
      <c r="Z405" s="1436"/>
      <c r="AA405" s="1436"/>
      <c r="AB405" s="1436"/>
      <c r="AC405" s="1436"/>
      <c r="AD405" s="1436"/>
      <c r="AE405" s="1436"/>
      <c r="AF405" s="1436"/>
    </row>
    <row r="406" spans="1:32">
      <c r="A406" s="1436"/>
      <c r="B406" s="1436"/>
      <c r="C406" s="1436"/>
      <c r="D406" s="1436"/>
      <c r="E406" s="1436"/>
      <c r="F406" s="1436"/>
      <c r="G406" s="1436"/>
      <c r="H406" s="1436"/>
      <c r="I406" s="1436"/>
      <c r="J406" s="1436"/>
      <c r="K406" s="1436"/>
      <c r="L406" s="1436"/>
      <c r="M406" s="1436"/>
      <c r="N406" s="1436"/>
      <c r="O406" s="1436"/>
      <c r="P406" s="1436"/>
      <c r="Q406" s="1436"/>
      <c r="R406" s="1436"/>
      <c r="S406" s="1436"/>
      <c r="T406" s="1436"/>
      <c r="U406" s="1436"/>
      <c r="V406" s="1436"/>
      <c r="W406" s="1436"/>
      <c r="X406" s="1436"/>
      <c r="Y406" s="1436"/>
      <c r="Z406" s="1436"/>
      <c r="AA406" s="1436"/>
      <c r="AB406" s="1436"/>
      <c r="AC406" s="1436"/>
      <c r="AD406" s="1436"/>
      <c r="AE406" s="1436"/>
      <c r="AF406" s="1436"/>
    </row>
    <row r="407" spans="1:32">
      <c r="A407" s="1436"/>
      <c r="B407" s="1436"/>
      <c r="C407" s="1436"/>
      <c r="D407" s="1436"/>
      <c r="E407" s="1436"/>
      <c r="F407" s="1436"/>
      <c r="G407" s="1436"/>
      <c r="H407" s="1436"/>
      <c r="I407" s="1436"/>
      <c r="J407" s="1436"/>
      <c r="K407" s="1436"/>
      <c r="L407" s="1436"/>
      <c r="M407" s="1436"/>
      <c r="N407" s="1436"/>
      <c r="O407" s="1436"/>
      <c r="P407" s="1436"/>
      <c r="Q407" s="1436"/>
      <c r="R407" s="1436"/>
      <c r="S407" s="1436"/>
      <c r="T407" s="1436"/>
      <c r="U407" s="1436"/>
      <c r="V407" s="1436"/>
      <c r="W407" s="1436"/>
      <c r="X407" s="1436"/>
      <c r="Y407" s="1436"/>
      <c r="Z407" s="1436"/>
      <c r="AA407" s="1436"/>
      <c r="AB407" s="1436"/>
      <c r="AC407" s="1436"/>
      <c r="AD407" s="1436"/>
      <c r="AE407" s="1436"/>
      <c r="AF407" s="1436"/>
    </row>
    <row r="408" spans="1:32">
      <c r="A408" s="1436"/>
      <c r="B408" s="1436"/>
      <c r="C408" s="1436"/>
      <c r="D408" s="1436"/>
      <c r="E408" s="1436"/>
      <c r="F408" s="1436"/>
      <c r="G408" s="1436"/>
      <c r="H408" s="1436"/>
      <c r="I408" s="1436"/>
      <c r="J408" s="1436"/>
      <c r="K408" s="1436"/>
      <c r="L408" s="1436"/>
      <c r="M408" s="1436"/>
      <c r="N408" s="1436"/>
      <c r="O408" s="1436"/>
      <c r="P408" s="1436"/>
      <c r="Q408" s="1436"/>
      <c r="R408" s="1436"/>
      <c r="S408" s="1436"/>
      <c r="T408" s="1436"/>
      <c r="U408" s="1436"/>
      <c r="V408" s="1436"/>
      <c r="W408" s="1436"/>
      <c r="X408" s="1436"/>
      <c r="Y408" s="1436"/>
      <c r="Z408" s="1436"/>
      <c r="AA408" s="1436"/>
      <c r="AB408" s="1436"/>
      <c r="AC408" s="1436"/>
      <c r="AD408" s="1436"/>
      <c r="AE408" s="1436"/>
      <c r="AF408" s="1436"/>
    </row>
    <row r="409" spans="1:32">
      <c r="A409" s="1436"/>
      <c r="B409" s="1436"/>
      <c r="C409" s="1436"/>
      <c r="D409" s="1436"/>
      <c r="E409" s="1436"/>
      <c r="F409" s="1436"/>
      <c r="G409" s="1436"/>
      <c r="H409" s="1436"/>
      <c r="I409" s="1436"/>
      <c r="J409" s="1436"/>
      <c r="K409" s="1436"/>
      <c r="L409" s="1436"/>
      <c r="M409" s="1436"/>
      <c r="N409" s="1436"/>
      <c r="O409" s="1436"/>
      <c r="P409" s="1436"/>
      <c r="Q409" s="1436"/>
      <c r="R409" s="1436"/>
      <c r="S409" s="1436"/>
      <c r="T409" s="1436"/>
      <c r="U409" s="1436"/>
      <c r="V409" s="1436"/>
      <c r="W409" s="1436"/>
      <c r="X409" s="1436"/>
      <c r="Y409" s="1436"/>
      <c r="Z409" s="1436"/>
      <c r="AA409" s="1436"/>
      <c r="AB409" s="1436"/>
      <c r="AC409" s="1436"/>
      <c r="AD409" s="1436"/>
      <c r="AE409" s="1436"/>
      <c r="AF409" s="1436"/>
    </row>
    <row r="410" spans="1:32">
      <c r="A410" s="1436"/>
      <c r="B410" s="1436"/>
      <c r="C410" s="1436"/>
      <c r="D410" s="1436"/>
      <c r="E410" s="1436"/>
      <c r="F410" s="1436"/>
      <c r="G410" s="1436"/>
      <c r="H410" s="1436"/>
      <c r="I410" s="1436"/>
      <c r="J410" s="1436"/>
      <c r="K410" s="1436"/>
      <c r="L410" s="1436"/>
      <c r="M410" s="1436"/>
      <c r="N410" s="1436"/>
      <c r="O410" s="1436"/>
      <c r="P410" s="1436"/>
      <c r="Q410" s="1436"/>
      <c r="R410" s="1436"/>
      <c r="S410" s="1436"/>
      <c r="T410" s="1436"/>
      <c r="U410" s="1436"/>
      <c r="V410" s="1436"/>
      <c r="W410" s="1436"/>
      <c r="X410" s="1436"/>
      <c r="Y410" s="1436"/>
      <c r="Z410" s="1436"/>
      <c r="AA410" s="1436"/>
      <c r="AB410" s="1436"/>
      <c r="AC410" s="1436"/>
      <c r="AD410" s="1436"/>
      <c r="AE410" s="1436"/>
      <c r="AF410" s="1436"/>
    </row>
    <row r="411" spans="1:32">
      <c r="A411" s="1436"/>
      <c r="B411" s="1436"/>
      <c r="C411" s="1436"/>
      <c r="D411" s="1436"/>
      <c r="E411" s="1436"/>
      <c r="F411" s="1436"/>
      <c r="G411" s="1436"/>
      <c r="H411" s="1436"/>
      <c r="I411" s="1436"/>
      <c r="J411" s="1436"/>
      <c r="K411" s="1436"/>
      <c r="L411" s="1436"/>
      <c r="M411" s="1436"/>
      <c r="N411" s="1436"/>
      <c r="O411" s="1436"/>
      <c r="P411" s="1436"/>
      <c r="Q411" s="1436"/>
      <c r="R411" s="1436"/>
      <c r="S411" s="1436"/>
      <c r="T411" s="1436"/>
      <c r="U411" s="1436"/>
      <c r="V411" s="1436"/>
      <c r="W411" s="1436"/>
      <c r="X411" s="1436"/>
      <c r="Y411" s="1436"/>
      <c r="Z411" s="1436"/>
      <c r="AA411" s="1436"/>
      <c r="AB411" s="1436"/>
      <c r="AC411" s="1436"/>
      <c r="AD411" s="1436"/>
      <c r="AE411" s="1436"/>
      <c r="AF411" s="1436"/>
    </row>
    <row r="412" spans="1:32">
      <c r="A412" s="1436"/>
      <c r="B412" s="1436"/>
      <c r="C412" s="1436"/>
      <c r="D412" s="1436"/>
      <c r="E412" s="1436"/>
      <c r="F412" s="1436"/>
      <c r="G412" s="1436"/>
      <c r="H412" s="1436"/>
      <c r="I412" s="1436"/>
      <c r="J412" s="1436"/>
      <c r="K412" s="1436"/>
      <c r="L412" s="1436"/>
      <c r="M412" s="1436"/>
      <c r="N412" s="1436"/>
      <c r="O412" s="1436"/>
      <c r="P412" s="1436"/>
      <c r="Q412" s="1436"/>
      <c r="R412" s="1436"/>
      <c r="S412" s="1436"/>
      <c r="T412" s="1436"/>
      <c r="U412" s="1436"/>
      <c r="V412" s="1436"/>
      <c r="W412" s="1436"/>
      <c r="X412" s="1436"/>
      <c r="Y412" s="1436"/>
      <c r="Z412" s="1436"/>
      <c r="AA412" s="1436"/>
      <c r="AB412" s="1436"/>
      <c r="AC412" s="1436"/>
      <c r="AD412" s="1436"/>
      <c r="AE412" s="1436"/>
      <c r="AF412" s="1436"/>
    </row>
    <row r="413" spans="1:32">
      <c r="A413" s="1436"/>
      <c r="B413" s="1436"/>
      <c r="C413" s="1436"/>
      <c r="D413" s="1436"/>
      <c r="E413" s="1436"/>
      <c r="F413" s="1436"/>
      <c r="G413" s="1436"/>
      <c r="H413" s="1436"/>
      <c r="I413" s="1436"/>
      <c r="J413" s="1436"/>
      <c r="K413" s="1436"/>
      <c r="L413" s="1436"/>
      <c r="M413" s="1436"/>
      <c r="N413" s="1436"/>
      <c r="O413" s="1436"/>
      <c r="P413" s="1436"/>
      <c r="Q413" s="1436"/>
      <c r="R413" s="1436"/>
      <c r="S413" s="1436"/>
      <c r="T413" s="1436"/>
      <c r="U413" s="1436"/>
      <c r="V413" s="1436"/>
      <c r="W413" s="1436"/>
      <c r="X413" s="1436"/>
      <c r="Y413" s="1436"/>
      <c r="Z413" s="1436"/>
      <c r="AA413" s="1436"/>
      <c r="AB413" s="1436"/>
      <c r="AC413" s="1436"/>
      <c r="AD413" s="1436"/>
      <c r="AE413" s="1436"/>
      <c r="AF413" s="1436"/>
    </row>
    <row r="414" spans="1:32">
      <c r="A414" s="1436"/>
      <c r="B414" s="1436"/>
      <c r="C414" s="1436"/>
      <c r="D414" s="1436"/>
      <c r="E414" s="1436"/>
      <c r="F414" s="1436"/>
      <c r="G414" s="1436"/>
      <c r="H414" s="1436"/>
      <c r="I414" s="1436"/>
      <c r="J414" s="1436"/>
      <c r="K414" s="1436"/>
      <c r="L414" s="1436"/>
      <c r="M414" s="1436"/>
      <c r="N414" s="1436"/>
      <c r="O414" s="1436"/>
      <c r="P414" s="1436"/>
      <c r="Q414" s="1436"/>
      <c r="R414" s="1436"/>
      <c r="S414" s="1436"/>
      <c r="T414" s="1436"/>
      <c r="U414" s="1436"/>
      <c r="V414" s="1436"/>
      <c r="W414" s="1436"/>
      <c r="X414" s="1436"/>
      <c r="Y414" s="1436"/>
      <c r="Z414" s="1436"/>
      <c r="AA414" s="1436"/>
      <c r="AB414" s="1436"/>
      <c r="AC414" s="1436"/>
      <c r="AD414" s="1436"/>
      <c r="AE414" s="1436"/>
      <c r="AF414" s="1436"/>
    </row>
    <row r="415" spans="1:32">
      <c r="A415" s="1436"/>
      <c r="B415" s="1436"/>
      <c r="C415" s="1436"/>
      <c r="D415" s="1436"/>
      <c r="E415" s="1436"/>
      <c r="F415" s="1436"/>
      <c r="G415" s="1436"/>
      <c r="H415" s="1436"/>
      <c r="I415" s="1436"/>
      <c r="J415" s="1436"/>
      <c r="K415" s="1436"/>
      <c r="L415" s="1436"/>
      <c r="M415" s="1436"/>
      <c r="N415" s="1436"/>
      <c r="O415" s="1436"/>
      <c r="P415" s="1436"/>
      <c r="Q415" s="1436"/>
      <c r="R415" s="1436"/>
      <c r="S415" s="1436"/>
      <c r="T415" s="1436"/>
      <c r="U415" s="1436"/>
      <c r="V415" s="1436"/>
      <c r="W415" s="1436"/>
      <c r="X415" s="1436"/>
      <c r="Y415" s="1436"/>
      <c r="Z415" s="1436"/>
      <c r="AA415" s="1436"/>
      <c r="AB415" s="1436"/>
      <c r="AC415" s="1436"/>
      <c r="AD415" s="1436"/>
      <c r="AE415" s="1436"/>
      <c r="AF415" s="1436"/>
    </row>
    <row r="416" spans="1:32">
      <c r="A416" s="1436"/>
      <c r="B416" s="1436"/>
      <c r="C416" s="1436"/>
      <c r="D416" s="1436"/>
      <c r="E416" s="1436"/>
      <c r="F416" s="1436"/>
      <c r="G416" s="1436"/>
      <c r="H416" s="1436"/>
      <c r="I416" s="1436"/>
      <c r="J416" s="1436"/>
      <c r="K416" s="1436"/>
      <c r="L416" s="1436"/>
      <c r="M416" s="1436"/>
      <c r="N416" s="1436"/>
      <c r="O416" s="1436"/>
      <c r="P416" s="1436"/>
      <c r="Q416" s="1436"/>
      <c r="R416" s="1436"/>
      <c r="S416" s="1436"/>
      <c r="T416" s="1436"/>
      <c r="U416" s="1436"/>
      <c r="V416" s="1436"/>
      <c r="W416" s="1436"/>
      <c r="X416" s="1436"/>
      <c r="Y416" s="1436"/>
      <c r="Z416" s="1436"/>
      <c r="AA416" s="1436"/>
      <c r="AB416" s="1436"/>
      <c r="AC416" s="1436"/>
      <c r="AD416" s="1436"/>
      <c r="AE416" s="1436"/>
      <c r="AF416" s="1436"/>
    </row>
    <row r="417" spans="1:32">
      <c r="A417" s="1436"/>
      <c r="B417" s="1436"/>
      <c r="C417" s="1436"/>
      <c r="D417" s="1436"/>
      <c r="E417" s="1436"/>
      <c r="F417" s="1436"/>
      <c r="G417" s="1436"/>
      <c r="H417" s="1436"/>
      <c r="I417" s="1436"/>
      <c r="J417" s="1436"/>
      <c r="K417" s="1436"/>
      <c r="L417" s="1436"/>
      <c r="M417" s="1436"/>
      <c r="N417" s="1436"/>
      <c r="O417" s="1436"/>
      <c r="P417" s="1436"/>
      <c r="Q417" s="1436"/>
      <c r="R417" s="1436"/>
      <c r="S417" s="1436"/>
      <c r="T417" s="1436"/>
      <c r="U417" s="1436"/>
      <c r="V417" s="1436"/>
      <c r="W417" s="1436"/>
      <c r="X417" s="1436"/>
      <c r="Y417" s="1436"/>
      <c r="Z417" s="1436"/>
      <c r="AA417" s="1436"/>
      <c r="AB417" s="1436"/>
      <c r="AC417" s="1436"/>
      <c r="AD417" s="1436"/>
      <c r="AE417" s="1436"/>
      <c r="AF417" s="1436"/>
    </row>
    <row r="418" spans="1:32">
      <c r="A418" s="1436"/>
      <c r="B418" s="1436"/>
      <c r="C418" s="1436"/>
      <c r="D418" s="1436"/>
      <c r="E418" s="1436"/>
      <c r="F418" s="1436"/>
      <c r="G418" s="1436"/>
      <c r="H418" s="1436"/>
      <c r="I418" s="1436"/>
      <c r="J418" s="1436"/>
      <c r="K418" s="1436"/>
      <c r="L418" s="1436"/>
      <c r="M418" s="1436"/>
      <c r="N418" s="1436"/>
      <c r="O418" s="1436"/>
      <c r="P418" s="1436"/>
      <c r="Q418" s="1436"/>
      <c r="R418" s="1436"/>
      <c r="S418" s="1436"/>
      <c r="T418" s="1436"/>
      <c r="U418" s="1436"/>
      <c r="V418" s="1436"/>
      <c r="W418" s="1436"/>
      <c r="X418" s="1436"/>
      <c r="Y418" s="1436"/>
      <c r="Z418" s="1436"/>
      <c r="AA418" s="1436"/>
      <c r="AB418" s="1436"/>
      <c r="AC418" s="1436"/>
      <c r="AD418" s="1436"/>
      <c r="AE418" s="1436"/>
      <c r="AF418" s="1436"/>
    </row>
    <row r="419" spans="1:32">
      <c r="A419" s="1436"/>
      <c r="B419" s="1436"/>
      <c r="C419" s="1436"/>
      <c r="D419" s="1436"/>
      <c r="E419" s="1436"/>
      <c r="F419" s="1436"/>
      <c r="G419" s="1436"/>
      <c r="H419" s="1436"/>
      <c r="I419" s="1436"/>
      <c r="J419" s="1436"/>
      <c r="K419" s="1436"/>
      <c r="L419" s="1436"/>
      <c r="M419" s="1436"/>
      <c r="N419" s="1436"/>
      <c r="O419" s="1436"/>
      <c r="P419" s="1436"/>
      <c r="Q419" s="1436"/>
      <c r="R419" s="1436"/>
      <c r="S419" s="1436"/>
      <c r="T419" s="1436"/>
      <c r="U419" s="1436"/>
      <c r="V419" s="1436"/>
      <c r="W419" s="1436"/>
      <c r="X419" s="1436"/>
      <c r="Y419" s="1436"/>
      <c r="Z419" s="1436"/>
      <c r="AA419" s="1436"/>
      <c r="AB419" s="1436"/>
      <c r="AC419" s="1436"/>
      <c r="AD419" s="1436"/>
      <c r="AE419" s="1436"/>
      <c r="AF419" s="1436"/>
    </row>
    <row r="420" spans="1:32">
      <c r="A420" s="1436"/>
      <c r="B420" s="1436"/>
      <c r="C420" s="1436"/>
      <c r="D420" s="1436"/>
      <c r="E420" s="1436"/>
      <c r="F420" s="1436"/>
      <c r="G420" s="1436"/>
      <c r="H420" s="1436"/>
      <c r="I420" s="1436"/>
      <c r="J420" s="1436"/>
      <c r="K420" s="1436"/>
      <c r="L420" s="1436"/>
      <c r="M420" s="1436"/>
      <c r="N420" s="1436"/>
      <c r="O420" s="1436"/>
      <c r="P420" s="1436"/>
      <c r="Q420" s="1436"/>
      <c r="R420" s="1436"/>
      <c r="S420" s="1436"/>
      <c r="T420" s="1436"/>
      <c r="U420" s="1436"/>
      <c r="V420" s="1436"/>
      <c r="W420" s="1436"/>
      <c r="X420" s="1436"/>
      <c r="Y420" s="1436"/>
      <c r="Z420" s="1436"/>
      <c r="AA420" s="1436"/>
      <c r="AB420" s="1436"/>
      <c r="AC420" s="1436"/>
      <c r="AD420" s="1436"/>
      <c r="AE420" s="1436"/>
      <c r="AF420" s="1436"/>
    </row>
    <row r="421" spans="1:32">
      <c r="A421" s="1436"/>
      <c r="B421" s="1436"/>
      <c r="C421" s="1436"/>
      <c r="D421" s="1436"/>
      <c r="E421" s="1436"/>
      <c r="F421" s="1436"/>
      <c r="G421" s="1436"/>
      <c r="H421" s="1436"/>
      <c r="I421" s="1436"/>
      <c r="J421" s="1436"/>
      <c r="K421" s="1436"/>
      <c r="L421" s="1436"/>
      <c r="M421" s="1436"/>
      <c r="N421" s="1436"/>
      <c r="O421" s="1436"/>
      <c r="P421" s="1436"/>
      <c r="Q421" s="1436"/>
      <c r="R421" s="1436"/>
      <c r="S421" s="1436"/>
      <c r="T421" s="1436"/>
      <c r="U421" s="1436"/>
      <c r="V421" s="1436"/>
      <c r="W421" s="1436"/>
      <c r="X421" s="1436"/>
      <c r="Y421" s="1436"/>
      <c r="Z421" s="1436"/>
      <c r="AA421" s="1436"/>
      <c r="AB421" s="1436"/>
      <c r="AC421" s="1436"/>
      <c r="AD421" s="1436"/>
      <c r="AE421" s="1436"/>
      <c r="AF421" s="1436"/>
    </row>
    <row r="422" spans="1:32">
      <c r="A422" s="1436"/>
      <c r="B422" s="1436"/>
      <c r="C422" s="1436"/>
      <c r="D422" s="1436"/>
      <c r="E422" s="1436"/>
      <c r="F422" s="1436"/>
      <c r="G422" s="1436"/>
      <c r="H422" s="1436"/>
      <c r="I422" s="1436"/>
      <c r="J422" s="1436"/>
      <c r="K422" s="1436"/>
      <c r="L422" s="1436"/>
      <c r="M422" s="1436"/>
      <c r="N422" s="1436"/>
      <c r="O422" s="1436"/>
      <c r="P422" s="1436"/>
      <c r="Q422" s="1436"/>
      <c r="R422" s="1436"/>
      <c r="S422" s="1436"/>
      <c r="T422" s="1436"/>
      <c r="U422" s="1436"/>
      <c r="V422" s="1436"/>
      <c r="W422" s="1436"/>
      <c r="X422" s="1436"/>
      <c r="Y422" s="1436"/>
      <c r="Z422" s="1436"/>
      <c r="AA422" s="1436"/>
      <c r="AB422" s="1436"/>
      <c r="AC422" s="1436"/>
      <c r="AD422" s="1436"/>
      <c r="AE422" s="1436"/>
      <c r="AF422" s="1436"/>
    </row>
    <row r="423" spans="1:32">
      <c r="A423" s="1436"/>
      <c r="B423" s="1436"/>
      <c r="C423" s="1436"/>
      <c r="D423" s="1436"/>
      <c r="E423" s="1436"/>
      <c r="F423" s="1436"/>
      <c r="G423" s="1436"/>
      <c r="H423" s="1436"/>
      <c r="I423" s="1436"/>
      <c r="J423" s="1436"/>
      <c r="K423" s="1436"/>
      <c r="L423" s="1436"/>
      <c r="M423" s="1436"/>
      <c r="N423" s="1436"/>
      <c r="O423" s="1436"/>
      <c r="P423" s="1436"/>
      <c r="Q423" s="1436"/>
      <c r="R423" s="1436"/>
      <c r="S423" s="1436"/>
      <c r="T423" s="1436"/>
      <c r="U423" s="1436"/>
      <c r="V423" s="1436"/>
      <c r="W423" s="1436"/>
      <c r="X423" s="1436"/>
      <c r="Y423" s="1436"/>
      <c r="Z423" s="1436"/>
      <c r="AA423" s="1436"/>
      <c r="AB423" s="1436"/>
      <c r="AC423" s="1436"/>
      <c r="AD423" s="1436"/>
      <c r="AE423" s="1436"/>
      <c r="AF423" s="1436"/>
    </row>
    <row r="424" spans="1:32">
      <c r="A424" s="1436"/>
      <c r="B424" s="1436"/>
      <c r="C424" s="1436"/>
      <c r="D424" s="1436"/>
      <c r="E424" s="1436"/>
      <c r="F424" s="1436"/>
      <c r="G424" s="1436"/>
      <c r="H424" s="1436"/>
      <c r="I424" s="1436"/>
      <c r="J424" s="1436"/>
      <c r="K424" s="1436"/>
      <c r="L424" s="1436"/>
      <c r="M424" s="1436"/>
      <c r="N424" s="1436"/>
      <c r="O424" s="1436"/>
      <c r="P424" s="1436"/>
      <c r="Q424" s="1436"/>
      <c r="R424" s="1436"/>
      <c r="S424" s="1436"/>
      <c r="T424" s="1436"/>
      <c r="U424" s="1436"/>
      <c r="V424" s="1436"/>
      <c r="W424" s="1436"/>
      <c r="X424" s="1436"/>
      <c r="Y424" s="1436"/>
      <c r="Z424" s="1436"/>
      <c r="AA424" s="1436"/>
      <c r="AB424" s="1436"/>
      <c r="AC424" s="1436"/>
      <c r="AD424" s="1436"/>
      <c r="AE424" s="1436"/>
      <c r="AF424" s="1436"/>
    </row>
    <row r="425" spans="1:32">
      <c r="A425" s="1436"/>
      <c r="B425" s="1436"/>
      <c r="C425" s="1436"/>
      <c r="D425" s="1436"/>
      <c r="E425" s="1436"/>
      <c r="F425" s="1436"/>
      <c r="G425" s="1436"/>
      <c r="H425" s="1436"/>
      <c r="I425" s="1436"/>
      <c r="J425" s="1436"/>
      <c r="K425" s="1436"/>
      <c r="L425" s="1436"/>
      <c r="M425" s="1436"/>
      <c r="N425" s="1436"/>
      <c r="O425" s="1436"/>
      <c r="P425" s="1436"/>
      <c r="Q425" s="1436"/>
      <c r="R425" s="1436"/>
      <c r="S425" s="1436"/>
      <c r="T425" s="1436"/>
      <c r="U425" s="1436"/>
      <c r="V425" s="1436"/>
      <c r="W425" s="1436"/>
      <c r="X425" s="1436"/>
      <c r="Y425" s="1436"/>
      <c r="Z425" s="1436"/>
      <c r="AA425" s="1436"/>
      <c r="AB425" s="1436"/>
      <c r="AC425" s="1436"/>
      <c r="AD425" s="1436"/>
      <c r="AE425" s="1436"/>
      <c r="AF425" s="1436"/>
    </row>
    <row r="426" spans="1:32">
      <c r="A426" s="1436"/>
      <c r="B426" s="1436"/>
      <c r="C426" s="1436"/>
      <c r="D426" s="1436"/>
      <c r="E426" s="1436"/>
      <c r="F426" s="1436"/>
      <c r="G426" s="1436"/>
      <c r="H426" s="1436"/>
      <c r="I426" s="1436"/>
      <c r="J426" s="1436"/>
      <c r="K426" s="1436"/>
      <c r="L426" s="1436"/>
      <c r="M426" s="1436"/>
      <c r="N426" s="1436"/>
      <c r="O426" s="1436"/>
      <c r="P426" s="1436"/>
      <c r="Q426" s="1436"/>
      <c r="R426" s="1436"/>
      <c r="S426" s="1436"/>
      <c r="T426" s="1436"/>
      <c r="U426" s="1436"/>
      <c r="V426" s="1436"/>
      <c r="W426" s="1436"/>
      <c r="X426" s="1436"/>
      <c r="Y426" s="1436"/>
      <c r="Z426" s="1436"/>
      <c r="AA426" s="1436"/>
      <c r="AB426" s="1436"/>
      <c r="AC426" s="1436"/>
      <c r="AD426" s="1436"/>
      <c r="AE426" s="1436"/>
      <c r="AF426" s="1436"/>
    </row>
    <row r="427" spans="1:32">
      <c r="A427" s="1436"/>
      <c r="B427" s="1436"/>
      <c r="C427" s="1436"/>
      <c r="D427" s="1436"/>
      <c r="E427" s="1436"/>
      <c r="F427" s="1436"/>
      <c r="G427" s="1436"/>
      <c r="H427" s="1436"/>
      <c r="I427" s="1436"/>
      <c r="J427" s="1436"/>
      <c r="K427" s="1436"/>
      <c r="L427" s="1436"/>
      <c r="M427" s="1436"/>
      <c r="N427" s="1436"/>
      <c r="O427" s="1436"/>
      <c r="P427" s="1436"/>
      <c r="Q427" s="1436"/>
      <c r="R427" s="1436"/>
      <c r="S427" s="1436"/>
      <c r="T427" s="1436"/>
      <c r="U427" s="1436"/>
      <c r="V427" s="1436"/>
      <c r="W427" s="1436"/>
      <c r="X427" s="1436"/>
      <c r="Y427" s="1436"/>
      <c r="Z427" s="1436"/>
      <c r="AA427" s="1436"/>
      <c r="AB427" s="1436"/>
      <c r="AC427" s="1436"/>
      <c r="AD427" s="1436"/>
      <c r="AE427" s="1436"/>
      <c r="AF427" s="1436"/>
    </row>
    <row r="428" spans="1:32">
      <c r="A428" s="1436"/>
      <c r="B428" s="1436"/>
      <c r="C428" s="1436"/>
      <c r="D428" s="1436"/>
      <c r="E428" s="1436"/>
      <c r="F428" s="1436"/>
      <c r="G428" s="1436"/>
      <c r="H428" s="1436"/>
      <c r="I428" s="1436"/>
      <c r="J428" s="1436"/>
      <c r="K428" s="1436"/>
      <c r="L428" s="1436"/>
      <c r="M428" s="1436"/>
      <c r="N428" s="1436"/>
      <c r="O428" s="1436"/>
      <c r="P428" s="1436"/>
      <c r="Q428" s="1436"/>
      <c r="R428" s="1436"/>
      <c r="S428" s="1436"/>
      <c r="T428" s="1436"/>
      <c r="U428" s="1436"/>
      <c r="V428" s="1436"/>
      <c r="W428" s="1436"/>
      <c r="X428" s="1436"/>
      <c r="Y428" s="1436"/>
      <c r="Z428" s="1436"/>
      <c r="AA428" s="1436"/>
      <c r="AB428" s="1436"/>
      <c r="AC428" s="1436"/>
      <c r="AD428" s="1436"/>
      <c r="AE428" s="1436"/>
      <c r="AF428" s="1436"/>
    </row>
    <row r="429" spans="1:32">
      <c r="A429" s="1436"/>
      <c r="B429" s="1436"/>
      <c r="C429" s="1436"/>
      <c r="D429" s="1436"/>
      <c r="E429" s="1436"/>
      <c r="F429" s="1436"/>
      <c r="G429" s="1436"/>
      <c r="H429" s="1436"/>
      <c r="I429" s="1436"/>
      <c r="J429" s="1436"/>
      <c r="K429" s="1436"/>
      <c r="L429" s="1436"/>
      <c r="M429" s="1436"/>
      <c r="N429" s="1436"/>
      <c r="O429" s="1436"/>
      <c r="P429" s="1436"/>
      <c r="Q429" s="1436"/>
      <c r="R429" s="1436"/>
      <c r="S429" s="1436"/>
      <c r="T429" s="1436"/>
      <c r="U429" s="1436"/>
      <c r="V429" s="1436"/>
      <c r="W429" s="1436"/>
      <c r="X429" s="1436"/>
      <c r="Y429" s="1436"/>
      <c r="Z429" s="1436"/>
      <c r="AA429" s="1436"/>
      <c r="AB429" s="1436"/>
      <c r="AC429" s="1436"/>
      <c r="AD429" s="1436"/>
      <c r="AE429" s="1436"/>
      <c r="AF429" s="1436"/>
    </row>
    <row r="430" spans="1:32">
      <c r="A430" s="1436"/>
      <c r="B430" s="1436"/>
      <c r="C430" s="1436"/>
      <c r="D430" s="1436"/>
      <c r="E430" s="1436"/>
      <c r="F430" s="1436"/>
      <c r="G430" s="1436"/>
      <c r="H430" s="1436"/>
      <c r="I430" s="1436"/>
      <c r="J430" s="1436"/>
      <c r="K430" s="1436"/>
      <c r="L430" s="1436"/>
      <c r="M430" s="1436"/>
      <c r="N430" s="1436"/>
      <c r="O430" s="1436"/>
      <c r="P430" s="1436"/>
      <c r="Q430" s="1436"/>
      <c r="R430" s="1436"/>
      <c r="S430" s="1436"/>
      <c r="T430" s="1436"/>
      <c r="U430" s="1436"/>
      <c r="V430" s="1436"/>
      <c r="W430" s="1436"/>
      <c r="X430" s="1436"/>
      <c r="Y430" s="1436"/>
      <c r="Z430" s="1436"/>
      <c r="AA430" s="1436"/>
      <c r="AB430" s="1436"/>
      <c r="AC430" s="1436"/>
      <c r="AD430" s="1436"/>
      <c r="AE430" s="1436"/>
      <c r="AF430" s="1436"/>
    </row>
    <row r="431" spans="1:32">
      <c r="A431" s="1436"/>
      <c r="B431" s="1436"/>
      <c r="C431" s="1436"/>
      <c r="D431" s="1436"/>
      <c r="E431" s="1436"/>
      <c r="F431" s="1436"/>
      <c r="G431" s="1436"/>
      <c r="H431" s="1436"/>
      <c r="I431" s="1436"/>
      <c r="J431" s="1436"/>
      <c r="K431" s="1436"/>
      <c r="L431" s="1436"/>
      <c r="M431" s="1436"/>
      <c r="N431" s="1436"/>
      <c r="O431" s="1436"/>
      <c r="P431" s="1436"/>
      <c r="Q431" s="1436"/>
      <c r="R431" s="1436"/>
      <c r="S431" s="1436"/>
      <c r="T431" s="1436"/>
      <c r="U431" s="1436"/>
      <c r="V431" s="1436"/>
      <c r="W431" s="1436"/>
      <c r="X431" s="1436"/>
      <c r="Y431" s="1436"/>
      <c r="Z431" s="1436"/>
      <c r="AA431" s="1436"/>
      <c r="AB431" s="1436"/>
      <c r="AC431" s="1436"/>
      <c r="AD431" s="1436"/>
      <c r="AE431" s="1436"/>
      <c r="AF431" s="1436"/>
    </row>
    <row r="432" spans="1:32">
      <c r="A432" s="1436"/>
      <c r="B432" s="1436"/>
      <c r="C432" s="1436"/>
      <c r="D432" s="1436"/>
      <c r="E432" s="1436"/>
      <c r="F432" s="1436"/>
      <c r="G432" s="1436"/>
      <c r="H432" s="1436"/>
      <c r="I432" s="1436"/>
      <c r="J432" s="1436"/>
      <c r="K432" s="1436"/>
      <c r="L432" s="1436"/>
      <c r="M432" s="1436"/>
      <c r="N432" s="1436"/>
      <c r="O432" s="1436"/>
      <c r="P432" s="1436"/>
      <c r="Q432" s="1436"/>
      <c r="R432" s="1436"/>
      <c r="S432" s="1436"/>
      <c r="T432" s="1436"/>
      <c r="U432" s="1436"/>
      <c r="V432" s="1436"/>
      <c r="W432" s="1436"/>
      <c r="X432" s="1436"/>
      <c r="Y432" s="1436"/>
      <c r="Z432" s="1436"/>
      <c r="AA432" s="1436"/>
      <c r="AB432" s="1436"/>
      <c r="AC432" s="1436"/>
      <c r="AD432" s="1436"/>
      <c r="AE432" s="1436"/>
      <c r="AF432" s="1436"/>
    </row>
    <row r="433" spans="1:32">
      <c r="A433" s="1436"/>
      <c r="B433" s="1436"/>
      <c r="C433" s="1436"/>
      <c r="D433" s="1436"/>
      <c r="E433" s="1436"/>
      <c r="F433" s="1436"/>
      <c r="G433" s="1436"/>
      <c r="H433" s="1436"/>
      <c r="I433" s="1436"/>
      <c r="J433" s="1436"/>
      <c r="K433" s="1436"/>
      <c r="L433" s="1436"/>
      <c r="M433" s="1436"/>
      <c r="N433" s="1436"/>
      <c r="O433" s="1436"/>
      <c r="P433" s="1436"/>
      <c r="Q433" s="1436"/>
      <c r="R433" s="1436"/>
      <c r="S433" s="1436"/>
      <c r="T433" s="1436"/>
      <c r="U433" s="1436"/>
      <c r="V433" s="1436"/>
      <c r="W433" s="1436"/>
      <c r="X433" s="1436"/>
      <c r="Y433" s="1436"/>
      <c r="Z433" s="1436"/>
      <c r="AA433" s="1436"/>
      <c r="AB433" s="1436"/>
      <c r="AC433" s="1436"/>
      <c r="AD433" s="1436"/>
      <c r="AE433" s="1436"/>
      <c r="AF433" s="1436"/>
    </row>
    <row r="434" spans="1:32">
      <c r="A434" s="1436"/>
      <c r="B434" s="1436"/>
      <c r="C434" s="1436"/>
      <c r="D434" s="1436"/>
      <c r="E434" s="1436"/>
      <c r="F434" s="1436"/>
      <c r="G434" s="1436"/>
      <c r="H434" s="1436"/>
      <c r="I434" s="1436"/>
      <c r="J434" s="1436"/>
      <c r="K434" s="1436"/>
      <c r="L434" s="1436"/>
      <c r="M434" s="1436"/>
      <c r="N434" s="1436"/>
      <c r="O434" s="1436"/>
      <c r="P434" s="1436"/>
      <c r="Q434" s="1436"/>
      <c r="R434" s="1436"/>
      <c r="S434" s="1436"/>
      <c r="T434" s="1436"/>
      <c r="U434" s="1436"/>
      <c r="V434" s="1436"/>
      <c r="W434" s="1436"/>
      <c r="X434" s="1436"/>
      <c r="Y434" s="1436"/>
      <c r="Z434" s="1436"/>
      <c r="AA434" s="1436"/>
      <c r="AB434" s="1436"/>
      <c r="AC434" s="1436"/>
      <c r="AD434" s="1436"/>
      <c r="AE434" s="1436"/>
      <c r="AF434" s="1436"/>
    </row>
    <row r="435" spans="1:32">
      <c r="A435" s="1436"/>
      <c r="B435" s="1436"/>
      <c r="C435" s="1436"/>
      <c r="D435" s="1436"/>
      <c r="E435" s="1436"/>
      <c r="F435" s="1436"/>
      <c r="G435" s="1436"/>
      <c r="H435" s="1436"/>
      <c r="I435" s="1436"/>
      <c r="J435" s="1436"/>
      <c r="K435" s="1436"/>
      <c r="L435" s="1436"/>
      <c r="M435" s="1436"/>
      <c r="N435" s="1436"/>
      <c r="O435" s="1436"/>
      <c r="P435" s="1436"/>
      <c r="Q435" s="1436"/>
      <c r="R435" s="1436"/>
      <c r="S435" s="1436"/>
      <c r="T435" s="1436"/>
      <c r="U435" s="1436"/>
      <c r="V435" s="1436"/>
      <c r="W435" s="1436"/>
      <c r="X435" s="1436"/>
      <c r="Y435" s="1436"/>
      <c r="Z435" s="1436"/>
      <c r="AA435" s="1436"/>
      <c r="AB435" s="1436"/>
      <c r="AC435" s="1436"/>
      <c r="AD435" s="1436"/>
      <c r="AE435" s="1436"/>
      <c r="AF435" s="1436"/>
    </row>
    <row r="436" spans="1:32">
      <c r="A436" s="1436"/>
      <c r="B436" s="1436"/>
      <c r="C436" s="1436"/>
      <c r="D436" s="1436"/>
      <c r="E436" s="1436"/>
      <c r="F436" s="1436"/>
      <c r="G436" s="1436"/>
      <c r="H436" s="1436"/>
      <c r="I436" s="1436"/>
      <c r="J436" s="1436"/>
      <c r="K436" s="1436"/>
      <c r="L436" s="1436"/>
      <c r="M436" s="1436"/>
      <c r="N436" s="1436"/>
      <c r="O436" s="1436"/>
      <c r="P436" s="1436"/>
      <c r="Q436" s="1436"/>
      <c r="R436" s="1436"/>
      <c r="S436" s="1436"/>
      <c r="T436" s="1436"/>
      <c r="U436" s="1436"/>
      <c r="V436" s="1436"/>
      <c r="W436" s="1436"/>
      <c r="X436" s="1436"/>
      <c r="Y436" s="1436"/>
      <c r="Z436" s="1436"/>
      <c r="AA436" s="1436"/>
      <c r="AB436" s="1436"/>
      <c r="AC436" s="1436"/>
      <c r="AD436" s="1436"/>
      <c r="AE436" s="1436"/>
      <c r="AF436" s="1436"/>
    </row>
    <row r="437" spans="1:32">
      <c r="A437" s="1436"/>
      <c r="B437" s="1436"/>
      <c r="C437" s="1436"/>
      <c r="D437" s="1436"/>
      <c r="E437" s="1436"/>
      <c r="F437" s="1436"/>
      <c r="G437" s="1436"/>
      <c r="H437" s="1436"/>
      <c r="I437" s="1436"/>
      <c r="J437" s="1436"/>
      <c r="K437" s="1436"/>
      <c r="L437" s="1436"/>
      <c r="M437" s="1436"/>
      <c r="N437" s="1436"/>
      <c r="O437" s="1436"/>
      <c r="P437" s="1436"/>
      <c r="Q437" s="1436"/>
      <c r="R437" s="1436"/>
      <c r="S437" s="1436"/>
      <c r="T437" s="1436"/>
      <c r="U437" s="1436"/>
      <c r="V437" s="1436"/>
      <c r="W437" s="1436"/>
      <c r="X437" s="1436"/>
      <c r="Y437" s="1436"/>
      <c r="Z437" s="1436"/>
      <c r="AA437" s="1436"/>
      <c r="AB437" s="1436"/>
      <c r="AC437" s="1436"/>
      <c r="AD437" s="1436"/>
      <c r="AE437" s="1436"/>
      <c r="AF437" s="1436"/>
    </row>
    <row r="438" spans="1:32">
      <c r="A438" s="1436"/>
      <c r="B438" s="1436"/>
      <c r="C438" s="1436"/>
      <c r="D438" s="1436"/>
      <c r="E438" s="1436"/>
      <c r="F438" s="1436"/>
      <c r="G438" s="1436"/>
      <c r="H438" s="1436"/>
      <c r="I438" s="1436"/>
      <c r="J438" s="1436"/>
      <c r="K438" s="1436"/>
      <c r="L438" s="1436"/>
      <c r="M438" s="1436"/>
      <c r="N438" s="1436"/>
      <c r="O438" s="1436"/>
      <c r="P438" s="1436"/>
      <c r="Q438" s="1436"/>
      <c r="R438" s="1436"/>
      <c r="S438" s="1436"/>
      <c r="T438" s="1436"/>
      <c r="U438" s="1436"/>
      <c r="V438" s="1436"/>
      <c r="W438" s="1436"/>
      <c r="X438" s="1436"/>
      <c r="Y438" s="1436"/>
      <c r="Z438" s="1436"/>
      <c r="AA438" s="1436"/>
      <c r="AB438" s="1436"/>
      <c r="AC438" s="1436"/>
      <c r="AD438" s="1436"/>
      <c r="AE438" s="1436"/>
      <c r="AF438" s="1436"/>
    </row>
    <row r="439" spans="1:32">
      <c r="A439" s="1436"/>
      <c r="B439" s="1436"/>
      <c r="C439" s="1436"/>
      <c r="D439" s="1436"/>
      <c r="E439" s="1436"/>
      <c r="F439" s="1436"/>
      <c r="G439" s="1436"/>
      <c r="H439" s="1436"/>
      <c r="I439" s="1436"/>
      <c r="J439" s="1436"/>
      <c r="K439" s="1436"/>
      <c r="L439" s="1436"/>
      <c r="M439" s="1436"/>
      <c r="N439" s="1436"/>
      <c r="O439" s="1436"/>
      <c r="P439" s="1436"/>
      <c r="Q439" s="1436"/>
      <c r="R439" s="1436"/>
      <c r="S439" s="1436"/>
      <c r="T439" s="1436"/>
      <c r="U439" s="1436"/>
      <c r="V439" s="1436"/>
      <c r="W439" s="1436"/>
      <c r="X439" s="1436"/>
      <c r="Y439" s="1436"/>
      <c r="Z439" s="1436"/>
      <c r="AA439" s="1436"/>
      <c r="AB439" s="1436"/>
      <c r="AC439" s="1436"/>
      <c r="AD439" s="1436"/>
      <c r="AE439" s="1436"/>
      <c r="AF439" s="1436"/>
    </row>
    <row r="440" spans="1:32">
      <c r="A440" s="1436"/>
      <c r="B440" s="1436"/>
      <c r="C440" s="1436"/>
      <c r="D440" s="1436"/>
      <c r="E440" s="1436"/>
      <c r="F440" s="1436"/>
      <c r="G440" s="1436"/>
      <c r="H440" s="1436"/>
      <c r="I440" s="1436"/>
      <c r="J440" s="1436"/>
      <c r="K440" s="1436"/>
      <c r="L440" s="1436"/>
      <c r="M440" s="1436"/>
      <c r="N440" s="1436"/>
      <c r="O440" s="1436"/>
      <c r="P440" s="1436"/>
      <c r="Q440" s="1436"/>
      <c r="R440" s="1436"/>
      <c r="S440" s="1436"/>
      <c r="T440" s="1436"/>
      <c r="U440" s="1436"/>
      <c r="V440" s="1436"/>
      <c r="W440" s="1436"/>
      <c r="X440" s="1436"/>
      <c r="Y440" s="1436"/>
      <c r="Z440" s="1436"/>
      <c r="AA440" s="1436"/>
      <c r="AB440" s="1436"/>
      <c r="AC440" s="1436"/>
      <c r="AD440" s="1436"/>
      <c r="AE440" s="1436"/>
      <c r="AF440" s="1436"/>
    </row>
    <row r="441" spans="1:32">
      <c r="A441" s="1436"/>
      <c r="B441" s="1436"/>
      <c r="C441" s="1436"/>
      <c r="D441" s="1436"/>
      <c r="E441" s="1436"/>
      <c r="F441" s="1436"/>
      <c r="G441" s="1436"/>
      <c r="H441" s="1436"/>
      <c r="I441" s="1436"/>
      <c r="J441" s="1436"/>
      <c r="K441" s="1436"/>
      <c r="L441" s="1436"/>
      <c r="M441" s="1436"/>
      <c r="N441" s="1436"/>
      <c r="O441" s="1436"/>
      <c r="P441" s="1436"/>
      <c r="Q441" s="1436"/>
      <c r="R441" s="1436"/>
      <c r="S441" s="1436"/>
      <c r="T441" s="1436"/>
      <c r="U441" s="1436"/>
      <c r="V441" s="1436"/>
      <c r="W441" s="1436"/>
      <c r="X441" s="1436"/>
      <c r="Y441" s="1436"/>
      <c r="Z441" s="1436"/>
      <c r="AA441" s="1436"/>
      <c r="AB441" s="1436"/>
      <c r="AC441" s="1436"/>
      <c r="AD441" s="1436"/>
      <c r="AE441" s="1436"/>
      <c r="AF441" s="1436"/>
    </row>
    <row r="442" spans="1:32">
      <c r="A442" s="1436"/>
      <c r="B442" s="1436"/>
      <c r="C442" s="1436"/>
      <c r="D442" s="1436"/>
      <c r="E442" s="1436"/>
      <c r="F442" s="1436"/>
      <c r="G442" s="1436"/>
      <c r="H442" s="1436"/>
      <c r="I442" s="1436"/>
      <c r="J442" s="1436"/>
      <c r="K442" s="1436"/>
      <c r="L442" s="1436"/>
      <c r="M442" s="1436"/>
      <c r="N442" s="1436"/>
      <c r="O442" s="1436"/>
      <c r="P442" s="1436"/>
      <c r="Q442" s="1436"/>
      <c r="R442" s="1436"/>
      <c r="S442" s="1436"/>
      <c r="T442" s="1436"/>
      <c r="U442" s="1436"/>
      <c r="V442" s="1436"/>
      <c r="W442" s="1436"/>
      <c r="X442" s="1436"/>
      <c r="Y442" s="1436"/>
      <c r="Z442" s="1436"/>
      <c r="AA442" s="1436"/>
      <c r="AB442" s="1436"/>
      <c r="AC442" s="1436"/>
      <c r="AD442" s="1436"/>
      <c r="AE442" s="1436"/>
      <c r="AF442" s="1436"/>
    </row>
    <row r="443" spans="1:32">
      <c r="A443" s="1436"/>
      <c r="B443" s="1436"/>
      <c r="C443" s="1436"/>
      <c r="D443" s="1436"/>
      <c r="E443" s="1436"/>
      <c r="F443" s="1436"/>
      <c r="G443" s="1436"/>
      <c r="H443" s="1436"/>
      <c r="I443" s="1436"/>
      <c r="J443" s="1436"/>
      <c r="K443" s="1436"/>
      <c r="L443" s="1436"/>
      <c r="M443" s="1436"/>
      <c r="N443" s="1436"/>
      <c r="O443" s="1436"/>
      <c r="P443" s="1436"/>
      <c r="Q443" s="1436"/>
      <c r="R443" s="1436"/>
      <c r="S443" s="1436"/>
      <c r="T443" s="1436"/>
      <c r="U443" s="1436"/>
      <c r="V443" s="1436"/>
      <c r="W443" s="1436"/>
      <c r="X443" s="1436"/>
      <c r="Y443" s="1436"/>
      <c r="Z443" s="1436"/>
      <c r="AA443" s="1436"/>
      <c r="AB443" s="1436"/>
      <c r="AC443" s="1436"/>
      <c r="AD443" s="1436"/>
      <c r="AE443" s="1436"/>
      <c r="AF443" s="1436"/>
    </row>
    <row r="444" spans="1:32">
      <c r="A444" s="1436"/>
      <c r="B444" s="1436"/>
      <c r="C444" s="1436"/>
      <c r="D444" s="1436"/>
      <c r="E444" s="1436"/>
      <c r="F444" s="1436"/>
      <c r="G444" s="1436"/>
      <c r="H444" s="1436"/>
      <c r="I444" s="1436"/>
      <c r="J444" s="1436"/>
      <c r="K444" s="1436"/>
      <c r="L444" s="1436"/>
      <c r="M444" s="1436"/>
      <c r="N444" s="1436"/>
      <c r="O444" s="1436"/>
      <c r="P444" s="1436"/>
      <c r="Q444" s="1436"/>
      <c r="R444" s="1436"/>
      <c r="S444" s="1436"/>
      <c r="T444" s="1436"/>
      <c r="U444" s="1436"/>
      <c r="V444" s="1436"/>
      <c r="W444" s="1436"/>
      <c r="X444" s="1436"/>
      <c r="Y444" s="1436"/>
      <c r="Z444" s="1436"/>
      <c r="AA444" s="1436"/>
      <c r="AB444" s="1436"/>
      <c r="AC444" s="1436"/>
      <c r="AD444" s="1436"/>
      <c r="AE444" s="1436"/>
      <c r="AF444" s="1436"/>
    </row>
    <row r="445" spans="1:32">
      <c r="A445" s="1436"/>
      <c r="B445" s="1436"/>
      <c r="C445" s="1436"/>
      <c r="D445" s="1436"/>
      <c r="E445" s="1436"/>
      <c r="F445" s="1436"/>
      <c r="G445" s="1436"/>
      <c r="H445" s="1436"/>
      <c r="I445" s="1436"/>
      <c r="J445" s="1436"/>
      <c r="K445" s="1436"/>
      <c r="L445" s="1436"/>
      <c r="M445" s="1436"/>
      <c r="N445" s="1436"/>
      <c r="O445" s="1436"/>
      <c r="P445" s="1436"/>
      <c r="Q445" s="1436"/>
      <c r="R445" s="1436"/>
      <c r="S445" s="1436"/>
      <c r="T445" s="1436"/>
      <c r="U445" s="1436"/>
      <c r="V445" s="1436"/>
      <c r="W445" s="1436"/>
      <c r="X445" s="1436"/>
      <c r="Y445" s="1436"/>
      <c r="Z445" s="1436"/>
      <c r="AA445" s="1436"/>
      <c r="AB445" s="1436"/>
      <c r="AC445" s="1436"/>
      <c r="AD445" s="1436"/>
      <c r="AE445" s="1436"/>
      <c r="AF445" s="1436"/>
    </row>
    <row r="446" spans="1:32">
      <c r="A446" s="1436"/>
      <c r="B446" s="1436"/>
      <c r="C446" s="1436"/>
      <c r="D446" s="1436"/>
      <c r="E446" s="1436"/>
      <c r="F446" s="1436"/>
      <c r="G446" s="1436"/>
      <c r="H446" s="1436"/>
      <c r="I446" s="1436"/>
      <c r="J446" s="1436"/>
      <c r="K446" s="1436"/>
      <c r="L446" s="1436"/>
      <c r="M446" s="1436"/>
      <c r="N446" s="1436"/>
      <c r="O446" s="1436"/>
      <c r="P446" s="1436"/>
      <c r="Q446" s="1436"/>
      <c r="R446" s="1436"/>
      <c r="S446" s="1436"/>
      <c r="T446" s="1436"/>
      <c r="U446" s="1436"/>
      <c r="V446" s="1436"/>
      <c r="W446" s="1436"/>
      <c r="X446" s="1436"/>
      <c r="Y446" s="1436"/>
      <c r="Z446" s="1436"/>
      <c r="AA446" s="1436"/>
      <c r="AB446" s="1436"/>
      <c r="AC446" s="1436"/>
      <c r="AD446" s="1436"/>
      <c r="AE446" s="1436"/>
      <c r="AF446" s="1436"/>
    </row>
    <row r="447" spans="1:32">
      <c r="A447" s="1436"/>
      <c r="B447" s="1436"/>
      <c r="C447" s="1436"/>
      <c r="D447" s="1436"/>
      <c r="E447" s="1436"/>
      <c r="F447" s="1436"/>
      <c r="G447" s="1436"/>
      <c r="H447" s="1436"/>
      <c r="I447" s="1436"/>
      <c r="J447" s="1436"/>
      <c r="K447" s="1436"/>
      <c r="L447" s="1436"/>
      <c r="M447" s="1436"/>
      <c r="N447" s="1436"/>
      <c r="O447" s="1436"/>
      <c r="P447" s="1436"/>
      <c r="Q447" s="1436"/>
      <c r="R447" s="1436"/>
      <c r="S447" s="1436"/>
      <c r="T447" s="1436"/>
      <c r="U447" s="1436"/>
      <c r="V447" s="1436"/>
      <c r="W447" s="1436"/>
      <c r="X447" s="1436"/>
      <c r="Y447" s="1436"/>
      <c r="Z447" s="1436"/>
      <c r="AA447" s="1436"/>
      <c r="AB447" s="1436"/>
      <c r="AC447" s="1436"/>
      <c r="AD447" s="1436"/>
      <c r="AE447" s="1436"/>
      <c r="AF447" s="1436"/>
    </row>
    <row r="448" spans="1:32">
      <c r="A448" s="1436"/>
      <c r="B448" s="1436"/>
      <c r="C448" s="1436"/>
      <c r="D448" s="1436"/>
      <c r="E448" s="1436"/>
      <c r="F448" s="1436"/>
      <c r="G448" s="1436"/>
      <c r="H448" s="1436"/>
      <c r="I448" s="1436"/>
      <c r="J448" s="1436"/>
      <c r="K448" s="1436"/>
      <c r="L448" s="1436"/>
      <c r="M448" s="1436"/>
      <c r="N448" s="1436"/>
      <c r="O448" s="1436"/>
      <c r="P448" s="1436"/>
      <c r="Q448" s="1436"/>
      <c r="R448" s="1436"/>
      <c r="S448" s="1436"/>
      <c r="T448" s="1436"/>
      <c r="U448" s="1436"/>
      <c r="V448" s="1436"/>
      <c r="W448" s="1436"/>
      <c r="X448" s="1436"/>
      <c r="Y448" s="1436"/>
      <c r="Z448" s="1436"/>
      <c r="AA448" s="1436"/>
      <c r="AB448" s="1436"/>
      <c r="AC448" s="1436"/>
      <c r="AD448" s="1436"/>
      <c r="AE448" s="1436"/>
      <c r="AF448" s="1436"/>
    </row>
    <row r="449" spans="1:32">
      <c r="A449" s="1436"/>
      <c r="B449" s="1436"/>
      <c r="C449" s="1436"/>
      <c r="D449" s="1436"/>
      <c r="E449" s="1436"/>
      <c r="F449" s="1436"/>
      <c r="G449" s="1436"/>
      <c r="H449" s="1436"/>
      <c r="I449" s="1436"/>
      <c r="J449" s="1436"/>
      <c r="K449" s="1436"/>
      <c r="L449" s="1436"/>
      <c r="M449" s="1436"/>
      <c r="N449" s="1436"/>
      <c r="O449" s="1436"/>
      <c r="P449" s="1436"/>
      <c r="Q449" s="1436"/>
      <c r="R449" s="1436"/>
      <c r="S449" s="1436"/>
      <c r="T449" s="1436"/>
      <c r="U449" s="1436"/>
      <c r="V449" s="1436"/>
      <c r="W449" s="1436"/>
      <c r="X449" s="1436"/>
      <c r="Y449" s="1436"/>
      <c r="Z449" s="1436"/>
      <c r="AA449" s="1436"/>
      <c r="AB449" s="1436"/>
      <c r="AC449" s="1436"/>
      <c r="AD449" s="1436"/>
      <c r="AE449" s="1436"/>
      <c r="AF449" s="1436"/>
    </row>
    <row r="450" spans="1:32">
      <c r="A450" s="1436"/>
      <c r="B450" s="1436"/>
      <c r="C450" s="1436"/>
      <c r="D450" s="1436"/>
      <c r="E450" s="1436"/>
      <c r="F450" s="1436"/>
      <c r="G450" s="1436"/>
      <c r="H450" s="1436"/>
      <c r="I450" s="1436"/>
      <c r="J450" s="1436"/>
      <c r="K450" s="1436"/>
      <c r="L450" s="1436"/>
      <c r="M450" s="1436"/>
      <c r="N450" s="1436"/>
      <c r="O450" s="1436"/>
      <c r="P450" s="1436"/>
      <c r="Q450" s="1436"/>
      <c r="R450" s="1436"/>
      <c r="S450" s="1436"/>
      <c r="T450" s="1436"/>
      <c r="U450" s="1436"/>
      <c r="V450" s="1436"/>
      <c r="W450" s="1436"/>
      <c r="X450" s="1436"/>
      <c r="Y450" s="1436"/>
      <c r="Z450" s="1436"/>
      <c r="AA450" s="1436"/>
      <c r="AB450" s="1436"/>
      <c r="AC450" s="1436"/>
      <c r="AD450" s="1436"/>
      <c r="AE450" s="1436"/>
      <c r="AF450" s="1436"/>
    </row>
    <row r="451" spans="1:32">
      <c r="A451" s="1436"/>
      <c r="B451" s="1436"/>
      <c r="C451" s="1436"/>
      <c r="D451" s="1436"/>
      <c r="E451" s="1436"/>
      <c r="F451" s="1436"/>
      <c r="G451" s="1436"/>
      <c r="H451" s="1436"/>
      <c r="I451" s="1436"/>
      <c r="J451" s="1436"/>
      <c r="K451" s="1436"/>
      <c r="L451" s="1436"/>
      <c r="M451" s="1436"/>
      <c r="N451" s="1436"/>
      <c r="O451" s="1436"/>
      <c r="P451" s="1436"/>
      <c r="Q451" s="1436"/>
      <c r="R451" s="1436"/>
      <c r="S451" s="1436"/>
      <c r="T451" s="1436"/>
      <c r="U451" s="1436"/>
      <c r="V451" s="1436"/>
      <c r="W451" s="1436"/>
      <c r="X451" s="1436"/>
      <c r="Y451" s="1436"/>
      <c r="Z451" s="1436"/>
      <c r="AA451" s="1436"/>
      <c r="AB451" s="1436"/>
      <c r="AC451" s="1436"/>
      <c r="AD451" s="1436"/>
      <c r="AE451" s="1436"/>
      <c r="AF451" s="1436"/>
    </row>
    <row r="452" spans="1:32">
      <c r="A452" s="1436"/>
      <c r="B452" s="1436"/>
      <c r="C452" s="1436"/>
      <c r="D452" s="1436"/>
      <c r="E452" s="1436"/>
      <c r="F452" s="1436"/>
      <c r="G452" s="1436"/>
      <c r="H452" s="1436"/>
      <c r="I452" s="1436"/>
      <c r="J452" s="1436"/>
      <c r="K452" s="1436"/>
      <c r="L452" s="1436"/>
      <c r="M452" s="1436"/>
      <c r="N452" s="1436"/>
      <c r="O452" s="1436"/>
      <c r="P452" s="1436"/>
      <c r="Q452" s="1436"/>
      <c r="R452" s="1436"/>
      <c r="S452" s="1436"/>
      <c r="T452" s="1436"/>
      <c r="U452" s="1436"/>
      <c r="V452" s="1436"/>
      <c r="W452" s="1436"/>
      <c r="X452" s="1436"/>
      <c r="Y452" s="1436"/>
      <c r="Z452" s="1436"/>
      <c r="AA452" s="1436"/>
      <c r="AB452" s="1436"/>
      <c r="AC452" s="1436"/>
      <c r="AD452" s="1436"/>
      <c r="AE452" s="1436"/>
      <c r="AF452" s="1436"/>
    </row>
    <row r="453" spans="1:32">
      <c r="A453" s="1436"/>
      <c r="B453" s="1436"/>
      <c r="C453" s="1436"/>
      <c r="D453" s="1436"/>
      <c r="E453" s="1436"/>
      <c r="F453" s="1436"/>
      <c r="G453" s="1436"/>
      <c r="H453" s="1436"/>
      <c r="I453" s="1436"/>
      <c r="J453" s="1436"/>
      <c r="K453" s="1436"/>
      <c r="L453" s="1436"/>
      <c r="M453" s="1436"/>
      <c r="N453" s="1436"/>
      <c r="O453" s="1436"/>
      <c r="P453" s="1436"/>
      <c r="Q453" s="1436"/>
      <c r="R453" s="1436"/>
      <c r="S453" s="1436"/>
      <c r="T453" s="1436"/>
      <c r="U453" s="1436"/>
      <c r="V453" s="1436"/>
      <c r="W453" s="1436"/>
      <c r="X453" s="1436"/>
      <c r="Y453" s="1436"/>
      <c r="Z453" s="1436"/>
      <c r="AA453" s="1436"/>
      <c r="AB453" s="1436"/>
      <c r="AC453" s="1436"/>
      <c r="AD453" s="1436"/>
      <c r="AE453" s="1436"/>
      <c r="AF453" s="1436"/>
    </row>
    <row r="454" spans="1:32">
      <c r="A454" s="1436"/>
      <c r="B454" s="1436"/>
      <c r="C454" s="1436"/>
      <c r="D454" s="1436"/>
      <c r="E454" s="1436"/>
      <c r="F454" s="1436"/>
      <c r="G454" s="1436"/>
      <c r="H454" s="1436"/>
      <c r="I454" s="1436"/>
      <c r="J454" s="1436"/>
      <c r="K454" s="1436"/>
      <c r="L454" s="1436"/>
      <c r="M454" s="1436"/>
      <c r="N454" s="1436"/>
      <c r="O454" s="1436"/>
      <c r="P454" s="1436"/>
      <c r="Q454" s="1436"/>
      <c r="R454" s="1436"/>
      <c r="S454" s="1436"/>
      <c r="T454" s="1436"/>
      <c r="U454" s="1436"/>
      <c r="V454" s="1436"/>
      <c r="W454" s="1436"/>
      <c r="X454" s="1436"/>
      <c r="Y454" s="1436"/>
      <c r="Z454" s="1436"/>
      <c r="AA454" s="1436"/>
      <c r="AB454" s="1436"/>
      <c r="AC454" s="1436"/>
      <c r="AD454" s="1436"/>
      <c r="AE454" s="1436"/>
      <c r="AF454" s="1436"/>
    </row>
    <row r="455" spans="1:32">
      <c r="A455" s="1436"/>
      <c r="B455" s="1436"/>
      <c r="C455" s="1436"/>
      <c r="D455" s="1436"/>
      <c r="E455" s="1436"/>
      <c r="F455" s="1436"/>
      <c r="G455" s="1436"/>
      <c r="H455" s="1436"/>
      <c r="I455" s="1436"/>
      <c r="J455" s="1436"/>
      <c r="K455" s="1436"/>
      <c r="L455" s="1436"/>
      <c r="M455" s="1436"/>
      <c r="N455" s="1436"/>
      <c r="O455" s="1436"/>
      <c r="P455" s="1436"/>
      <c r="Q455" s="1436"/>
      <c r="R455" s="1436"/>
      <c r="S455" s="1436"/>
      <c r="T455" s="1436"/>
      <c r="U455" s="1436"/>
      <c r="V455" s="1436"/>
      <c r="W455" s="1436"/>
      <c r="X455" s="1436"/>
      <c r="Y455" s="1436"/>
      <c r="Z455" s="1436"/>
      <c r="AA455" s="1436"/>
      <c r="AB455" s="1436"/>
      <c r="AC455" s="1436"/>
      <c r="AD455" s="1436"/>
      <c r="AE455" s="1436"/>
      <c r="AF455" s="1436"/>
    </row>
    <row r="456" spans="1:32">
      <c r="A456" s="1436"/>
      <c r="B456" s="1436"/>
      <c r="C456" s="1436"/>
      <c r="D456" s="1436"/>
      <c r="E456" s="1436"/>
      <c r="F456" s="1436"/>
      <c r="G456" s="1436"/>
      <c r="H456" s="1436"/>
      <c r="I456" s="1436"/>
      <c r="J456" s="1436"/>
      <c r="K456" s="1436"/>
      <c r="L456" s="1436"/>
      <c r="M456" s="1436"/>
      <c r="N456" s="1436"/>
      <c r="O456" s="1436"/>
      <c r="P456" s="1436"/>
      <c r="Q456" s="1436"/>
      <c r="R456" s="1436"/>
      <c r="S456" s="1436"/>
      <c r="T456" s="1436"/>
      <c r="U456" s="1436"/>
      <c r="V456" s="1436"/>
      <c r="W456" s="1436"/>
      <c r="X456" s="1436"/>
      <c r="Y456" s="1436"/>
      <c r="Z456" s="1436"/>
      <c r="AA456" s="1436"/>
      <c r="AB456" s="1436"/>
      <c r="AC456" s="1436"/>
      <c r="AD456" s="1436"/>
      <c r="AE456" s="1436"/>
      <c r="AF456" s="1436"/>
    </row>
    <row r="457" spans="1:32">
      <c r="A457" s="1436"/>
      <c r="B457" s="1436"/>
      <c r="C457" s="1436"/>
      <c r="D457" s="1436"/>
      <c r="E457" s="1436"/>
      <c r="F457" s="1436"/>
      <c r="G457" s="1436"/>
      <c r="H457" s="1436"/>
      <c r="I457" s="1436"/>
      <c r="J457" s="1436"/>
      <c r="K457" s="1436"/>
      <c r="L457" s="1436"/>
      <c r="M457" s="1436"/>
      <c r="N457" s="1436"/>
      <c r="O457" s="1436"/>
      <c r="P457" s="1436"/>
      <c r="Q457" s="1436"/>
      <c r="R457" s="1436"/>
      <c r="S457" s="1436"/>
      <c r="T457" s="1436"/>
      <c r="U457" s="1436"/>
      <c r="V457" s="1436"/>
      <c r="W457" s="1436"/>
      <c r="X457" s="1436"/>
      <c r="Y457" s="1436"/>
      <c r="Z457" s="1436"/>
      <c r="AA457" s="1436"/>
      <c r="AB457" s="1436"/>
      <c r="AC457" s="1436"/>
      <c r="AD457" s="1436"/>
      <c r="AE457" s="1436"/>
      <c r="AF457" s="1436"/>
    </row>
    <row r="458" spans="1:32">
      <c r="A458" s="1436"/>
      <c r="B458" s="1436"/>
      <c r="C458" s="1436"/>
      <c r="D458" s="1436"/>
      <c r="E458" s="1436"/>
      <c r="F458" s="1436"/>
      <c r="G458" s="1436"/>
      <c r="H458" s="1436"/>
      <c r="I458" s="1436"/>
      <c r="J458" s="1436"/>
      <c r="K458" s="1436"/>
      <c r="L458" s="1436"/>
      <c r="M458" s="1436"/>
      <c r="N458" s="1436"/>
      <c r="O458" s="1436"/>
      <c r="P458" s="1436"/>
      <c r="Q458" s="1436"/>
      <c r="R458" s="1436"/>
      <c r="S458" s="1436"/>
      <c r="T458" s="1436"/>
      <c r="U458" s="1436"/>
      <c r="V458" s="1436"/>
      <c r="W458" s="1436"/>
      <c r="X458" s="1436"/>
      <c r="Y458" s="1436"/>
      <c r="Z458" s="1436"/>
      <c r="AA458" s="1436"/>
      <c r="AB458" s="1436"/>
      <c r="AC458" s="1436"/>
      <c r="AD458" s="1436"/>
      <c r="AE458" s="1436"/>
      <c r="AF458" s="1436"/>
    </row>
    <row r="459" spans="1:32">
      <c r="A459" s="1436"/>
      <c r="B459" s="1436"/>
      <c r="C459" s="1436"/>
      <c r="D459" s="1436"/>
      <c r="E459" s="1436"/>
      <c r="F459" s="1436"/>
      <c r="G459" s="1436"/>
      <c r="H459" s="1436"/>
      <c r="I459" s="1436"/>
      <c r="J459" s="1436"/>
      <c r="K459" s="1436"/>
      <c r="L459" s="1436"/>
      <c r="M459" s="1436"/>
      <c r="N459" s="1436"/>
      <c r="O459" s="1436"/>
      <c r="P459" s="1436"/>
      <c r="Q459" s="1436"/>
      <c r="R459" s="1436"/>
      <c r="S459" s="1436"/>
      <c r="T459" s="1436"/>
      <c r="U459" s="1436"/>
      <c r="V459" s="1436"/>
      <c r="W459" s="1436"/>
      <c r="X459" s="1436"/>
      <c r="Y459" s="1436"/>
      <c r="Z459" s="1436"/>
      <c r="AA459" s="1436"/>
      <c r="AB459" s="1436"/>
      <c r="AC459" s="1436"/>
      <c r="AD459" s="1436"/>
      <c r="AE459" s="1436"/>
      <c r="AF459" s="1436"/>
    </row>
    <row r="460" spans="1:32">
      <c r="A460" s="1436"/>
      <c r="B460" s="1436"/>
      <c r="C460" s="1436"/>
      <c r="D460" s="1436"/>
      <c r="E460" s="1436"/>
      <c r="F460" s="1436"/>
      <c r="G460" s="1436"/>
      <c r="H460" s="1436"/>
      <c r="I460" s="1436"/>
      <c r="J460" s="1436"/>
      <c r="K460" s="1436"/>
      <c r="L460" s="1436"/>
      <c r="M460" s="1436"/>
      <c r="N460" s="1436"/>
      <c r="O460" s="1436"/>
      <c r="P460" s="1436"/>
      <c r="Q460" s="1436"/>
      <c r="R460" s="1436"/>
      <c r="S460" s="1436"/>
      <c r="T460" s="1436"/>
      <c r="U460" s="1436"/>
      <c r="V460" s="1436"/>
      <c r="W460" s="1436"/>
      <c r="X460" s="1436"/>
      <c r="Y460" s="1436"/>
      <c r="Z460" s="1436"/>
      <c r="AA460" s="1436"/>
      <c r="AB460" s="1436"/>
      <c r="AC460" s="1436"/>
      <c r="AD460" s="1436"/>
      <c r="AE460" s="1436"/>
      <c r="AF460" s="1436"/>
    </row>
    <row r="461" spans="1:32">
      <c r="A461" s="1436"/>
      <c r="B461" s="1436"/>
      <c r="C461" s="1436"/>
      <c r="D461" s="1436"/>
      <c r="E461" s="1436"/>
      <c r="F461" s="1436"/>
      <c r="G461" s="1436"/>
      <c r="H461" s="1436"/>
      <c r="I461" s="1436"/>
      <c r="J461" s="1436"/>
      <c r="K461" s="1436"/>
      <c r="L461" s="1436"/>
      <c r="M461" s="1436"/>
      <c r="N461" s="1436"/>
      <c r="O461" s="1436"/>
      <c r="P461" s="1436"/>
      <c r="Q461" s="1436"/>
      <c r="R461" s="1436"/>
      <c r="S461" s="1436"/>
      <c r="T461" s="1436"/>
      <c r="U461" s="1436"/>
      <c r="V461" s="1436"/>
      <c r="W461" s="1436"/>
      <c r="X461" s="1436"/>
      <c r="Y461" s="1436"/>
      <c r="Z461" s="1436"/>
      <c r="AA461" s="1436"/>
      <c r="AB461" s="1436"/>
      <c r="AC461" s="1436"/>
      <c r="AD461" s="1436"/>
      <c r="AE461" s="1436"/>
      <c r="AF461" s="1436"/>
    </row>
    <row r="462" spans="1:32">
      <c r="A462" s="1436"/>
      <c r="B462" s="1436"/>
      <c r="C462" s="1436"/>
      <c r="D462" s="1436"/>
      <c r="E462" s="1436"/>
      <c r="F462" s="1436"/>
      <c r="G462" s="1436"/>
      <c r="H462" s="1436"/>
      <c r="I462" s="1436"/>
      <c r="J462" s="1436"/>
      <c r="K462" s="1436"/>
      <c r="L462" s="1436"/>
      <c r="M462" s="1436"/>
      <c r="N462" s="1436"/>
      <c r="O462" s="1436"/>
      <c r="P462" s="1436"/>
      <c r="Q462" s="1436"/>
      <c r="R462" s="1436"/>
      <c r="S462" s="1436"/>
      <c r="T462" s="1436"/>
      <c r="U462" s="1436"/>
      <c r="V462" s="1436"/>
      <c r="W462" s="1436"/>
      <c r="X462" s="1436"/>
      <c r="Y462" s="1436"/>
      <c r="Z462" s="1436"/>
      <c r="AA462" s="1436"/>
      <c r="AB462" s="1436"/>
      <c r="AC462" s="1436"/>
      <c r="AD462" s="1436"/>
      <c r="AE462" s="1436"/>
      <c r="AF462" s="1436"/>
    </row>
    <row r="463" spans="1:32">
      <c r="A463" s="1436"/>
      <c r="B463" s="1436"/>
      <c r="C463" s="1436"/>
      <c r="D463" s="1436"/>
      <c r="E463" s="1436"/>
      <c r="F463" s="1436"/>
      <c r="G463" s="1436"/>
      <c r="H463" s="1436"/>
      <c r="I463" s="1436"/>
      <c r="J463" s="1436"/>
      <c r="K463" s="1436"/>
      <c r="L463" s="1436"/>
      <c r="M463" s="1436"/>
      <c r="N463" s="1436"/>
      <c r="O463" s="1436"/>
      <c r="P463" s="1436"/>
      <c r="Q463" s="1436"/>
      <c r="R463" s="1436"/>
      <c r="S463" s="1436"/>
      <c r="T463" s="1436"/>
      <c r="U463" s="1436"/>
      <c r="V463" s="1436"/>
      <c r="W463" s="1436"/>
      <c r="X463" s="1436"/>
      <c r="Y463" s="1436"/>
      <c r="Z463" s="1436"/>
      <c r="AA463" s="1436"/>
      <c r="AB463" s="1436"/>
      <c r="AC463" s="1436"/>
      <c r="AD463" s="1436"/>
      <c r="AE463" s="1436"/>
      <c r="AF463" s="1436"/>
    </row>
    <row r="464" spans="1:32">
      <c r="A464" s="1436"/>
      <c r="B464" s="1436"/>
      <c r="C464" s="1436"/>
      <c r="D464" s="1436"/>
      <c r="E464" s="1436"/>
      <c r="F464" s="1436"/>
      <c r="G464" s="1436"/>
      <c r="H464" s="1436"/>
      <c r="I464" s="1436"/>
      <c r="J464" s="1436"/>
      <c r="K464" s="1436"/>
      <c r="L464" s="1436"/>
      <c r="M464" s="1436"/>
      <c r="N464" s="1436"/>
      <c r="O464" s="1436"/>
      <c r="P464" s="1436"/>
      <c r="Q464" s="1436"/>
      <c r="R464" s="1436"/>
      <c r="S464" s="1436"/>
      <c r="T464" s="1436"/>
      <c r="U464" s="1436"/>
      <c r="V464" s="1436"/>
      <c r="W464" s="1436"/>
      <c r="X464" s="1436"/>
      <c r="Y464" s="1436"/>
      <c r="Z464" s="1436"/>
      <c r="AA464" s="1436"/>
      <c r="AB464" s="1436"/>
      <c r="AC464" s="1436"/>
      <c r="AD464" s="1436"/>
      <c r="AE464" s="1436"/>
      <c r="AF464" s="1436"/>
    </row>
    <row r="465" spans="1:32">
      <c r="A465" s="1436"/>
      <c r="B465" s="1436"/>
      <c r="C465" s="1436"/>
      <c r="D465" s="1436"/>
      <c r="E465" s="1436"/>
      <c r="F465" s="1436"/>
      <c r="G465" s="1436"/>
      <c r="H465" s="1436"/>
      <c r="I465" s="1436"/>
      <c r="J465" s="1436"/>
      <c r="K465" s="1436"/>
      <c r="L465" s="1436"/>
      <c r="M465" s="1436"/>
      <c r="N465" s="1436"/>
      <c r="O465" s="1436"/>
      <c r="P465" s="1436"/>
      <c r="Q465" s="1436"/>
      <c r="R465" s="1436"/>
      <c r="S465" s="1436"/>
      <c r="T465" s="1436"/>
      <c r="U465" s="1436"/>
      <c r="V465" s="1436"/>
      <c r="W465" s="1436"/>
      <c r="X465" s="1436"/>
      <c r="Y465" s="1436"/>
      <c r="Z465" s="1436"/>
      <c r="AA465" s="1436"/>
      <c r="AB465" s="1436"/>
      <c r="AC465" s="1436"/>
      <c r="AD465" s="1436"/>
      <c r="AE465" s="1436"/>
      <c r="AF465" s="1436"/>
    </row>
    <row r="466" spans="1:32">
      <c r="A466" s="1436"/>
      <c r="B466" s="1436"/>
      <c r="C466" s="1436"/>
      <c r="D466" s="1436"/>
      <c r="E466" s="1436"/>
      <c r="F466" s="1436"/>
      <c r="G466" s="1436"/>
      <c r="H466" s="1436"/>
      <c r="I466" s="1436"/>
      <c r="J466" s="1436"/>
      <c r="K466" s="1436"/>
      <c r="L466" s="1436"/>
      <c r="M466" s="1436"/>
      <c r="N466" s="1436"/>
      <c r="O466" s="1436"/>
      <c r="P466" s="1436"/>
      <c r="Q466" s="1436"/>
      <c r="R466" s="1436"/>
      <c r="S466" s="1436"/>
      <c r="T466" s="1436"/>
      <c r="U466" s="1436"/>
      <c r="V466" s="1436"/>
      <c r="W466" s="1436"/>
      <c r="X466" s="1436"/>
      <c r="Y466" s="1436"/>
      <c r="Z466" s="1436"/>
      <c r="AA466" s="1436"/>
      <c r="AB466" s="1436"/>
      <c r="AC466" s="1436"/>
      <c r="AD466" s="1436"/>
      <c r="AE466" s="1436"/>
      <c r="AF466" s="1436"/>
    </row>
    <row r="467" spans="1:32">
      <c r="A467" s="1436"/>
      <c r="B467" s="1436"/>
      <c r="C467" s="1436"/>
      <c r="D467" s="1436"/>
      <c r="E467" s="1436"/>
      <c r="F467" s="1436"/>
      <c r="G467" s="1436"/>
      <c r="H467" s="1436"/>
      <c r="I467" s="1436"/>
      <c r="J467" s="1436"/>
      <c r="K467" s="1436"/>
      <c r="L467" s="1436"/>
      <c r="M467" s="1436"/>
      <c r="N467" s="1436"/>
      <c r="O467" s="1436"/>
      <c r="P467" s="1436"/>
      <c r="Q467" s="1436"/>
      <c r="R467" s="1436"/>
      <c r="S467" s="1436"/>
      <c r="T467" s="1436"/>
      <c r="U467" s="1436"/>
      <c r="V467" s="1436"/>
      <c r="W467" s="1436"/>
      <c r="X467" s="1436"/>
      <c r="Y467" s="1436"/>
      <c r="Z467" s="1436"/>
      <c r="AA467" s="1436"/>
      <c r="AB467" s="1436"/>
      <c r="AC467" s="1436"/>
      <c r="AD467" s="1436"/>
      <c r="AE467" s="1436"/>
      <c r="AF467" s="1436"/>
    </row>
    <row r="468" spans="1:32">
      <c r="A468" s="1436"/>
      <c r="B468" s="1436"/>
      <c r="C468" s="1436"/>
      <c r="D468" s="1436"/>
      <c r="E468" s="1436"/>
      <c r="F468" s="1436"/>
      <c r="G468" s="1436"/>
      <c r="H468" s="1436"/>
      <c r="I468" s="1436"/>
      <c r="J468" s="1436"/>
      <c r="K468" s="1436"/>
      <c r="L468" s="1436"/>
      <c r="M468" s="1436"/>
      <c r="N468" s="1436"/>
      <c r="O468" s="1436"/>
      <c r="P468" s="1436"/>
      <c r="Q468" s="1436"/>
      <c r="R468" s="1436"/>
      <c r="S468" s="1436"/>
      <c r="T468" s="1436"/>
      <c r="U468" s="1436"/>
      <c r="V468" s="1436"/>
      <c r="W468" s="1436"/>
      <c r="X468" s="1436"/>
      <c r="Y468" s="1436"/>
      <c r="Z468" s="1436"/>
      <c r="AA468" s="1436"/>
      <c r="AB468" s="1436"/>
      <c r="AC468" s="1436"/>
      <c r="AD468" s="1436"/>
      <c r="AE468" s="1436"/>
      <c r="AF468" s="1436"/>
    </row>
    <row r="469" spans="1:32">
      <c r="A469" s="1436"/>
      <c r="B469" s="1436"/>
      <c r="C469" s="1436"/>
      <c r="D469" s="1436"/>
      <c r="E469" s="1436"/>
      <c r="F469" s="1436"/>
      <c r="G469" s="1436"/>
      <c r="H469" s="1436"/>
      <c r="I469" s="1436"/>
      <c r="J469" s="1436"/>
      <c r="K469" s="1436"/>
      <c r="L469" s="1436"/>
      <c r="M469" s="1436"/>
      <c r="N469" s="1436"/>
      <c r="O469" s="1436"/>
      <c r="P469" s="1436"/>
      <c r="Q469" s="1436"/>
      <c r="R469" s="1436"/>
      <c r="S469" s="1436"/>
      <c r="T469" s="1436"/>
      <c r="U469" s="1436"/>
      <c r="V469" s="1436"/>
      <c r="W469" s="1436"/>
      <c r="X469" s="1436"/>
      <c r="Y469" s="1436"/>
      <c r="Z469" s="1436"/>
      <c r="AA469" s="1436"/>
      <c r="AB469" s="1436"/>
      <c r="AC469" s="1436"/>
      <c r="AD469" s="1436"/>
      <c r="AE469" s="1436"/>
      <c r="AF469" s="1436"/>
    </row>
    <row r="470" spans="1:32">
      <c r="A470" s="1436"/>
      <c r="B470" s="1436"/>
      <c r="C470" s="1436"/>
      <c r="D470" s="1436"/>
      <c r="E470" s="1436"/>
      <c r="F470" s="1436"/>
      <c r="G470" s="1436"/>
      <c r="H470" s="1436"/>
      <c r="I470" s="1436"/>
      <c r="J470" s="1436"/>
      <c r="K470" s="1436"/>
      <c r="L470" s="1436"/>
      <c r="M470" s="1436"/>
      <c r="N470" s="1436"/>
      <c r="O470" s="1436"/>
      <c r="P470" s="1436"/>
      <c r="Q470" s="1436"/>
      <c r="R470" s="1436"/>
      <c r="S470" s="1436"/>
      <c r="T470" s="1436"/>
      <c r="U470" s="1436"/>
      <c r="V470" s="1436"/>
      <c r="W470" s="1436"/>
      <c r="X470" s="1436"/>
      <c r="Y470" s="1436"/>
      <c r="Z470" s="1436"/>
      <c r="AA470" s="1436"/>
      <c r="AB470" s="1436"/>
      <c r="AC470" s="1436"/>
      <c r="AD470" s="1436"/>
      <c r="AE470" s="1436"/>
      <c r="AF470" s="1436"/>
    </row>
    <row r="471" spans="1:32">
      <c r="A471" s="1436"/>
      <c r="B471" s="1436"/>
      <c r="C471" s="1436"/>
      <c r="D471" s="1436"/>
      <c r="E471" s="1436"/>
      <c r="F471" s="1436"/>
      <c r="G471" s="1436"/>
      <c r="H471" s="1436"/>
      <c r="I471" s="1436"/>
      <c r="J471" s="1436"/>
      <c r="K471" s="1436"/>
      <c r="L471" s="1436"/>
      <c r="M471" s="1436"/>
      <c r="N471" s="1436"/>
      <c r="O471" s="1436"/>
      <c r="P471" s="1436"/>
      <c r="Q471" s="1436"/>
      <c r="R471" s="1436"/>
      <c r="S471" s="1436"/>
      <c r="T471" s="1436"/>
      <c r="U471" s="1436"/>
      <c r="V471" s="1436"/>
      <c r="W471" s="1436"/>
      <c r="X471" s="1436"/>
      <c r="Y471" s="1436"/>
      <c r="Z471" s="1436"/>
      <c r="AA471" s="1436"/>
      <c r="AB471" s="1436"/>
      <c r="AC471" s="1436"/>
      <c r="AD471" s="1436"/>
      <c r="AE471" s="1436"/>
      <c r="AF471" s="1436"/>
    </row>
    <row r="472" spans="1:32">
      <c r="A472" s="1436"/>
      <c r="B472" s="1436"/>
      <c r="C472" s="1436"/>
      <c r="D472" s="1436"/>
      <c r="E472" s="1436"/>
      <c r="F472" s="1436"/>
      <c r="G472" s="1436"/>
      <c r="H472" s="1436"/>
      <c r="I472" s="1436"/>
      <c r="J472" s="1436"/>
      <c r="K472" s="1436"/>
      <c r="L472" s="1436"/>
      <c r="M472" s="1436"/>
      <c r="N472" s="1436"/>
      <c r="O472" s="1436"/>
      <c r="P472" s="1436"/>
      <c r="Q472" s="1436"/>
      <c r="R472" s="1436"/>
      <c r="S472" s="1436"/>
      <c r="T472" s="1436"/>
      <c r="U472" s="1436"/>
      <c r="V472" s="1436"/>
      <c r="W472" s="1436"/>
      <c r="X472" s="1436"/>
      <c r="Y472" s="1436"/>
      <c r="Z472" s="1436"/>
      <c r="AA472" s="1436"/>
      <c r="AB472" s="1436"/>
      <c r="AC472" s="1436"/>
      <c r="AD472" s="1436"/>
      <c r="AE472" s="1436"/>
      <c r="AF472" s="1436"/>
    </row>
    <row r="473" spans="1:32">
      <c r="A473" s="1436"/>
      <c r="B473" s="1436"/>
      <c r="C473" s="1436"/>
      <c r="D473" s="1436"/>
      <c r="E473" s="1436"/>
      <c r="F473" s="1436"/>
      <c r="G473" s="1436"/>
      <c r="H473" s="1436"/>
      <c r="I473" s="1436"/>
      <c r="J473" s="1436"/>
      <c r="K473" s="1436"/>
      <c r="L473" s="1436"/>
      <c r="M473" s="1436"/>
      <c r="N473" s="1436"/>
      <c r="O473" s="1436"/>
      <c r="P473" s="1436"/>
      <c r="Q473" s="1436"/>
      <c r="R473" s="1436"/>
      <c r="S473" s="1436"/>
      <c r="T473" s="1436"/>
      <c r="U473" s="1436"/>
      <c r="V473" s="1436"/>
      <c r="W473" s="1436"/>
      <c r="X473" s="1436"/>
      <c r="Y473" s="1436"/>
      <c r="Z473" s="1436"/>
      <c r="AA473" s="1436"/>
      <c r="AB473" s="1436"/>
      <c r="AC473" s="1436"/>
      <c r="AD473" s="1436"/>
      <c r="AE473" s="1436"/>
      <c r="AF473" s="1436"/>
    </row>
    <row r="474" spans="1:32">
      <c r="A474" s="1436"/>
      <c r="B474" s="1436"/>
      <c r="C474" s="1436"/>
      <c r="D474" s="1436"/>
      <c r="E474" s="1436"/>
      <c r="F474" s="1436"/>
      <c r="G474" s="1436"/>
      <c r="H474" s="1436"/>
      <c r="I474" s="1436"/>
      <c r="J474" s="1436"/>
      <c r="K474" s="1436"/>
      <c r="L474" s="1436"/>
      <c r="M474" s="1436"/>
      <c r="N474" s="1436"/>
      <c r="O474" s="1436"/>
      <c r="P474" s="1436"/>
      <c r="Q474" s="1436"/>
      <c r="R474" s="1436"/>
      <c r="S474" s="1436"/>
      <c r="T474" s="1436"/>
      <c r="U474" s="1436"/>
      <c r="V474" s="1436"/>
      <c r="W474" s="1436"/>
      <c r="X474" s="1436"/>
      <c r="Y474" s="1436"/>
      <c r="Z474" s="1436"/>
      <c r="AA474" s="1436"/>
      <c r="AB474" s="1436"/>
      <c r="AC474" s="1436"/>
      <c r="AD474" s="1436"/>
      <c r="AE474" s="1436"/>
      <c r="AF474" s="1436"/>
    </row>
    <row r="475" spans="1:32">
      <c r="A475" s="1436"/>
      <c r="B475" s="1436"/>
      <c r="C475" s="1436"/>
      <c r="D475" s="1436"/>
      <c r="E475" s="1436"/>
      <c r="F475" s="1436"/>
      <c r="G475" s="1436"/>
      <c r="H475" s="1436"/>
      <c r="I475" s="1436"/>
      <c r="J475" s="1436"/>
      <c r="K475" s="1436"/>
      <c r="L475" s="1436"/>
      <c r="M475" s="1436"/>
      <c r="N475" s="1436"/>
      <c r="O475" s="1436"/>
      <c r="P475" s="1436"/>
      <c r="Q475" s="1436"/>
      <c r="R475" s="1436"/>
      <c r="S475" s="1436"/>
      <c r="T475" s="1436"/>
      <c r="U475" s="1436"/>
      <c r="V475" s="1436"/>
      <c r="W475" s="1436"/>
      <c r="X475" s="1436"/>
      <c r="Y475" s="1436"/>
      <c r="Z475" s="1436"/>
      <c r="AA475" s="1436"/>
      <c r="AB475" s="1436"/>
      <c r="AC475" s="1436"/>
      <c r="AD475" s="1436"/>
      <c r="AE475" s="1436"/>
      <c r="AF475" s="1436"/>
    </row>
    <row r="476" spans="1:32">
      <c r="A476" s="1436"/>
      <c r="B476" s="1436"/>
      <c r="C476" s="1436"/>
      <c r="D476" s="1436"/>
      <c r="E476" s="1436"/>
      <c r="F476" s="1436"/>
      <c r="G476" s="1436"/>
      <c r="H476" s="1436"/>
      <c r="I476" s="1436"/>
      <c r="J476" s="1436"/>
      <c r="K476" s="1436"/>
      <c r="L476" s="1436"/>
      <c r="M476" s="1436"/>
      <c r="N476" s="1436"/>
      <c r="O476" s="1436"/>
      <c r="P476" s="1436"/>
      <c r="Q476" s="1436"/>
      <c r="R476" s="1436"/>
      <c r="S476" s="1436"/>
      <c r="T476" s="1436"/>
      <c r="U476" s="1436"/>
      <c r="V476" s="1436"/>
      <c r="W476" s="1436"/>
      <c r="X476" s="1436"/>
      <c r="Y476" s="1436"/>
      <c r="Z476" s="1436"/>
      <c r="AA476" s="1436"/>
      <c r="AB476" s="1436"/>
      <c r="AC476" s="1436"/>
      <c r="AD476" s="1436"/>
      <c r="AE476" s="1436"/>
      <c r="AF476" s="1436"/>
    </row>
    <row r="477" spans="1:32">
      <c r="A477" s="1436"/>
      <c r="B477" s="1436"/>
      <c r="C477" s="1436"/>
      <c r="D477" s="1436"/>
      <c r="E477" s="1436"/>
      <c r="F477" s="1436"/>
      <c r="G477" s="1436"/>
      <c r="H477" s="1436"/>
      <c r="I477" s="1436"/>
      <c r="J477" s="1436"/>
      <c r="K477" s="1436"/>
      <c r="L477" s="1436"/>
      <c r="M477" s="1436"/>
      <c r="N477" s="1436"/>
      <c r="O477" s="1436"/>
      <c r="P477" s="1436"/>
      <c r="Q477" s="1436"/>
      <c r="R477" s="1436"/>
      <c r="S477" s="1436"/>
      <c r="T477" s="1436"/>
      <c r="U477" s="1436"/>
      <c r="V477" s="1436"/>
      <c r="W477" s="1436"/>
      <c r="X477" s="1436"/>
      <c r="Y477" s="1436"/>
      <c r="Z477" s="1436"/>
      <c r="AA477" s="1436"/>
      <c r="AB477" s="1436"/>
      <c r="AC477" s="1436"/>
      <c r="AD477" s="1436"/>
      <c r="AE477" s="1436"/>
      <c r="AF477" s="1436"/>
    </row>
    <row r="478" spans="1:32">
      <c r="A478" s="1436"/>
      <c r="B478" s="1436"/>
      <c r="C478" s="1436"/>
      <c r="D478" s="1436"/>
      <c r="E478" s="1436"/>
      <c r="F478" s="1436"/>
      <c r="G478" s="1436"/>
      <c r="H478" s="1436"/>
      <c r="I478" s="1436"/>
      <c r="J478" s="1436"/>
      <c r="K478" s="1436"/>
      <c r="L478" s="1436"/>
      <c r="M478" s="1436"/>
      <c r="N478" s="1436"/>
      <c r="O478" s="1436"/>
      <c r="P478" s="1436"/>
      <c r="Q478" s="1436"/>
      <c r="R478" s="1436"/>
      <c r="S478" s="1436"/>
      <c r="T478" s="1436"/>
      <c r="U478" s="1436"/>
      <c r="V478" s="1436"/>
      <c r="W478" s="1436"/>
      <c r="X478" s="1436"/>
      <c r="Y478" s="1436"/>
      <c r="Z478" s="1436"/>
      <c r="AA478" s="1436"/>
      <c r="AB478" s="1436"/>
      <c r="AC478" s="1436"/>
      <c r="AD478" s="1436"/>
      <c r="AE478" s="1436"/>
      <c r="AF478" s="1436"/>
    </row>
    <row r="479" spans="1:32">
      <c r="A479" s="1436"/>
      <c r="B479" s="1436"/>
      <c r="C479" s="1436"/>
      <c r="D479" s="1436"/>
      <c r="E479" s="1436"/>
      <c r="F479" s="1436"/>
      <c r="G479" s="1436"/>
      <c r="H479" s="1436"/>
      <c r="I479" s="1436"/>
      <c r="J479" s="1436"/>
      <c r="K479" s="1436"/>
      <c r="L479" s="1436"/>
      <c r="M479" s="1436"/>
      <c r="N479" s="1436"/>
      <c r="O479" s="1436"/>
      <c r="P479" s="1436"/>
      <c r="Q479" s="1436"/>
      <c r="R479" s="1436"/>
      <c r="S479" s="1436"/>
      <c r="T479" s="1436"/>
      <c r="U479" s="1436"/>
      <c r="V479" s="1436"/>
      <c r="W479" s="1436"/>
      <c r="X479" s="1436"/>
      <c r="Y479" s="1436"/>
      <c r="Z479" s="1436"/>
      <c r="AA479" s="1436"/>
      <c r="AB479" s="1436"/>
      <c r="AC479" s="1436"/>
      <c r="AD479" s="1436"/>
      <c r="AE479" s="1436"/>
      <c r="AF479" s="1436"/>
    </row>
    <row r="480" spans="1:32">
      <c r="A480" s="1436"/>
      <c r="B480" s="1436"/>
      <c r="C480" s="1436"/>
      <c r="D480" s="1436"/>
      <c r="E480" s="1436"/>
      <c r="F480" s="1436"/>
      <c r="G480" s="1436"/>
      <c r="H480" s="1436"/>
      <c r="I480" s="1436"/>
      <c r="J480" s="1436"/>
      <c r="K480" s="1436"/>
      <c r="L480" s="1436"/>
      <c r="M480" s="1436"/>
      <c r="N480" s="1436"/>
      <c r="O480" s="1436"/>
      <c r="P480" s="1436"/>
      <c r="Q480" s="1436"/>
      <c r="R480" s="1436"/>
      <c r="S480" s="1436"/>
      <c r="T480" s="1436"/>
      <c r="U480" s="1436"/>
      <c r="V480" s="1436"/>
      <c r="W480" s="1436"/>
      <c r="X480" s="1436"/>
      <c r="Y480" s="1436"/>
      <c r="Z480" s="1436"/>
      <c r="AA480" s="1436"/>
      <c r="AB480" s="1436"/>
      <c r="AC480" s="1436"/>
      <c r="AD480" s="1436"/>
      <c r="AE480" s="1436"/>
      <c r="AF480" s="1436"/>
    </row>
    <row r="481" spans="1:32">
      <c r="A481" s="1436"/>
      <c r="B481" s="1436"/>
      <c r="C481" s="1436"/>
      <c r="D481" s="1436"/>
      <c r="E481" s="1436"/>
      <c r="F481" s="1436"/>
      <c r="G481" s="1436"/>
      <c r="H481" s="1436"/>
      <c r="I481" s="1436"/>
      <c r="J481" s="1436"/>
      <c r="K481" s="1436"/>
      <c r="L481" s="1436"/>
      <c r="M481" s="1436"/>
      <c r="N481" s="1436"/>
      <c r="O481" s="1436"/>
      <c r="P481" s="1436"/>
      <c r="Q481" s="1436"/>
      <c r="R481" s="1436"/>
      <c r="S481" s="1436"/>
      <c r="T481" s="1436"/>
      <c r="U481" s="1436"/>
      <c r="V481" s="1436"/>
      <c r="W481" s="1436"/>
      <c r="X481" s="1436"/>
      <c r="Y481" s="1436"/>
      <c r="Z481" s="1436"/>
      <c r="AA481" s="1436"/>
      <c r="AB481" s="1436"/>
      <c r="AC481" s="1436"/>
      <c r="AD481" s="1436"/>
      <c r="AE481" s="1436"/>
      <c r="AF481" s="1436"/>
    </row>
    <row r="482" spans="1:32">
      <c r="A482" s="1436"/>
      <c r="B482" s="1436"/>
      <c r="C482" s="1436"/>
      <c r="D482" s="1436"/>
      <c r="E482" s="1436"/>
      <c r="F482" s="1436"/>
      <c r="G482" s="1436"/>
      <c r="H482" s="1436"/>
      <c r="I482" s="1436"/>
      <c r="J482" s="1436"/>
      <c r="K482" s="1436"/>
      <c r="L482" s="1436"/>
      <c r="M482" s="1436"/>
      <c r="N482" s="1436"/>
      <c r="O482" s="1436"/>
      <c r="P482" s="1436"/>
      <c r="Q482" s="1436"/>
      <c r="R482" s="1436"/>
      <c r="S482" s="1436"/>
      <c r="T482" s="1436"/>
      <c r="U482" s="1436"/>
      <c r="V482" s="1436"/>
      <c r="W482" s="1436"/>
      <c r="X482" s="1436"/>
      <c r="Y482" s="1436"/>
      <c r="Z482" s="1436"/>
      <c r="AA482" s="1436"/>
      <c r="AB482" s="1436"/>
      <c r="AC482" s="1436"/>
      <c r="AD482" s="1436"/>
      <c r="AE482" s="1436"/>
      <c r="AF482" s="1436"/>
    </row>
    <row r="483" spans="1:32">
      <c r="A483" s="1436"/>
      <c r="B483" s="1436"/>
      <c r="C483" s="1436"/>
      <c r="D483" s="1436"/>
      <c r="E483" s="1436"/>
      <c r="F483" s="1436"/>
      <c r="G483" s="1436"/>
      <c r="H483" s="1436"/>
      <c r="I483" s="1436"/>
      <c r="J483" s="1436"/>
      <c r="K483" s="1436"/>
      <c r="L483" s="1436"/>
      <c r="M483" s="1436"/>
      <c r="N483" s="1436"/>
      <c r="O483" s="1436"/>
      <c r="P483" s="1436"/>
      <c r="Q483" s="1436"/>
      <c r="R483" s="1436"/>
      <c r="S483" s="1436"/>
      <c r="T483" s="1436"/>
      <c r="U483" s="1436"/>
      <c r="V483" s="1436"/>
      <c r="W483" s="1436"/>
      <c r="X483" s="1436"/>
      <c r="Y483" s="1436"/>
      <c r="Z483" s="1436"/>
      <c r="AA483" s="1436"/>
      <c r="AB483" s="1436"/>
      <c r="AC483" s="1436"/>
      <c r="AD483" s="1436"/>
      <c r="AE483" s="1436"/>
      <c r="AF483" s="1436"/>
    </row>
    <row r="484" spans="1:32">
      <c r="A484" s="1436"/>
      <c r="B484" s="1436"/>
      <c r="C484" s="1436"/>
      <c r="D484" s="1436"/>
      <c r="E484" s="1436"/>
      <c r="F484" s="1436"/>
      <c r="G484" s="1436"/>
      <c r="H484" s="1436"/>
      <c r="I484" s="1436"/>
      <c r="J484" s="1436"/>
      <c r="K484" s="1436"/>
      <c r="L484" s="1436"/>
      <c r="M484" s="1436"/>
      <c r="N484" s="1436"/>
      <c r="O484" s="1436"/>
      <c r="P484" s="1436"/>
      <c r="Q484" s="1436"/>
      <c r="R484" s="1436"/>
      <c r="S484" s="1436"/>
      <c r="T484" s="1436"/>
      <c r="U484" s="1436"/>
      <c r="V484" s="1436"/>
      <c r="W484" s="1436"/>
      <c r="X484" s="1436"/>
      <c r="Y484" s="1436"/>
      <c r="Z484" s="1436"/>
      <c r="AA484" s="1436"/>
      <c r="AB484" s="1436"/>
      <c r="AC484" s="1436"/>
      <c r="AD484" s="1436"/>
      <c r="AE484" s="1436"/>
      <c r="AF484" s="1436"/>
    </row>
    <row r="485" spans="1:32">
      <c r="A485" s="1436"/>
      <c r="B485" s="1436"/>
      <c r="C485" s="1436"/>
      <c r="D485" s="1436"/>
      <c r="E485" s="1436"/>
      <c r="F485" s="1436"/>
      <c r="G485" s="1436"/>
      <c r="H485" s="1436"/>
      <c r="I485" s="1436"/>
      <c r="J485" s="1436"/>
      <c r="K485" s="1436"/>
      <c r="L485" s="1436"/>
      <c r="M485" s="1436"/>
      <c r="N485" s="1436"/>
      <c r="O485" s="1436"/>
      <c r="P485" s="1436"/>
      <c r="Q485" s="1436"/>
      <c r="R485" s="1436"/>
      <c r="S485" s="1436"/>
      <c r="T485" s="1436"/>
      <c r="U485" s="1436"/>
      <c r="V485" s="1436"/>
      <c r="W485" s="1436"/>
      <c r="X485" s="1436"/>
      <c r="Y485" s="1436"/>
      <c r="Z485" s="1436"/>
      <c r="AA485" s="1436"/>
      <c r="AB485" s="1436"/>
      <c r="AC485" s="1436"/>
      <c r="AD485" s="1436"/>
      <c r="AE485" s="1436"/>
      <c r="AF485" s="1436"/>
    </row>
    <row r="486" spans="1:32">
      <c r="A486" s="1436"/>
      <c r="B486" s="1436"/>
      <c r="C486" s="1436"/>
      <c r="D486" s="1436"/>
      <c r="E486" s="1436"/>
      <c r="F486" s="1436"/>
      <c r="G486" s="1436"/>
      <c r="H486" s="1436"/>
      <c r="I486" s="1436"/>
      <c r="J486" s="1436"/>
      <c r="K486" s="1436"/>
      <c r="L486" s="1436"/>
      <c r="M486" s="1436"/>
      <c r="N486" s="1436"/>
      <c r="O486" s="1436"/>
      <c r="P486" s="1436"/>
      <c r="Q486" s="1436"/>
      <c r="R486" s="1436"/>
      <c r="S486" s="1436"/>
      <c r="T486" s="1436"/>
      <c r="U486" s="1436"/>
      <c r="V486" s="1436"/>
      <c r="W486" s="1436"/>
      <c r="X486" s="1436"/>
      <c r="Y486" s="1436"/>
      <c r="Z486" s="1436"/>
      <c r="AA486" s="1436"/>
      <c r="AB486" s="1436"/>
      <c r="AC486" s="1436"/>
      <c r="AD486" s="1436"/>
      <c r="AE486" s="1436"/>
      <c r="AF486" s="1436"/>
    </row>
    <row r="487" spans="1:32">
      <c r="A487" s="1436"/>
      <c r="B487" s="1436"/>
      <c r="C487" s="1436"/>
      <c r="D487" s="1436"/>
      <c r="E487" s="1436"/>
      <c r="F487" s="1436"/>
      <c r="G487" s="1436"/>
      <c r="H487" s="1436"/>
      <c r="I487" s="1436"/>
      <c r="J487" s="1436"/>
      <c r="K487" s="1436"/>
      <c r="L487" s="1436"/>
      <c r="M487" s="1436"/>
      <c r="N487" s="1436"/>
      <c r="O487" s="1436"/>
      <c r="P487" s="1436"/>
      <c r="Q487" s="1436"/>
      <c r="R487" s="1436"/>
      <c r="S487" s="1436"/>
      <c r="T487" s="1436"/>
      <c r="U487" s="1436"/>
      <c r="V487" s="1436"/>
      <c r="W487" s="1436"/>
      <c r="X487" s="1436"/>
      <c r="Y487" s="1436"/>
      <c r="Z487" s="1436"/>
      <c r="AA487" s="1436"/>
      <c r="AB487" s="1436"/>
      <c r="AC487" s="1436"/>
      <c r="AD487" s="1436"/>
      <c r="AE487" s="1436"/>
      <c r="AF487" s="1436"/>
    </row>
    <row r="488" spans="1:32">
      <c r="A488" s="1436"/>
      <c r="B488" s="1436"/>
      <c r="C488" s="1436"/>
      <c r="D488" s="1436"/>
      <c r="E488" s="1436"/>
      <c r="F488" s="1436"/>
      <c r="G488" s="1436"/>
      <c r="H488" s="1436"/>
      <c r="I488" s="1436"/>
      <c r="J488" s="1436"/>
      <c r="K488" s="1436"/>
      <c r="L488" s="1436"/>
      <c r="M488" s="1436"/>
      <c r="N488" s="1436"/>
      <c r="O488" s="1436"/>
      <c r="P488" s="1436"/>
      <c r="Q488" s="1436"/>
      <c r="R488" s="1436"/>
      <c r="S488" s="1436"/>
      <c r="T488" s="1436"/>
      <c r="U488" s="1436"/>
      <c r="V488" s="1436"/>
      <c r="W488" s="1436"/>
      <c r="X488" s="1436"/>
      <c r="Y488" s="1436"/>
      <c r="Z488" s="1436"/>
      <c r="AA488" s="1436"/>
      <c r="AB488" s="1436"/>
      <c r="AC488" s="1436"/>
      <c r="AD488" s="1436"/>
      <c r="AE488" s="1436"/>
      <c r="AF488" s="1436"/>
    </row>
    <row r="489" spans="1:32">
      <c r="A489" s="1436"/>
      <c r="B489" s="1436"/>
      <c r="C489" s="1436"/>
      <c r="D489" s="1436"/>
      <c r="E489" s="1436"/>
      <c r="F489" s="1436"/>
      <c r="G489" s="1436"/>
      <c r="H489" s="1436"/>
      <c r="I489" s="1436"/>
      <c r="J489" s="1436"/>
      <c r="K489" s="1436"/>
      <c r="L489" s="1436"/>
      <c r="M489" s="1436"/>
      <c r="N489" s="1436"/>
      <c r="O489" s="1436"/>
      <c r="P489" s="1436"/>
      <c r="Q489" s="1436"/>
      <c r="R489" s="1436"/>
      <c r="S489" s="1436"/>
      <c r="T489" s="1436"/>
      <c r="U489" s="1436"/>
      <c r="V489" s="1436"/>
      <c r="W489" s="1436"/>
      <c r="X489" s="1436"/>
      <c r="Y489" s="1436"/>
      <c r="Z489" s="1436"/>
      <c r="AA489" s="1436"/>
      <c r="AB489" s="1436"/>
      <c r="AC489" s="1436"/>
      <c r="AD489" s="1436"/>
      <c r="AE489" s="1436"/>
      <c r="AF489" s="1436"/>
    </row>
    <row r="490" spans="1:32">
      <c r="A490" s="1436"/>
      <c r="B490" s="1436"/>
      <c r="C490" s="1436"/>
      <c r="D490" s="1436"/>
      <c r="E490" s="1436"/>
      <c r="F490" s="1436"/>
      <c r="G490" s="1436"/>
      <c r="H490" s="1436"/>
      <c r="I490" s="1436"/>
      <c r="J490" s="1436"/>
      <c r="K490" s="1436"/>
      <c r="L490" s="1436"/>
      <c r="M490" s="1436"/>
      <c r="N490" s="1436"/>
      <c r="O490" s="1436"/>
      <c r="P490" s="1436"/>
      <c r="Q490" s="1436"/>
      <c r="R490" s="1436"/>
      <c r="S490" s="1436"/>
      <c r="T490" s="1436"/>
      <c r="U490" s="1436"/>
      <c r="V490" s="1436"/>
      <c r="W490" s="1436"/>
      <c r="X490" s="1436"/>
      <c r="Y490" s="1436"/>
      <c r="Z490" s="1436"/>
      <c r="AA490" s="1436"/>
      <c r="AB490" s="1436"/>
      <c r="AC490" s="1436"/>
      <c r="AD490" s="1436"/>
      <c r="AE490" s="1436"/>
      <c r="AF490" s="1436"/>
    </row>
    <row r="491" spans="1:32">
      <c r="A491" s="1436"/>
      <c r="B491" s="1436"/>
      <c r="C491" s="1436"/>
      <c r="D491" s="1436"/>
      <c r="E491" s="1436"/>
      <c r="F491" s="1436"/>
      <c r="G491" s="1436"/>
      <c r="H491" s="1436"/>
      <c r="I491" s="1436"/>
      <c r="J491" s="1436"/>
      <c r="K491" s="1436"/>
      <c r="L491" s="1436"/>
      <c r="M491" s="1436"/>
      <c r="N491" s="1436"/>
      <c r="O491" s="1436"/>
      <c r="P491" s="1436"/>
      <c r="Q491" s="1436"/>
      <c r="R491" s="1436"/>
      <c r="S491" s="1436"/>
      <c r="T491" s="1436"/>
      <c r="U491" s="1436"/>
      <c r="V491" s="1436"/>
      <c r="W491" s="1436"/>
      <c r="X491" s="1436"/>
      <c r="Y491" s="1436"/>
      <c r="Z491" s="1436"/>
      <c r="AA491" s="1436"/>
      <c r="AB491" s="1436"/>
      <c r="AC491" s="1436"/>
      <c r="AD491" s="1436"/>
      <c r="AE491" s="1436"/>
      <c r="AF491" s="1436"/>
    </row>
    <row r="492" spans="1:32">
      <c r="A492" s="1436"/>
      <c r="B492" s="1436"/>
      <c r="C492" s="1436"/>
      <c r="D492" s="1436"/>
      <c r="E492" s="1436"/>
      <c r="F492" s="1436"/>
      <c r="G492" s="1436"/>
      <c r="H492" s="1436"/>
      <c r="I492" s="1436"/>
      <c r="J492" s="1436"/>
      <c r="K492" s="1436"/>
      <c r="L492" s="1436"/>
      <c r="M492" s="1436"/>
      <c r="N492" s="1436"/>
      <c r="O492" s="1436"/>
      <c r="P492" s="1436"/>
      <c r="Q492" s="1436"/>
      <c r="R492" s="1436"/>
      <c r="S492" s="1436"/>
      <c r="T492" s="1436"/>
      <c r="U492" s="1436"/>
      <c r="V492" s="1436"/>
      <c r="W492" s="1436"/>
      <c r="X492" s="1436"/>
      <c r="Y492" s="1436"/>
      <c r="Z492" s="1436"/>
      <c r="AA492" s="1436"/>
      <c r="AB492" s="1436"/>
      <c r="AC492" s="1436"/>
      <c r="AD492" s="1436"/>
      <c r="AE492" s="1436"/>
      <c r="AF492" s="1436"/>
    </row>
    <row r="493" spans="1:32">
      <c r="A493" s="1436"/>
      <c r="B493" s="1436"/>
      <c r="C493" s="1436"/>
      <c r="D493" s="1436"/>
      <c r="E493" s="1436"/>
      <c r="F493" s="1436"/>
      <c r="G493" s="1436"/>
      <c r="H493" s="1436"/>
      <c r="I493" s="1436"/>
      <c r="J493" s="1436"/>
      <c r="K493" s="1436"/>
      <c r="L493" s="1436"/>
      <c r="M493" s="1436"/>
      <c r="N493" s="1436"/>
      <c r="O493" s="1436"/>
      <c r="P493" s="1436"/>
      <c r="Q493" s="1436"/>
      <c r="R493" s="1436"/>
      <c r="S493" s="1436"/>
      <c r="T493" s="1436"/>
      <c r="U493" s="1436"/>
      <c r="V493" s="1436"/>
      <c r="W493" s="1436"/>
      <c r="X493" s="1436"/>
      <c r="Y493" s="1436"/>
      <c r="Z493" s="1436"/>
      <c r="AA493" s="1436"/>
      <c r="AB493" s="1436"/>
      <c r="AC493" s="1436"/>
      <c r="AD493" s="1436"/>
      <c r="AE493" s="1436"/>
      <c r="AF493" s="1436"/>
    </row>
    <row r="494" spans="1:32">
      <c r="A494" s="1436"/>
      <c r="B494" s="1436"/>
      <c r="C494" s="1436"/>
      <c r="D494" s="1436"/>
      <c r="E494" s="1436"/>
      <c r="F494" s="1436"/>
      <c r="G494" s="1436"/>
      <c r="H494" s="1436"/>
      <c r="I494" s="1436"/>
      <c r="J494" s="1436"/>
      <c r="K494" s="1436"/>
      <c r="L494" s="1436"/>
      <c r="M494" s="1436"/>
      <c r="N494" s="1436"/>
      <c r="O494" s="1436"/>
      <c r="P494" s="1436"/>
      <c r="Q494" s="1436"/>
      <c r="R494" s="1436"/>
      <c r="S494" s="1436"/>
      <c r="T494" s="1436"/>
      <c r="U494" s="1436"/>
      <c r="V494" s="1436"/>
      <c r="W494" s="1436"/>
      <c r="X494" s="1436"/>
      <c r="Y494" s="1436"/>
      <c r="Z494" s="1436"/>
      <c r="AA494" s="1436"/>
      <c r="AB494" s="1436"/>
      <c r="AC494" s="1436"/>
      <c r="AD494" s="1436"/>
      <c r="AE494" s="1436"/>
      <c r="AF494" s="1436"/>
    </row>
    <row r="495" spans="1:32">
      <c r="A495" s="1436"/>
      <c r="B495" s="1436"/>
      <c r="C495" s="1436"/>
      <c r="D495" s="1436"/>
      <c r="E495" s="1436"/>
      <c r="F495" s="1436"/>
      <c r="G495" s="1436"/>
      <c r="H495" s="1436"/>
      <c r="I495" s="1436"/>
      <c r="J495" s="1436"/>
      <c r="K495" s="1436"/>
      <c r="L495" s="1436"/>
      <c r="M495" s="1436"/>
      <c r="N495" s="1436"/>
      <c r="O495" s="1436"/>
      <c r="P495" s="1436"/>
      <c r="Q495" s="1436"/>
      <c r="R495" s="1436"/>
      <c r="S495" s="1436"/>
      <c r="T495" s="1436"/>
      <c r="U495" s="1436"/>
      <c r="V495" s="1436"/>
      <c r="W495" s="1436"/>
      <c r="X495" s="1436"/>
      <c r="Y495" s="1436"/>
      <c r="Z495" s="1436"/>
      <c r="AA495" s="1436"/>
      <c r="AB495" s="1436"/>
      <c r="AC495" s="1436"/>
      <c r="AD495" s="1436"/>
      <c r="AE495" s="1436"/>
      <c r="AF495" s="1436"/>
    </row>
    <row r="496" spans="1:32">
      <c r="A496" s="1436"/>
      <c r="B496" s="1436"/>
      <c r="C496" s="1436"/>
      <c r="D496" s="1436"/>
      <c r="E496" s="1436"/>
      <c r="F496" s="1436"/>
      <c r="G496" s="1436"/>
      <c r="H496" s="1436"/>
      <c r="I496" s="1436"/>
      <c r="J496" s="1436"/>
      <c r="K496" s="1436"/>
      <c r="L496" s="1436"/>
      <c r="M496" s="1436"/>
      <c r="N496" s="1436"/>
      <c r="O496" s="1436"/>
      <c r="P496" s="1436"/>
      <c r="Q496" s="1436"/>
      <c r="R496" s="1436"/>
      <c r="S496" s="1436"/>
      <c r="T496" s="1436"/>
      <c r="U496" s="1436"/>
      <c r="V496" s="1436"/>
      <c r="W496" s="1436"/>
      <c r="X496" s="1436"/>
      <c r="Y496" s="1436"/>
      <c r="Z496" s="1436"/>
      <c r="AA496" s="1436"/>
      <c r="AB496" s="1436"/>
      <c r="AC496" s="1436"/>
      <c r="AD496" s="1436"/>
      <c r="AE496" s="1436"/>
      <c r="AF496" s="1436"/>
    </row>
    <row r="497" spans="1:32">
      <c r="A497" s="1436"/>
      <c r="B497" s="1436"/>
      <c r="C497" s="1436"/>
      <c r="D497" s="1436"/>
      <c r="E497" s="1436"/>
      <c r="F497" s="1436"/>
      <c r="G497" s="1436"/>
      <c r="H497" s="1436"/>
      <c r="I497" s="1436"/>
      <c r="J497" s="1436"/>
      <c r="K497" s="1436"/>
      <c r="L497" s="1436"/>
      <c r="M497" s="1436"/>
      <c r="N497" s="1436"/>
      <c r="O497" s="1436"/>
      <c r="P497" s="1436"/>
      <c r="Q497" s="1436"/>
      <c r="R497" s="1436"/>
      <c r="S497" s="1436"/>
      <c r="T497" s="1436"/>
      <c r="U497" s="1436"/>
      <c r="V497" s="1436"/>
      <c r="W497" s="1436"/>
      <c r="X497" s="1436"/>
      <c r="Y497" s="1436"/>
      <c r="Z497" s="1436"/>
      <c r="AA497" s="1436"/>
      <c r="AB497" s="1436"/>
      <c r="AC497" s="1436"/>
      <c r="AD497" s="1436"/>
      <c r="AE497" s="1436"/>
      <c r="AF497" s="1436"/>
    </row>
    <row r="498" spans="1:32">
      <c r="A498" s="1436"/>
      <c r="B498" s="1436"/>
      <c r="C498" s="1436"/>
      <c r="D498" s="1436"/>
      <c r="E498" s="1436"/>
      <c r="F498" s="1436"/>
      <c r="G498" s="1436"/>
      <c r="H498" s="1436"/>
      <c r="I498" s="1436"/>
      <c r="J498" s="1436"/>
      <c r="K498" s="1436"/>
      <c r="L498" s="1436"/>
      <c r="M498" s="1436"/>
      <c r="N498" s="1436"/>
      <c r="O498" s="1436"/>
      <c r="P498" s="1436"/>
      <c r="Q498" s="1436"/>
      <c r="R498" s="1436"/>
      <c r="S498" s="1436"/>
      <c r="T498" s="1436"/>
      <c r="U498" s="1436"/>
      <c r="V498" s="1436"/>
      <c r="W498" s="1436"/>
      <c r="X498" s="1436"/>
      <c r="Y498" s="1436"/>
      <c r="Z498" s="1436"/>
      <c r="AA498" s="1436"/>
      <c r="AB498" s="1436"/>
      <c r="AC498" s="1436"/>
      <c r="AD498" s="1436"/>
      <c r="AE498" s="1436"/>
      <c r="AF498" s="1436"/>
    </row>
    <row r="499" spans="1:32">
      <c r="A499" s="1436"/>
      <c r="B499" s="1436"/>
      <c r="C499" s="1436"/>
      <c r="D499" s="1436"/>
      <c r="E499" s="1436"/>
      <c r="F499" s="1436"/>
      <c r="G499" s="1436"/>
      <c r="H499" s="1436"/>
      <c r="I499" s="1436"/>
      <c r="J499" s="1436"/>
      <c r="K499" s="1436"/>
      <c r="L499" s="1436"/>
      <c r="M499" s="1436"/>
      <c r="N499" s="1436"/>
      <c r="O499" s="1436"/>
      <c r="P499" s="1436"/>
      <c r="Q499" s="1436"/>
      <c r="R499" s="1436"/>
      <c r="S499" s="1436"/>
      <c r="T499" s="1436"/>
      <c r="U499" s="1436"/>
      <c r="V499" s="1436"/>
      <c r="W499" s="1436"/>
      <c r="X499" s="1436"/>
      <c r="Y499" s="1436"/>
      <c r="Z499" s="1436"/>
      <c r="AA499" s="1436"/>
      <c r="AB499" s="1436"/>
      <c r="AC499" s="1436"/>
      <c r="AD499" s="1436"/>
      <c r="AE499" s="1436"/>
      <c r="AF499" s="1436"/>
    </row>
    <row r="500" spans="1:32">
      <c r="A500" s="1436"/>
      <c r="B500" s="1436"/>
      <c r="C500" s="1436"/>
      <c r="D500" s="1436"/>
      <c r="E500" s="1436"/>
      <c r="F500" s="1436"/>
      <c r="G500" s="1436"/>
      <c r="H500" s="1436"/>
      <c r="I500" s="1436"/>
      <c r="J500" s="1436"/>
      <c r="K500" s="1436"/>
      <c r="L500" s="1436"/>
      <c r="M500" s="1436"/>
      <c r="N500" s="1436"/>
      <c r="O500" s="1436"/>
      <c r="P500" s="1436"/>
      <c r="Q500" s="1436"/>
      <c r="R500" s="1436"/>
      <c r="S500" s="1436"/>
      <c r="T500" s="1436"/>
      <c r="U500" s="1436"/>
      <c r="V500" s="1436"/>
      <c r="W500" s="1436"/>
      <c r="X500" s="1436"/>
      <c r="Y500" s="1436"/>
      <c r="Z500" s="1436"/>
      <c r="AA500" s="1436"/>
      <c r="AB500" s="1436"/>
      <c r="AC500" s="1436"/>
      <c r="AD500" s="1436"/>
      <c r="AE500" s="1436"/>
      <c r="AF500" s="1436"/>
    </row>
    <row r="501" spans="1:32">
      <c r="A501" s="1436"/>
      <c r="B501" s="1436"/>
      <c r="C501" s="1436"/>
      <c r="D501" s="1436"/>
      <c r="E501" s="1436"/>
      <c r="F501" s="1436"/>
      <c r="G501" s="1436"/>
      <c r="H501" s="1436"/>
      <c r="I501" s="1436"/>
      <c r="J501" s="1436"/>
      <c r="K501" s="1436"/>
      <c r="L501" s="1436"/>
      <c r="M501" s="1436"/>
      <c r="N501" s="1436"/>
      <c r="O501" s="1436"/>
      <c r="P501" s="1436"/>
      <c r="Q501" s="1436"/>
      <c r="R501" s="1436"/>
      <c r="S501" s="1436"/>
      <c r="T501" s="1436"/>
      <c r="U501" s="1436"/>
      <c r="V501" s="1436"/>
      <c r="W501" s="1436"/>
      <c r="X501" s="1436"/>
      <c r="Y501" s="1436"/>
      <c r="Z501" s="1436"/>
      <c r="AA501" s="1436"/>
      <c r="AB501" s="1436"/>
      <c r="AC501" s="1436"/>
      <c r="AD501" s="1436"/>
      <c r="AE501" s="1436"/>
      <c r="AF501" s="1436"/>
    </row>
    <row r="502" spans="1:32">
      <c r="A502" s="1436"/>
      <c r="B502" s="1436"/>
      <c r="C502" s="1436"/>
      <c r="D502" s="1436"/>
      <c r="E502" s="1436"/>
      <c r="F502" s="1436"/>
      <c r="G502" s="1436"/>
      <c r="H502" s="1436"/>
      <c r="I502" s="1436"/>
      <c r="J502" s="1436"/>
      <c r="K502" s="1436"/>
      <c r="L502" s="1436"/>
      <c r="M502" s="1436"/>
      <c r="N502" s="1436"/>
      <c r="O502" s="1436"/>
      <c r="P502" s="1436"/>
      <c r="Q502" s="1436"/>
      <c r="R502" s="1436"/>
      <c r="S502" s="1436"/>
      <c r="T502" s="1436"/>
      <c r="U502" s="1436"/>
      <c r="V502" s="1436"/>
      <c r="W502" s="1436"/>
      <c r="X502" s="1436"/>
      <c r="Y502" s="1436"/>
      <c r="Z502" s="1436"/>
      <c r="AA502" s="1436"/>
      <c r="AB502" s="1436"/>
      <c r="AC502" s="1436"/>
      <c r="AD502" s="1436"/>
      <c r="AE502" s="1436"/>
      <c r="AF502" s="1436"/>
    </row>
    <row r="503" spans="1:32">
      <c r="A503" s="1436"/>
      <c r="B503" s="1436"/>
      <c r="C503" s="1436"/>
      <c r="D503" s="1436"/>
      <c r="E503" s="1436"/>
      <c r="F503" s="1436"/>
      <c r="G503" s="1436"/>
      <c r="H503" s="1436"/>
      <c r="I503" s="1436"/>
      <c r="J503" s="1436"/>
      <c r="K503" s="1436"/>
      <c r="L503" s="1436"/>
      <c r="M503" s="1436"/>
      <c r="N503" s="1436"/>
      <c r="O503" s="1436"/>
      <c r="P503" s="1436"/>
      <c r="Q503" s="1436"/>
      <c r="R503" s="1436"/>
      <c r="S503" s="1436"/>
      <c r="T503" s="1436"/>
      <c r="U503" s="1436"/>
      <c r="V503" s="1436"/>
      <c r="W503" s="1436"/>
      <c r="X503" s="1436"/>
      <c r="Y503" s="1436"/>
      <c r="Z503" s="1436"/>
      <c r="AA503" s="1436"/>
      <c r="AB503" s="1436"/>
      <c r="AC503" s="1436"/>
      <c r="AD503" s="1436"/>
      <c r="AE503" s="1436"/>
      <c r="AF503" s="1436"/>
    </row>
    <row r="504" spans="1:32">
      <c r="A504" s="1436"/>
      <c r="B504" s="1436"/>
      <c r="C504" s="1436"/>
      <c r="D504" s="1436"/>
      <c r="E504" s="1436"/>
      <c r="F504" s="1436"/>
      <c r="G504" s="1436"/>
      <c r="H504" s="1436"/>
      <c r="I504" s="1436"/>
      <c r="J504" s="1436"/>
      <c r="K504" s="1436"/>
      <c r="L504" s="1436"/>
      <c r="M504" s="1436"/>
      <c r="N504" s="1436"/>
      <c r="O504" s="1436"/>
      <c r="P504" s="1436"/>
      <c r="Q504" s="1436"/>
      <c r="R504" s="1436"/>
      <c r="S504" s="1436"/>
      <c r="T504" s="1436"/>
      <c r="U504" s="1436"/>
      <c r="V504" s="1436"/>
      <c r="W504" s="1436"/>
      <c r="X504" s="1436"/>
      <c r="Y504" s="1436"/>
      <c r="Z504" s="1436"/>
      <c r="AA504" s="1436"/>
      <c r="AB504" s="1436"/>
      <c r="AC504" s="1436"/>
      <c r="AD504" s="1436"/>
      <c r="AE504" s="1436"/>
      <c r="AF504" s="1436"/>
    </row>
    <row r="505" spans="1:32">
      <c r="A505" s="1436"/>
      <c r="B505" s="1436"/>
      <c r="C505" s="1436"/>
      <c r="D505" s="1436"/>
      <c r="E505" s="1436"/>
      <c r="F505" s="1436"/>
      <c r="G505" s="1436"/>
      <c r="H505" s="1436"/>
      <c r="I505" s="1436"/>
      <c r="J505" s="1436"/>
      <c r="K505" s="1436"/>
      <c r="L505" s="1436"/>
      <c r="M505" s="1436"/>
      <c r="N505" s="1436"/>
      <c r="O505" s="1436"/>
      <c r="P505" s="1436"/>
      <c r="Q505" s="1436"/>
      <c r="R505" s="1436"/>
      <c r="S505" s="1436"/>
      <c r="T505" s="1436"/>
      <c r="U505" s="1436"/>
      <c r="V505" s="1436"/>
      <c r="W505" s="1436"/>
      <c r="X505" s="1436"/>
      <c r="Y505" s="1436"/>
      <c r="Z505" s="1436"/>
      <c r="AA505" s="1436"/>
      <c r="AB505" s="1436"/>
      <c r="AC505" s="1436"/>
      <c r="AD505" s="1436"/>
      <c r="AE505" s="1436"/>
      <c r="AF505" s="1436"/>
    </row>
    <row r="506" spans="1:32">
      <c r="A506" s="1436"/>
      <c r="B506" s="1436"/>
      <c r="C506" s="1436"/>
      <c r="D506" s="1436"/>
      <c r="E506" s="1436"/>
      <c r="F506" s="1436"/>
      <c r="G506" s="1436"/>
      <c r="H506" s="1436"/>
      <c r="I506" s="1436"/>
      <c r="J506" s="1436"/>
      <c r="K506" s="1436"/>
      <c r="L506" s="1436"/>
      <c r="M506" s="1436"/>
      <c r="N506" s="1436"/>
      <c r="O506" s="1436"/>
      <c r="P506" s="1436"/>
      <c r="Q506" s="1436"/>
      <c r="R506" s="1436"/>
      <c r="S506" s="1436"/>
      <c r="T506" s="1436"/>
      <c r="U506" s="1436"/>
      <c r="V506" s="1436"/>
      <c r="W506" s="1436"/>
      <c r="X506" s="1436"/>
      <c r="Y506" s="1436"/>
      <c r="Z506" s="1436"/>
      <c r="AA506" s="1436"/>
      <c r="AB506" s="1436"/>
      <c r="AC506" s="1436"/>
      <c r="AD506" s="1436"/>
      <c r="AE506" s="1436"/>
      <c r="AF506" s="1436"/>
    </row>
    <row r="507" spans="1:32">
      <c r="A507" s="1436"/>
      <c r="B507" s="1436"/>
      <c r="C507" s="1436"/>
      <c r="D507" s="1436"/>
      <c r="E507" s="1436"/>
      <c r="F507" s="1436"/>
      <c r="G507" s="1436"/>
      <c r="H507" s="1436"/>
      <c r="I507" s="1436"/>
      <c r="J507" s="1436"/>
      <c r="K507" s="1436"/>
      <c r="L507" s="1436"/>
      <c r="M507" s="1436"/>
      <c r="N507" s="1436"/>
      <c r="O507" s="1436"/>
      <c r="P507" s="1436"/>
      <c r="Q507" s="1436"/>
      <c r="R507" s="1436"/>
      <c r="S507" s="1436"/>
      <c r="T507" s="1436"/>
      <c r="U507" s="1436"/>
      <c r="V507" s="1436"/>
      <c r="W507" s="1436"/>
      <c r="X507" s="1436"/>
      <c r="Y507" s="1436"/>
      <c r="Z507" s="1436"/>
      <c r="AA507" s="1436"/>
      <c r="AB507" s="1436"/>
      <c r="AC507" s="1436"/>
      <c r="AD507" s="1436"/>
      <c r="AE507" s="1436"/>
      <c r="AF507" s="1436"/>
    </row>
    <row r="508" spans="1:32">
      <c r="A508" s="1436"/>
      <c r="B508" s="1436"/>
      <c r="C508" s="1436"/>
      <c r="D508" s="1436"/>
      <c r="E508" s="1436"/>
      <c r="F508" s="1436"/>
      <c r="G508" s="1436"/>
      <c r="H508" s="1436"/>
      <c r="I508" s="1436"/>
      <c r="J508" s="1436"/>
      <c r="K508" s="1436"/>
      <c r="L508" s="1436"/>
      <c r="M508" s="1436"/>
      <c r="N508" s="1436"/>
      <c r="O508" s="1436"/>
      <c r="P508" s="1436"/>
      <c r="Q508" s="1436"/>
      <c r="R508" s="1436"/>
      <c r="S508" s="1436"/>
      <c r="T508" s="1436"/>
      <c r="U508" s="1436"/>
      <c r="V508" s="1436"/>
      <c r="W508" s="1436"/>
      <c r="X508" s="1436"/>
      <c r="Y508" s="1436"/>
      <c r="Z508" s="1436"/>
      <c r="AA508" s="1436"/>
      <c r="AB508" s="1436"/>
      <c r="AC508" s="1436"/>
      <c r="AD508" s="1436"/>
      <c r="AE508" s="1436"/>
      <c r="AF508" s="1436"/>
    </row>
    <row r="509" spans="1:32">
      <c r="A509" s="1436"/>
      <c r="B509" s="1436"/>
      <c r="C509" s="1436"/>
      <c r="D509" s="1436"/>
      <c r="E509" s="1436"/>
      <c r="F509" s="1436"/>
      <c r="G509" s="1436"/>
      <c r="H509" s="1436"/>
      <c r="I509" s="1436"/>
      <c r="J509" s="1436"/>
      <c r="K509" s="1436"/>
      <c r="L509" s="1436"/>
      <c r="M509" s="1436"/>
      <c r="N509" s="1436"/>
      <c r="O509" s="1436"/>
      <c r="P509" s="1436"/>
      <c r="Q509" s="1436"/>
      <c r="R509" s="1436"/>
      <c r="S509" s="1436"/>
      <c r="T509" s="1436"/>
      <c r="U509" s="1436"/>
      <c r="V509" s="1436"/>
      <c r="W509" s="1436"/>
      <c r="X509" s="1436"/>
      <c r="Y509" s="1436"/>
      <c r="Z509" s="1436"/>
      <c r="AA509" s="1436"/>
      <c r="AB509" s="1436"/>
      <c r="AC509" s="1436"/>
      <c r="AD509" s="1436"/>
      <c r="AE509" s="1436"/>
      <c r="AF509" s="1436"/>
    </row>
    <row r="510" spans="1:32">
      <c r="A510" s="1436"/>
      <c r="B510" s="1436"/>
      <c r="C510" s="1436"/>
      <c r="D510" s="1436"/>
      <c r="E510" s="1436"/>
      <c r="F510" s="1436"/>
      <c r="G510" s="1436"/>
      <c r="H510" s="1436"/>
      <c r="I510" s="1436"/>
      <c r="J510" s="1436"/>
      <c r="K510" s="1436"/>
      <c r="L510" s="1436"/>
      <c r="M510" s="1436"/>
      <c r="N510" s="1436"/>
      <c r="O510" s="1436"/>
      <c r="P510" s="1436"/>
      <c r="Q510" s="1436"/>
      <c r="R510" s="1436"/>
      <c r="S510" s="1436"/>
      <c r="T510" s="1436"/>
      <c r="U510" s="1436"/>
      <c r="V510" s="1436"/>
      <c r="W510" s="1436"/>
      <c r="X510" s="1436"/>
      <c r="Y510" s="1436"/>
      <c r="Z510" s="1436"/>
      <c r="AA510" s="1436"/>
      <c r="AB510" s="1436"/>
      <c r="AC510" s="1436"/>
      <c r="AD510" s="1436"/>
      <c r="AE510" s="1436"/>
      <c r="AF510" s="1436"/>
    </row>
    <row r="511" spans="1:32">
      <c r="A511" s="1436"/>
      <c r="B511" s="1436"/>
      <c r="C511" s="1436"/>
      <c r="D511" s="1436"/>
      <c r="E511" s="1436"/>
      <c r="F511" s="1436"/>
      <c r="G511" s="1436"/>
      <c r="H511" s="1436"/>
      <c r="I511" s="1436"/>
      <c r="J511" s="1436"/>
      <c r="K511" s="1436"/>
      <c r="L511" s="1436"/>
      <c r="M511" s="1436"/>
      <c r="N511" s="1436"/>
      <c r="O511" s="1436"/>
      <c r="P511" s="1436"/>
      <c r="Q511" s="1436"/>
      <c r="R511" s="1436"/>
      <c r="S511" s="1436"/>
      <c r="T511" s="1436"/>
      <c r="U511" s="1436"/>
      <c r="V511" s="1436"/>
      <c r="W511" s="1436"/>
      <c r="X511" s="1436"/>
      <c r="Y511" s="1436"/>
      <c r="Z511" s="1436"/>
      <c r="AA511" s="1436"/>
      <c r="AB511" s="1436"/>
      <c r="AC511" s="1436"/>
      <c r="AD511" s="1436"/>
      <c r="AE511" s="1436"/>
      <c r="AF511" s="1436"/>
    </row>
    <row r="512" spans="1:32">
      <c r="A512" s="1436"/>
      <c r="B512" s="1436"/>
      <c r="C512" s="1436"/>
      <c r="D512" s="1436"/>
      <c r="E512" s="1436"/>
      <c r="F512" s="1436"/>
      <c r="G512" s="1436"/>
      <c r="H512" s="1436"/>
      <c r="I512" s="1436"/>
      <c r="J512" s="1436"/>
      <c r="K512" s="1436"/>
      <c r="L512" s="1436"/>
      <c r="M512" s="1436"/>
      <c r="N512" s="1436"/>
      <c r="O512" s="1436"/>
      <c r="P512" s="1436"/>
      <c r="Q512" s="1436"/>
      <c r="R512" s="1436"/>
      <c r="S512" s="1436"/>
      <c r="T512" s="1436"/>
      <c r="U512" s="1436"/>
      <c r="V512" s="1436"/>
      <c r="W512" s="1436"/>
      <c r="X512" s="1436"/>
      <c r="Y512" s="1436"/>
      <c r="Z512" s="1436"/>
      <c r="AA512" s="1436"/>
      <c r="AB512" s="1436"/>
      <c r="AC512" s="1436"/>
      <c r="AD512" s="1436"/>
      <c r="AE512" s="1436"/>
      <c r="AF512" s="1436"/>
    </row>
    <row r="513" spans="1:32">
      <c r="A513" s="1436"/>
      <c r="B513" s="1436"/>
      <c r="C513" s="1436"/>
      <c r="D513" s="1436"/>
      <c r="E513" s="1436"/>
      <c r="F513" s="1436"/>
      <c r="G513" s="1436"/>
      <c r="H513" s="1436"/>
      <c r="I513" s="1436"/>
      <c r="J513" s="1436"/>
      <c r="K513" s="1436"/>
      <c r="L513" s="1436"/>
      <c r="M513" s="1436"/>
      <c r="N513" s="1436"/>
      <c r="O513" s="1436"/>
      <c r="P513" s="1436"/>
      <c r="Q513" s="1436"/>
      <c r="R513" s="1436"/>
      <c r="S513" s="1436"/>
      <c r="T513" s="1436"/>
      <c r="U513" s="1436"/>
      <c r="V513" s="1436"/>
      <c r="W513" s="1436"/>
      <c r="X513" s="1436"/>
      <c r="Y513" s="1436"/>
      <c r="Z513" s="1436"/>
      <c r="AA513" s="1436"/>
      <c r="AB513" s="1436"/>
      <c r="AC513" s="1436"/>
      <c r="AD513" s="1436"/>
      <c r="AE513" s="1436"/>
      <c r="AF513" s="1436"/>
    </row>
    <row r="514" spans="1:32">
      <c r="A514" s="1436"/>
      <c r="B514" s="1436"/>
      <c r="C514" s="1436"/>
      <c r="D514" s="1436"/>
      <c r="E514" s="1436"/>
      <c r="F514" s="1436"/>
      <c r="G514" s="1436"/>
      <c r="H514" s="1436"/>
      <c r="I514" s="1436"/>
      <c r="J514" s="1436"/>
      <c r="K514" s="1436"/>
      <c r="L514" s="1436"/>
      <c r="M514" s="1436"/>
      <c r="N514" s="1436"/>
      <c r="O514" s="1436"/>
      <c r="P514" s="1436"/>
      <c r="Q514" s="1436"/>
      <c r="R514" s="1436"/>
      <c r="S514" s="1436"/>
      <c r="T514" s="1436"/>
      <c r="U514" s="1436"/>
      <c r="V514" s="1436"/>
      <c r="W514" s="1436"/>
      <c r="X514" s="1436"/>
      <c r="Y514" s="1436"/>
      <c r="Z514" s="1436"/>
      <c r="AA514" s="1436"/>
      <c r="AB514" s="1436"/>
      <c r="AC514" s="1436"/>
      <c r="AD514" s="1436"/>
      <c r="AE514" s="1436"/>
      <c r="AF514" s="1436"/>
    </row>
    <row r="515" spans="1:32">
      <c r="A515" s="1436"/>
      <c r="B515" s="1436"/>
      <c r="C515" s="1436"/>
      <c r="D515" s="1436"/>
      <c r="E515" s="1436"/>
      <c r="F515" s="1436"/>
      <c r="G515" s="1436"/>
      <c r="H515" s="1436"/>
      <c r="I515" s="1436"/>
      <c r="J515" s="1436"/>
      <c r="K515" s="1436"/>
      <c r="L515" s="1436"/>
      <c r="M515" s="1436"/>
      <c r="N515" s="1436"/>
      <c r="O515" s="1436"/>
      <c r="P515" s="1436"/>
      <c r="Q515" s="1436"/>
      <c r="R515" s="1436"/>
      <c r="S515" s="1436"/>
      <c r="T515" s="1436"/>
      <c r="U515" s="1436"/>
      <c r="V515" s="1436"/>
      <c r="W515" s="1436"/>
      <c r="X515" s="1436"/>
      <c r="Y515" s="1436"/>
      <c r="Z515" s="1436"/>
      <c r="AA515" s="1436"/>
      <c r="AB515" s="1436"/>
      <c r="AC515" s="1436"/>
      <c r="AD515" s="1436"/>
      <c r="AE515" s="1436"/>
      <c r="AF515" s="1436"/>
    </row>
    <row r="516" spans="1:32">
      <c r="A516" s="1436"/>
      <c r="B516" s="1436"/>
      <c r="C516" s="1436"/>
      <c r="D516" s="1436"/>
      <c r="E516" s="1436"/>
      <c r="F516" s="1436"/>
      <c r="G516" s="1436"/>
      <c r="H516" s="1436"/>
      <c r="I516" s="1436"/>
      <c r="J516" s="1436"/>
      <c r="K516" s="1436"/>
      <c r="L516" s="1436"/>
      <c r="M516" s="1436"/>
      <c r="N516" s="1436"/>
      <c r="O516" s="1436"/>
      <c r="P516" s="1436"/>
      <c r="Q516" s="1436"/>
      <c r="R516" s="1436"/>
      <c r="S516" s="1436"/>
      <c r="T516" s="1436"/>
      <c r="U516" s="1436"/>
      <c r="V516" s="1436"/>
      <c r="W516" s="1436"/>
      <c r="X516" s="1436"/>
      <c r="Y516" s="1436"/>
      <c r="Z516" s="1436"/>
      <c r="AA516" s="1436"/>
      <c r="AB516" s="1436"/>
      <c r="AC516" s="1436"/>
      <c r="AD516" s="1436"/>
      <c r="AE516" s="1436"/>
      <c r="AF516" s="1436"/>
    </row>
    <row r="517" spans="1:32">
      <c r="A517" s="1436"/>
      <c r="B517" s="1436"/>
      <c r="C517" s="1436"/>
      <c r="D517" s="1436"/>
      <c r="E517" s="1436"/>
      <c r="F517" s="1436"/>
      <c r="G517" s="1436"/>
      <c r="H517" s="1436"/>
      <c r="I517" s="1436"/>
      <c r="J517" s="1436"/>
      <c r="K517" s="1436"/>
      <c r="L517" s="1436"/>
      <c r="M517" s="1436"/>
      <c r="N517" s="1436"/>
      <c r="O517" s="1436"/>
      <c r="P517" s="1436"/>
      <c r="Q517" s="1436"/>
      <c r="R517" s="1436"/>
      <c r="S517" s="1436"/>
      <c r="T517" s="1436"/>
      <c r="U517" s="1436"/>
      <c r="V517" s="1436"/>
      <c r="W517" s="1436"/>
      <c r="X517" s="1436"/>
      <c r="Y517" s="1436"/>
      <c r="Z517" s="1436"/>
      <c r="AA517" s="1436"/>
      <c r="AB517" s="1436"/>
      <c r="AC517" s="1436"/>
      <c r="AD517" s="1436"/>
      <c r="AE517" s="1436"/>
      <c r="AF517" s="1436"/>
    </row>
    <row r="518" spans="1:32">
      <c r="A518" s="1436"/>
      <c r="B518" s="1436"/>
      <c r="C518" s="1436"/>
      <c r="D518" s="1436"/>
      <c r="E518" s="1436"/>
      <c r="F518" s="1436"/>
      <c r="G518" s="1436"/>
      <c r="H518" s="1436"/>
      <c r="I518" s="1436"/>
      <c r="J518" s="1436"/>
      <c r="K518" s="1436"/>
      <c r="L518" s="1436"/>
      <c r="M518" s="1436"/>
      <c r="N518" s="1436"/>
      <c r="O518" s="1436"/>
      <c r="P518" s="1436"/>
      <c r="Q518" s="1436"/>
      <c r="R518" s="1436"/>
      <c r="S518" s="1436"/>
      <c r="T518" s="1436"/>
      <c r="U518" s="1436"/>
      <c r="V518" s="1436"/>
      <c r="W518" s="1436"/>
      <c r="X518" s="1436"/>
      <c r="Y518" s="1436"/>
      <c r="Z518" s="1436"/>
      <c r="AA518" s="1436"/>
      <c r="AB518" s="1436"/>
      <c r="AC518" s="1436"/>
      <c r="AD518" s="1436"/>
      <c r="AE518" s="1436"/>
      <c r="AF518" s="1436"/>
    </row>
    <row r="519" spans="1:32">
      <c r="A519" s="1436"/>
      <c r="B519" s="1436"/>
      <c r="C519" s="1436"/>
      <c r="D519" s="1436"/>
      <c r="E519" s="1436"/>
      <c r="F519" s="1436"/>
      <c r="G519" s="1436"/>
      <c r="H519" s="1436"/>
      <c r="I519" s="1436"/>
      <c r="J519" s="1436"/>
      <c r="K519" s="1436"/>
      <c r="L519" s="1436"/>
      <c r="M519" s="1436"/>
      <c r="N519" s="1436"/>
      <c r="O519" s="1436"/>
      <c r="P519" s="1436"/>
      <c r="Q519" s="1436"/>
      <c r="R519" s="1436"/>
      <c r="S519" s="1436"/>
      <c r="T519" s="1436"/>
      <c r="U519" s="1436"/>
      <c r="V519" s="1436"/>
      <c r="W519" s="1436"/>
      <c r="X519" s="1436"/>
      <c r="Y519" s="1436"/>
      <c r="Z519" s="1436"/>
      <c r="AA519" s="1436"/>
      <c r="AB519" s="1436"/>
      <c r="AC519" s="1436"/>
      <c r="AD519" s="1436"/>
      <c r="AE519" s="1436"/>
      <c r="AF519" s="1436"/>
    </row>
    <row r="520" spans="1:32">
      <c r="A520" s="1436"/>
      <c r="B520" s="1436"/>
      <c r="C520" s="1436"/>
      <c r="D520" s="1436"/>
      <c r="E520" s="1436"/>
      <c r="F520" s="1436"/>
      <c r="G520" s="1436"/>
      <c r="H520" s="1436"/>
      <c r="I520" s="1436"/>
      <c r="J520" s="1436"/>
      <c r="K520" s="1436"/>
      <c r="L520" s="1436"/>
      <c r="M520" s="1436"/>
      <c r="N520" s="1436"/>
      <c r="O520" s="1436"/>
      <c r="P520" s="1436"/>
      <c r="Q520" s="1436"/>
      <c r="R520" s="1436"/>
      <c r="S520" s="1436"/>
      <c r="T520" s="1436"/>
      <c r="U520" s="1436"/>
      <c r="V520" s="1436"/>
      <c r="W520" s="1436"/>
      <c r="X520" s="1436"/>
      <c r="Y520" s="1436"/>
      <c r="Z520" s="1436"/>
      <c r="AA520" s="1436"/>
      <c r="AB520" s="1436"/>
      <c r="AC520" s="1436"/>
      <c r="AD520" s="1436"/>
      <c r="AE520" s="1436"/>
      <c r="AF520" s="1436"/>
    </row>
    <row r="521" spans="1:32">
      <c r="A521" s="1436"/>
      <c r="B521" s="1436"/>
      <c r="C521" s="1436"/>
      <c r="D521" s="1436"/>
      <c r="E521" s="1436"/>
      <c r="F521" s="1436"/>
      <c r="G521" s="1436"/>
      <c r="H521" s="1436"/>
      <c r="I521" s="1436"/>
      <c r="J521" s="1436"/>
      <c r="K521" s="1436"/>
      <c r="L521" s="1436"/>
      <c r="M521" s="1436"/>
      <c r="N521" s="1436"/>
      <c r="O521" s="1436"/>
      <c r="P521" s="1436"/>
      <c r="Q521" s="1436"/>
      <c r="R521" s="1436"/>
      <c r="S521" s="1436"/>
      <c r="T521" s="1436"/>
      <c r="U521" s="1436"/>
      <c r="V521" s="1436"/>
      <c r="W521" s="1436"/>
      <c r="X521" s="1436"/>
      <c r="Y521" s="1436"/>
      <c r="Z521" s="1436"/>
      <c r="AA521" s="1436"/>
      <c r="AB521" s="1436"/>
      <c r="AC521" s="1436"/>
      <c r="AD521" s="1436"/>
      <c r="AE521" s="1436"/>
      <c r="AF521" s="1436"/>
    </row>
    <row r="522" spans="1:32">
      <c r="A522" s="1436"/>
      <c r="B522" s="1436"/>
      <c r="C522" s="1436"/>
      <c r="D522" s="1436"/>
      <c r="E522" s="1436"/>
      <c r="F522" s="1436"/>
      <c r="G522" s="1436"/>
      <c r="H522" s="1436"/>
      <c r="I522" s="1436"/>
      <c r="J522" s="1436"/>
      <c r="K522" s="1436"/>
      <c r="L522" s="1436"/>
      <c r="M522" s="1436"/>
      <c r="N522" s="1436"/>
      <c r="O522" s="1436"/>
      <c r="P522" s="1436"/>
      <c r="Q522" s="1436"/>
      <c r="R522" s="1436"/>
      <c r="S522" s="1436"/>
      <c r="T522" s="1436"/>
      <c r="U522" s="1436"/>
      <c r="V522" s="1436"/>
      <c r="W522" s="1436"/>
      <c r="X522" s="1436"/>
      <c r="Y522" s="1436"/>
      <c r="Z522" s="1436"/>
      <c r="AA522" s="1436"/>
      <c r="AB522" s="1436"/>
      <c r="AC522" s="1436"/>
      <c r="AD522" s="1436"/>
      <c r="AE522" s="1436"/>
      <c r="AF522" s="1436"/>
    </row>
    <row r="523" spans="1:32">
      <c r="A523" s="1436"/>
      <c r="B523" s="1436"/>
      <c r="C523" s="1436"/>
      <c r="D523" s="1436"/>
      <c r="E523" s="1436"/>
      <c r="F523" s="1436"/>
      <c r="G523" s="1436"/>
      <c r="H523" s="1436"/>
      <c r="I523" s="1436"/>
      <c r="J523" s="1436"/>
      <c r="K523" s="1436"/>
      <c r="L523" s="1436"/>
      <c r="M523" s="1436"/>
      <c r="N523" s="1436"/>
      <c r="O523" s="1436"/>
      <c r="P523" s="1436"/>
      <c r="Q523" s="1436"/>
      <c r="R523" s="1436"/>
      <c r="S523" s="1436"/>
      <c r="T523" s="1436"/>
      <c r="U523" s="1436"/>
      <c r="V523" s="1436"/>
      <c r="W523" s="1436"/>
      <c r="X523" s="1436"/>
      <c r="Y523" s="1436"/>
      <c r="Z523" s="1436"/>
      <c r="AA523" s="1436"/>
      <c r="AB523" s="1436"/>
      <c r="AC523" s="1436"/>
      <c r="AD523" s="1436"/>
      <c r="AE523" s="1436"/>
      <c r="AF523" s="1436"/>
    </row>
    <row r="524" spans="1:32">
      <c r="A524" s="1436"/>
      <c r="B524" s="1436"/>
      <c r="C524" s="1436"/>
      <c r="D524" s="1436"/>
      <c r="E524" s="1436"/>
      <c r="F524" s="1436"/>
      <c r="G524" s="1436"/>
      <c r="H524" s="1436"/>
      <c r="I524" s="1436"/>
      <c r="J524" s="1436"/>
      <c r="K524" s="1436"/>
      <c r="L524" s="1436"/>
      <c r="M524" s="1436"/>
      <c r="N524" s="1436"/>
      <c r="O524" s="1436"/>
      <c r="P524" s="1436"/>
      <c r="Q524" s="1436"/>
      <c r="R524" s="1436"/>
      <c r="S524" s="1436"/>
      <c r="T524" s="1436"/>
      <c r="U524" s="1436"/>
      <c r="V524" s="1436"/>
      <c r="W524" s="1436"/>
      <c r="X524" s="1436"/>
      <c r="Y524" s="1436"/>
      <c r="Z524" s="1436"/>
      <c r="AA524" s="1436"/>
      <c r="AB524" s="1436"/>
      <c r="AC524" s="1436"/>
      <c r="AD524" s="1436"/>
      <c r="AE524" s="1436"/>
      <c r="AF524" s="1436"/>
    </row>
    <row r="525" spans="1:32">
      <c r="A525" s="1436"/>
      <c r="B525" s="1436"/>
      <c r="C525" s="1436"/>
      <c r="D525" s="1436"/>
      <c r="E525" s="1436"/>
      <c r="F525" s="1436"/>
      <c r="G525" s="1436"/>
      <c r="H525" s="1436"/>
      <c r="I525" s="1436"/>
      <c r="J525" s="1436"/>
      <c r="K525" s="1436"/>
      <c r="L525" s="1436"/>
      <c r="M525" s="1436"/>
      <c r="N525" s="1436"/>
      <c r="O525" s="1436"/>
      <c r="P525" s="1436"/>
      <c r="Q525" s="1436"/>
      <c r="R525" s="1436"/>
      <c r="S525" s="1436"/>
      <c r="T525" s="1436"/>
      <c r="U525" s="1436"/>
      <c r="V525" s="1436"/>
      <c r="W525" s="1436"/>
      <c r="X525" s="1436"/>
      <c r="Y525" s="1436"/>
      <c r="Z525" s="1436"/>
      <c r="AA525" s="1436"/>
      <c r="AB525" s="1436"/>
      <c r="AC525" s="1436"/>
      <c r="AD525" s="1436"/>
      <c r="AE525" s="1436"/>
      <c r="AF525" s="1436"/>
    </row>
    <row r="526" spans="1:32">
      <c r="A526" s="1436"/>
      <c r="B526" s="1436"/>
      <c r="C526" s="1436"/>
      <c r="D526" s="1436"/>
      <c r="E526" s="1436"/>
      <c r="F526" s="1436"/>
      <c r="G526" s="1436"/>
      <c r="H526" s="1436"/>
      <c r="I526" s="1436"/>
      <c r="J526" s="1436"/>
      <c r="K526" s="1436"/>
      <c r="L526" s="1436"/>
      <c r="M526" s="1436"/>
      <c r="N526" s="1436"/>
      <c r="O526" s="1436"/>
      <c r="P526" s="1436"/>
      <c r="Q526" s="1436"/>
      <c r="R526" s="1436"/>
      <c r="S526" s="1436"/>
      <c r="T526" s="1436"/>
      <c r="U526" s="1436"/>
      <c r="V526" s="1436"/>
      <c r="W526" s="1436"/>
      <c r="X526" s="1436"/>
      <c r="Y526" s="1436"/>
      <c r="Z526" s="1436"/>
      <c r="AA526" s="1436"/>
      <c r="AB526" s="1436"/>
      <c r="AC526" s="1436"/>
      <c r="AD526" s="1436"/>
      <c r="AE526" s="1436"/>
      <c r="AF526" s="1436"/>
    </row>
    <row r="527" spans="1:32">
      <c r="A527" s="1436"/>
      <c r="B527" s="1436"/>
      <c r="C527" s="1436"/>
      <c r="D527" s="1436"/>
      <c r="E527" s="1436"/>
      <c r="F527" s="1436"/>
      <c r="G527" s="1436"/>
      <c r="H527" s="1436"/>
      <c r="I527" s="1436"/>
      <c r="J527" s="1436"/>
      <c r="K527" s="1436"/>
      <c r="L527" s="1436"/>
      <c r="M527" s="1436"/>
      <c r="N527" s="1436"/>
      <c r="O527" s="1436"/>
      <c r="P527" s="1436"/>
      <c r="Q527" s="1436"/>
      <c r="R527" s="1436"/>
      <c r="S527" s="1436"/>
      <c r="T527" s="1436"/>
      <c r="U527" s="1436"/>
      <c r="V527" s="1436"/>
      <c r="W527" s="1436"/>
      <c r="X527" s="1436"/>
      <c r="Y527" s="1436"/>
      <c r="Z527" s="1436"/>
      <c r="AA527" s="1436"/>
      <c r="AB527" s="1436"/>
      <c r="AC527" s="1436"/>
      <c r="AD527" s="1436"/>
      <c r="AE527" s="1436"/>
      <c r="AF527" s="1436"/>
    </row>
    <row r="528" spans="1:32">
      <c r="A528" s="1436"/>
      <c r="B528" s="1436"/>
      <c r="C528" s="1436"/>
      <c r="D528" s="1436"/>
      <c r="E528" s="1436"/>
      <c r="F528" s="1436"/>
      <c r="G528" s="1436"/>
      <c r="H528" s="1436"/>
      <c r="I528" s="1436"/>
      <c r="J528" s="1436"/>
      <c r="K528" s="1436"/>
      <c r="L528" s="1436"/>
      <c r="M528" s="1436"/>
      <c r="N528" s="1436"/>
      <c r="O528" s="1436"/>
      <c r="P528" s="1436"/>
      <c r="Q528" s="1436"/>
      <c r="R528" s="1436"/>
      <c r="S528" s="1436"/>
      <c r="T528" s="1436"/>
      <c r="U528" s="1436"/>
      <c r="V528" s="1436"/>
      <c r="W528" s="1436"/>
      <c r="X528" s="1436"/>
      <c r="Y528" s="1436"/>
      <c r="Z528" s="1436"/>
      <c r="AA528" s="1436"/>
      <c r="AB528" s="1436"/>
      <c r="AC528" s="1436"/>
      <c r="AD528" s="1436"/>
      <c r="AE528" s="1436"/>
      <c r="AF528" s="1436"/>
    </row>
    <row r="529" spans="1:32">
      <c r="A529" s="1436"/>
      <c r="B529" s="1436"/>
      <c r="C529" s="1436"/>
      <c r="D529" s="1436"/>
      <c r="E529" s="1436"/>
      <c r="F529" s="1436"/>
      <c r="G529" s="1436"/>
      <c r="H529" s="1436"/>
      <c r="I529" s="1436"/>
      <c r="J529" s="1436"/>
      <c r="K529" s="1436"/>
      <c r="L529" s="1436"/>
      <c r="M529" s="1436"/>
      <c r="N529" s="1436"/>
      <c r="O529" s="1436"/>
      <c r="P529" s="1436"/>
      <c r="Q529" s="1436"/>
      <c r="R529" s="1436"/>
      <c r="S529" s="1436"/>
      <c r="T529" s="1436"/>
      <c r="U529" s="1436"/>
      <c r="V529" s="1436"/>
      <c r="W529" s="1436"/>
      <c r="X529" s="1436"/>
      <c r="Y529" s="1436"/>
      <c r="Z529" s="1436"/>
      <c r="AA529" s="1436"/>
      <c r="AB529" s="1436"/>
      <c r="AC529" s="1436"/>
      <c r="AD529" s="1436"/>
      <c r="AE529" s="1436"/>
      <c r="AF529" s="1436"/>
    </row>
    <row r="530" spans="1:32">
      <c r="A530" s="1436"/>
      <c r="B530" s="1436"/>
      <c r="C530" s="1436"/>
      <c r="D530" s="1436"/>
      <c r="E530" s="1436"/>
      <c r="F530" s="1436"/>
      <c r="G530" s="1436"/>
      <c r="H530" s="1436"/>
      <c r="I530" s="1436"/>
      <c r="J530" s="1436"/>
      <c r="K530" s="1436"/>
      <c r="L530" s="1436"/>
      <c r="M530" s="1436"/>
      <c r="N530" s="1436"/>
      <c r="O530" s="1436"/>
      <c r="P530" s="1436"/>
      <c r="Q530" s="1436"/>
      <c r="R530" s="1436"/>
      <c r="S530" s="1436"/>
      <c r="T530" s="1436"/>
      <c r="U530" s="1436"/>
      <c r="V530" s="1436"/>
      <c r="W530" s="1436"/>
      <c r="X530" s="1436"/>
      <c r="Y530" s="1436"/>
      <c r="Z530" s="1436"/>
      <c r="AA530" s="1436"/>
      <c r="AB530" s="1436"/>
      <c r="AC530" s="1436"/>
      <c r="AD530" s="1436"/>
      <c r="AE530" s="1436"/>
      <c r="AF530" s="1436"/>
    </row>
    <row r="531" spans="1:32">
      <c r="A531" s="1436"/>
      <c r="B531" s="1436"/>
      <c r="C531" s="1436"/>
      <c r="D531" s="1436"/>
      <c r="E531" s="1436"/>
      <c r="F531" s="1436"/>
      <c r="G531" s="1436"/>
      <c r="H531" s="1436"/>
      <c r="I531" s="1436"/>
      <c r="J531" s="1436"/>
      <c r="K531" s="1436"/>
      <c r="L531" s="1436"/>
      <c r="M531" s="1436"/>
      <c r="N531" s="1436"/>
      <c r="O531" s="1436"/>
      <c r="P531" s="1436"/>
      <c r="Q531" s="1436"/>
      <c r="R531" s="1436"/>
      <c r="S531" s="1436"/>
      <c r="T531" s="1436"/>
      <c r="U531" s="1436"/>
      <c r="V531" s="1436"/>
      <c r="W531" s="1436"/>
      <c r="X531" s="1436"/>
      <c r="Y531" s="1436"/>
      <c r="Z531" s="1436"/>
      <c r="AA531" s="1436"/>
      <c r="AB531" s="1436"/>
      <c r="AC531" s="1436"/>
      <c r="AD531" s="1436"/>
      <c r="AE531" s="1436"/>
      <c r="AF531" s="1436"/>
    </row>
    <row r="532" spans="1:32">
      <c r="A532" s="1436"/>
      <c r="B532" s="1436"/>
      <c r="C532" s="1436"/>
      <c r="D532" s="1436"/>
      <c r="E532" s="1436"/>
      <c r="F532" s="1436"/>
      <c r="G532" s="1436"/>
      <c r="H532" s="1436"/>
      <c r="I532" s="1436"/>
      <c r="J532" s="1436"/>
      <c r="K532" s="1436"/>
      <c r="L532" s="1436"/>
      <c r="M532" s="1436"/>
      <c r="N532" s="1436"/>
      <c r="O532" s="1436"/>
      <c r="P532" s="1436"/>
      <c r="Q532" s="1436"/>
      <c r="R532" s="1436"/>
      <c r="S532" s="1436"/>
      <c r="T532" s="1436"/>
      <c r="U532" s="1436"/>
      <c r="V532" s="1436"/>
      <c r="W532" s="1436"/>
      <c r="X532" s="1436"/>
      <c r="Y532" s="1436"/>
      <c r="Z532" s="1436"/>
      <c r="AA532" s="1436"/>
      <c r="AB532" s="1436"/>
      <c r="AC532" s="1436"/>
      <c r="AD532" s="1436"/>
      <c r="AE532" s="1436"/>
      <c r="AF532" s="1436"/>
    </row>
    <row r="533" spans="1:32">
      <c r="A533" s="1436"/>
      <c r="B533" s="1436"/>
      <c r="C533" s="1436"/>
      <c r="D533" s="1436"/>
      <c r="E533" s="1436"/>
      <c r="F533" s="1436"/>
      <c r="G533" s="1436"/>
      <c r="H533" s="1436"/>
      <c r="I533" s="1436"/>
      <c r="J533" s="1436"/>
      <c r="K533" s="1436"/>
      <c r="L533" s="1436"/>
      <c r="M533" s="1436"/>
      <c r="N533" s="1436"/>
      <c r="O533" s="1436"/>
      <c r="P533" s="1436"/>
      <c r="Q533" s="1436"/>
      <c r="R533" s="1436"/>
      <c r="S533" s="1436"/>
      <c r="T533" s="1436"/>
      <c r="U533" s="1436"/>
      <c r="V533" s="1436"/>
      <c r="W533" s="1436"/>
      <c r="X533" s="1436"/>
      <c r="Y533" s="1436"/>
      <c r="Z533" s="1436"/>
      <c r="AA533" s="1436"/>
      <c r="AB533" s="1436"/>
      <c r="AC533" s="1436"/>
      <c r="AD533" s="1436"/>
      <c r="AE533" s="1436"/>
      <c r="AF533" s="1436"/>
    </row>
    <row r="534" spans="1:32">
      <c r="A534" s="1436"/>
      <c r="B534" s="1436"/>
      <c r="C534" s="1436"/>
      <c r="D534" s="1436"/>
      <c r="E534" s="1436"/>
      <c r="F534" s="1436"/>
      <c r="G534" s="1436"/>
      <c r="H534" s="1436"/>
      <c r="I534" s="1436"/>
      <c r="J534" s="1436"/>
      <c r="K534" s="1436"/>
      <c r="L534" s="1436"/>
      <c r="M534" s="1436"/>
      <c r="N534" s="1436"/>
      <c r="O534" s="1436"/>
      <c r="P534" s="1436"/>
      <c r="Q534" s="1436"/>
      <c r="R534" s="1436"/>
      <c r="S534" s="1436"/>
      <c r="T534" s="1436"/>
      <c r="U534" s="1436"/>
      <c r="V534" s="1436"/>
      <c r="W534" s="1436"/>
      <c r="X534" s="1436"/>
      <c r="Y534" s="1436"/>
      <c r="Z534" s="1436"/>
      <c r="AA534" s="1436"/>
      <c r="AB534" s="1436"/>
      <c r="AC534" s="1436"/>
      <c r="AD534" s="1436"/>
      <c r="AE534" s="1436"/>
      <c r="AF534" s="1436"/>
    </row>
    <row r="535" spans="1:32">
      <c r="A535" s="1436"/>
      <c r="B535" s="1436"/>
      <c r="C535" s="1436"/>
      <c r="D535" s="1436"/>
      <c r="E535" s="1436"/>
      <c r="F535" s="1436"/>
      <c r="G535" s="1436"/>
      <c r="H535" s="1436"/>
      <c r="I535" s="1436"/>
      <c r="J535" s="1436"/>
      <c r="K535" s="1436"/>
      <c r="L535" s="1436"/>
      <c r="M535" s="1436"/>
      <c r="N535" s="1436"/>
      <c r="O535" s="1436"/>
      <c r="P535" s="1436"/>
      <c r="Q535" s="1436"/>
      <c r="R535" s="1436"/>
      <c r="S535" s="1436"/>
      <c r="T535" s="1436"/>
      <c r="U535" s="1436"/>
      <c r="V535" s="1436"/>
      <c r="W535" s="1436"/>
      <c r="X535" s="1436"/>
      <c r="Y535" s="1436"/>
      <c r="Z535" s="1436"/>
      <c r="AA535" s="1436"/>
      <c r="AB535" s="1436"/>
      <c r="AC535" s="1436"/>
      <c r="AD535" s="1436"/>
      <c r="AE535" s="1436"/>
      <c r="AF535" s="1436"/>
    </row>
    <row r="536" spans="1:32">
      <c r="A536" s="1436"/>
      <c r="B536" s="1436"/>
      <c r="C536" s="1436"/>
      <c r="D536" s="1436"/>
      <c r="E536" s="1436"/>
      <c r="F536" s="1436"/>
      <c r="G536" s="1436"/>
      <c r="H536" s="1436"/>
      <c r="I536" s="1436"/>
      <c r="J536" s="1436"/>
      <c r="K536" s="1436"/>
      <c r="L536" s="1436"/>
      <c r="M536" s="1436"/>
      <c r="N536" s="1436"/>
      <c r="O536" s="1436"/>
      <c r="P536" s="1436"/>
      <c r="Q536" s="1436"/>
      <c r="R536" s="1436"/>
      <c r="S536" s="1436"/>
      <c r="T536" s="1436"/>
      <c r="U536" s="1436"/>
      <c r="V536" s="1436"/>
      <c r="W536" s="1436"/>
      <c r="X536" s="1436"/>
      <c r="Y536" s="1436"/>
      <c r="Z536" s="1436"/>
      <c r="AA536" s="1436"/>
      <c r="AB536" s="1436"/>
      <c r="AC536" s="1436"/>
      <c r="AD536" s="1436"/>
      <c r="AE536" s="1436"/>
      <c r="AF536" s="1436"/>
    </row>
    <row r="537" spans="1:32">
      <c r="A537" s="1436"/>
      <c r="B537" s="1436"/>
      <c r="C537" s="1436"/>
      <c r="D537" s="1436"/>
      <c r="E537" s="1436"/>
      <c r="F537" s="1436"/>
      <c r="G537" s="1436"/>
      <c r="H537" s="1436"/>
      <c r="I537" s="1436"/>
      <c r="J537" s="1436"/>
      <c r="K537" s="1436"/>
      <c r="L537" s="1436"/>
      <c r="M537" s="1436"/>
      <c r="N537" s="1436"/>
      <c r="O537" s="1436"/>
      <c r="P537" s="1436"/>
      <c r="Q537" s="1436"/>
      <c r="R537" s="1436"/>
      <c r="S537" s="1436"/>
      <c r="T537" s="1436"/>
      <c r="U537" s="1436"/>
      <c r="V537" s="1436"/>
      <c r="W537" s="1436"/>
      <c r="X537" s="1436"/>
      <c r="Y537" s="1436"/>
      <c r="Z537" s="1436"/>
      <c r="AA537" s="1436"/>
      <c r="AB537" s="1436"/>
      <c r="AC537" s="1436"/>
      <c r="AD537" s="1436"/>
      <c r="AE537" s="1436"/>
      <c r="AF537" s="1436"/>
    </row>
    <row r="538" spans="1:32">
      <c r="A538" s="1436"/>
      <c r="B538" s="1436"/>
      <c r="C538" s="1436"/>
      <c r="D538" s="1436"/>
      <c r="E538" s="1436"/>
      <c r="F538" s="1436"/>
      <c r="G538" s="1436"/>
      <c r="H538" s="1436"/>
      <c r="I538" s="1436"/>
      <c r="J538" s="1436"/>
      <c r="K538" s="1436"/>
      <c r="L538" s="1436"/>
      <c r="M538" s="1436"/>
      <c r="N538" s="1436"/>
      <c r="O538" s="1436"/>
      <c r="P538" s="1436"/>
      <c r="Q538" s="1436"/>
      <c r="R538" s="1436"/>
      <c r="S538" s="1436"/>
      <c r="T538" s="1436"/>
      <c r="U538" s="1436"/>
      <c r="V538" s="1436"/>
      <c r="W538" s="1436"/>
      <c r="X538" s="1436"/>
      <c r="Y538" s="1436"/>
      <c r="Z538" s="1436"/>
      <c r="AA538" s="1436"/>
      <c r="AB538" s="1436"/>
      <c r="AC538" s="1436"/>
      <c r="AD538" s="1436"/>
      <c r="AE538" s="1436"/>
      <c r="AF538" s="1436"/>
    </row>
    <row r="539" spans="1:32">
      <c r="A539" s="1436"/>
      <c r="B539" s="1436"/>
      <c r="C539" s="1436"/>
      <c r="D539" s="1436"/>
      <c r="E539" s="1436"/>
      <c r="F539" s="1436"/>
      <c r="G539" s="1436"/>
      <c r="H539" s="1436"/>
      <c r="I539" s="1436"/>
      <c r="J539" s="1436"/>
      <c r="K539" s="1436"/>
      <c r="L539" s="1436"/>
      <c r="M539" s="1436"/>
      <c r="N539" s="1436"/>
      <c r="O539" s="1436"/>
      <c r="P539" s="1436"/>
      <c r="Q539" s="1436"/>
      <c r="R539" s="1436"/>
      <c r="S539" s="1436"/>
      <c r="T539" s="1436"/>
      <c r="U539" s="1436"/>
      <c r="V539" s="1436"/>
      <c r="W539" s="1436"/>
      <c r="X539" s="1436"/>
      <c r="Y539" s="1436"/>
      <c r="Z539" s="1436"/>
      <c r="AA539" s="1436"/>
      <c r="AB539" s="1436"/>
      <c r="AC539" s="1436"/>
      <c r="AD539" s="1436"/>
      <c r="AE539" s="1436"/>
      <c r="AF539" s="1436"/>
    </row>
    <row r="540" spans="1:32">
      <c r="A540" s="1436"/>
      <c r="B540" s="1436"/>
      <c r="C540" s="1436"/>
      <c r="D540" s="1436"/>
      <c r="E540" s="1436"/>
      <c r="F540" s="1436"/>
      <c r="G540" s="1436"/>
      <c r="H540" s="1436"/>
      <c r="I540" s="1436"/>
      <c r="J540" s="1436"/>
      <c r="K540" s="1436"/>
      <c r="L540" s="1436"/>
      <c r="M540" s="1436"/>
      <c r="N540" s="1436"/>
      <c r="O540" s="1436"/>
      <c r="P540" s="1436"/>
      <c r="Q540" s="1436"/>
      <c r="R540" s="1436"/>
      <c r="S540" s="1436"/>
      <c r="T540" s="1436"/>
      <c r="U540" s="1436"/>
      <c r="V540" s="1436"/>
      <c r="W540" s="1436"/>
      <c r="X540" s="1436"/>
      <c r="Y540" s="1436"/>
      <c r="Z540" s="1436"/>
      <c r="AA540" s="1436"/>
      <c r="AB540" s="1436"/>
      <c r="AC540" s="1436"/>
      <c r="AD540" s="1436"/>
      <c r="AE540" s="1436"/>
      <c r="AF540" s="1436"/>
    </row>
    <row r="541" spans="1:32">
      <c r="A541" s="1436"/>
      <c r="B541" s="1436"/>
      <c r="C541" s="1436"/>
      <c r="D541" s="1436"/>
      <c r="E541" s="1436"/>
      <c r="F541" s="1436"/>
      <c r="G541" s="1436"/>
      <c r="H541" s="1436"/>
      <c r="I541" s="1436"/>
      <c r="J541" s="1436"/>
      <c r="K541" s="1436"/>
      <c r="L541" s="1436"/>
      <c r="M541" s="1436"/>
      <c r="N541" s="1436"/>
      <c r="O541" s="1436"/>
      <c r="P541" s="1436"/>
      <c r="Q541" s="1436"/>
      <c r="R541" s="1436"/>
      <c r="S541" s="1436"/>
      <c r="T541" s="1436"/>
      <c r="U541" s="1436"/>
      <c r="V541" s="1436"/>
      <c r="W541" s="1436"/>
      <c r="X541" s="1436"/>
      <c r="Y541" s="1436"/>
      <c r="Z541" s="1436"/>
      <c r="AA541" s="1436"/>
      <c r="AB541" s="1436"/>
      <c r="AC541" s="1436"/>
      <c r="AD541" s="1436"/>
      <c r="AE541" s="1436"/>
      <c r="AF541" s="1436"/>
    </row>
    <row r="542" spans="1:32">
      <c r="A542" s="1436"/>
      <c r="B542" s="1436"/>
      <c r="C542" s="1436"/>
      <c r="D542" s="1436"/>
      <c r="E542" s="1436"/>
      <c r="F542" s="1436"/>
      <c r="G542" s="1436"/>
      <c r="H542" s="1436"/>
      <c r="I542" s="1436"/>
      <c r="J542" s="1436"/>
      <c r="K542" s="1436"/>
      <c r="L542" s="1436"/>
      <c r="M542" s="1436"/>
      <c r="N542" s="1436"/>
      <c r="O542" s="1436"/>
      <c r="P542" s="1436"/>
      <c r="Q542" s="1436"/>
      <c r="R542" s="1436"/>
      <c r="S542" s="1436"/>
      <c r="T542" s="1436"/>
      <c r="U542" s="1436"/>
      <c r="V542" s="1436"/>
      <c r="W542" s="1436"/>
      <c r="X542" s="1436"/>
      <c r="Y542" s="1436"/>
      <c r="Z542" s="1436"/>
      <c r="AA542" s="1436"/>
      <c r="AB542" s="1436"/>
      <c r="AC542" s="1436"/>
      <c r="AD542" s="1436"/>
      <c r="AE542" s="1436"/>
      <c r="AF542" s="1436"/>
    </row>
    <row r="543" spans="1:32">
      <c r="A543" s="1436"/>
      <c r="B543" s="1436"/>
      <c r="C543" s="1436"/>
      <c r="D543" s="1436"/>
      <c r="E543" s="1436"/>
      <c r="F543" s="1436"/>
      <c r="G543" s="1436"/>
      <c r="H543" s="1436"/>
      <c r="I543" s="1436"/>
      <c r="J543" s="1436"/>
      <c r="K543" s="1436"/>
      <c r="L543" s="1436"/>
      <c r="M543" s="1436"/>
      <c r="N543" s="1436"/>
      <c r="O543" s="1436"/>
      <c r="P543" s="1436"/>
      <c r="Q543" s="1436"/>
      <c r="R543" s="1436"/>
      <c r="S543" s="1436"/>
      <c r="T543" s="1436"/>
      <c r="U543" s="1436"/>
      <c r="V543" s="1436"/>
      <c r="W543" s="1436"/>
      <c r="X543" s="1436"/>
      <c r="Y543" s="1436"/>
      <c r="Z543" s="1436"/>
      <c r="AA543" s="1436"/>
      <c r="AB543" s="1436"/>
      <c r="AC543" s="1436"/>
      <c r="AD543" s="1436"/>
      <c r="AE543" s="1436"/>
      <c r="AF543" s="1436"/>
    </row>
    <row r="544" spans="1:32">
      <c r="A544" s="1436"/>
      <c r="B544" s="1436"/>
      <c r="C544" s="1436"/>
      <c r="D544" s="1436"/>
      <c r="E544" s="1436"/>
      <c r="F544" s="1436"/>
      <c r="G544" s="1436"/>
      <c r="H544" s="1436"/>
      <c r="I544" s="1436"/>
      <c r="J544" s="1436"/>
      <c r="K544" s="1436"/>
      <c r="L544" s="1436"/>
      <c r="M544" s="1436"/>
      <c r="N544" s="1436"/>
      <c r="O544" s="1436"/>
      <c r="P544" s="1436"/>
      <c r="Q544" s="1436"/>
      <c r="R544" s="1436"/>
      <c r="S544" s="1436"/>
      <c r="T544" s="1436"/>
      <c r="U544" s="1436"/>
      <c r="V544" s="1436"/>
      <c r="W544" s="1436"/>
      <c r="X544" s="1436"/>
      <c r="Y544" s="1436"/>
      <c r="Z544" s="1436"/>
      <c r="AA544" s="1436"/>
      <c r="AB544" s="1436"/>
      <c r="AC544" s="1436"/>
      <c r="AD544" s="1436"/>
      <c r="AE544" s="1436"/>
      <c r="AF544" s="1436"/>
    </row>
    <row r="545" spans="1:32">
      <c r="A545" s="1436"/>
      <c r="B545" s="1436"/>
      <c r="C545" s="1436"/>
      <c r="D545" s="1436"/>
      <c r="E545" s="1436"/>
      <c r="F545" s="1436"/>
      <c r="G545" s="1436"/>
      <c r="H545" s="1436"/>
      <c r="I545" s="1436"/>
      <c r="J545" s="1436"/>
      <c r="K545" s="1436"/>
      <c r="L545" s="1436"/>
      <c r="M545" s="1436"/>
      <c r="N545" s="1436"/>
      <c r="O545" s="1436"/>
      <c r="P545" s="1436"/>
      <c r="Q545" s="1436"/>
      <c r="R545" s="1436"/>
      <c r="S545" s="1436"/>
      <c r="T545" s="1436"/>
      <c r="U545" s="1436"/>
      <c r="V545" s="1436"/>
      <c r="W545" s="1436"/>
      <c r="X545" s="1436"/>
      <c r="Y545" s="1436"/>
      <c r="Z545" s="1436"/>
      <c r="AA545" s="1436"/>
      <c r="AB545" s="1436"/>
      <c r="AC545" s="1436"/>
      <c r="AD545" s="1436"/>
      <c r="AE545" s="1436"/>
      <c r="AF545" s="1436"/>
    </row>
    <row r="546" spans="1:32">
      <c r="A546" s="1436"/>
      <c r="B546" s="1436"/>
      <c r="C546" s="1436"/>
      <c r="D546" s="1436"/>
      <c r="E546" s="1436"/>
      <c r="F546" s="1436"/>
      <c r="G546" s="1436"/>
      <c r="H546" s="1436"/>
      <c r="I546" s="1436"/>
      <c r="J546" s="1436"/>
      <c r="K546" s="1436"/>
      <c r="L546" s="1436"/>
      <c r="M546" s="1436"/>
      <c r="N546" s="1436"/>
      <c r="O546" s="1436"/>
      <c r="P546" s="1436"/>
      <c r="Q546" s="1436"/>
      <c r="R546" s="1436"/>
      <c r="S546" s="1436"/>
      <c r="T546" s="1436"/>
      <c r="U546" s="1436"/>
      <c r="V546" s="1436"/>
      <c r="W546" s="1436"/>
      <c r="X546" s="1436"/>
      <c r="Y546" s="1436"/>
      <c r="Z546" s="1436"/>
      <c r="AA546" s="1436"/>
      <c r="AB546" s="1436"/>
      <c r="AC546" s="1436"/>
      <c r="AD546" s="1436"/>
      <c r="AE546" s="1436"/>
      <c r="AF546" s="1436"/>
    </row>
    <row r="547" spans="1:32">
      <c r="A547" s="1436"/>
      <c r="B547" s="1436"/>
      <c r="C547" s="1436"/>
      <c r="D547" s="1436"/>
      <c r="E547" s="1436"/>
      <c r="F547" s="1436"/>
      <c r="G547" s="1436"/>
      <c r="H547" s="1436"/>
      <c r="I547" s="1436"/>
      <c r="J547" s="1436"/>
      <c r="K547" s="1436"/>
      <c r="L547" s="1436"/>
      <c r="M547" s="1436"/>
      <c r="N547" s="1436"/>
      <c r="O547" s="1436"/>
      <c r="P547" s="1436"/>
      <c r="Q547" s="1436"/>
      <c r="R547" s="1436"/>
      <c r="S547" s="1436"/>
      <c r="T547" s="1436"/>
      <c r="U547" s="1436"/>
      <c r="V547" s="1436"/>
      <c r="W547" s="1436"/>
      <c r="X547" s="1436"/>
      <c r="Y547" s="1436"/>
      <c r="Z547" s="1436"/>
      <c r="AA547" s="1436"/>
      <c r="AB547" s="1436"/>
      <c r="AC547" s="1436"/>
      <c r="AD547" s="1436"/>
      <c r="AE547" s="1436"/>
      <c r="AF547" s="1436"/>
    </row>
    <row r="548" spans="1:32">
      <c r="A548" s="1436"/>
      <c r="B548" s="1436"/>
      <c r="C548" s="1436"/>
      <c r="D548" s="1436"/>
      <c r="E548" s="1436"/>
      <c r="F548" s="1436"/>
      <c r="G548" s="1436"/>
      <c r="H548" s="1436"/>
      <c r="I548" s="1436"/>
      <c r="J548" s="1436"/>
      <c r="K548" s="1436"/>
      <c r="L548" s="1436"/>
      <c r="M548" s="1436"/>
      <c r="N548" s="1436"/>
      <c r="O548" s="1436"/>
      <c r="P548" s="1436"/>
      <c r="Q548" s="1436"/>
      <c r="R548" s="1436"/>
      <c r="S548" s="1436"/>
      <c r="T548" s="1436"/>
      <c r="U548" s="1436"/>
      <c r="V548" s="1436"/>
      <c r="W548" s="1436"/>
      <c r="X548" s="1436"/>
      <c r="Y548" s="1436"/>
      <c r="Z548" s="1436"/>
      <c r="AA548" s="1436"/>
      <c r="AB548" s="1436"/>
      <c r="AC548" s="1436"/>
      <c r="AD548" s="1436"/>
      <c r="AE548" s="1436"/>
      <c r="AF548" s="1436"/>
    </row>
    <row r="549" spans="1:32">
      <c r="A549" s="1436"/>
      <c r="B549" s="1436"/>
      <c r="C549" s="1436"/>
      <c r="D549" s="1436"/>
      <c r="E549" s="1436"/>
      <c r="F549" s="1436"/>
      <c r="G549" s="1436"/>
      <c r="H549" s="1436"/>
      <c r="I549" s="1436"/>
      <c r="J549" s="1436"/>
      <c r="K549" s="1436"/>
      <c r="L549" s="1436"/>
      <c r="M549" s="1436"/>
      <c r="N549" s="1436"/>
      <c r="O549" s="1436"/>
      <c r="P549" s="1436"/>
      <c r="Q549" s="1436"/>
      <c r="R549" s="1436"/>
      <c r="S549" s="1436"/>
      <c r="T549" s="1436"/>
      <c r="U549" s="1436"/>
      <c r="V549" s="1436"/>
      <c r="W549" s="1436"/>
      <c r="X549" s="1436"/>
      <c r="Y549" s="1436"/>
      <c r="Z549" s="1436"/>
      <c r="AA549" s="1436"/>
      <c r="AB549" s="1436"/>
      <c r="AC549" s="1436"/>
      <c r="AD549" s="1436"/>
      <c r="AE549" s="1436"/>
      <c r="AF549" s="1436"/>
    </row>
    <row r="550" spans="1:32">
      <c r="A550" s="1436"/>
      <c r="B550" s="1436"/>
      <c r="C550" s="1436"/>
      <c r="D550" s="1436"/>
      <c r="E550" s="1436"/>
      <c r="F550" s="1436"/>
      <c r="G550" s="1436"/>
      <c r="H550" s="1436"/>
      <c r="I550" s="1436"/>
      <c r="J550" s="1436"/>
      <c r="K550" s="1436"/>
      <c r="L550" s="1436"/>
      <c r="M550" s="1436"/>
      <c r="N550" s="1436"/>
      <c r="O550" s="1436"/>
      <c r="P550" s="1436"/>
      <c r="Q550" s="1436"/>
      <c r="R550" s="1436"/>
      <c r="S550" s="1436"/>
      <c r="T550" s="1436"/>
      <c r="U550" s="1436"/>
      <c r="V550" s="1436"/>
      <c r="W550" s="1436"/>
      <c r="X550" s="1436"/>
      <c r="Y550" s="1436"/>
      <c r="Z550" s="1436"/>
      <c r="AA550" s="1436"/>
      <c r="AB550" s="1436"/>
      <c r="AC550" s="1436"/>
      <c r="AD550" s="1436"/>
      <c r="AE550" s="1436"/>
      <c r="AF550" s="1436"/>
    </row>
    <row r="551" spans="1:32">
      <c r="A551" s="1436"/>
      <c r="B551" s="1436"/>
      <c r="C551" s="1436"/>
      <c r="D551" s="1436"/>
      <c r="E551" s="1436"/>
      <c r="F551" s="1436"/>
      <c r="G551" s="1436"/>
      <c r="H551" s="1436"/>
      <c r="I551" s="1436"/>
      <c r="J551" s="1436"/>
      <c r="K551" s="1436"/>
      <c r="L551" s="1436"/>
      <c r="M551" s="1436"/>
      <c r="N551" s="1436"/>
      <c r="O551" s="1436"/>
      <c r="P551" s="1436"/>
      <c r="Q551" s="1436"/>
      <c r="R551" s="1436"/>
      <c r="S551" s="1436"/>
      <c r="T551" s="1436"/>
      <c r="U551" s="1436"/>
      <c r="V551" s="1436"/>
      <c r="W551" s="1436"/>
      <c r="X551" s="1436"/>
      <c r="Y551" s="1436"/>
      <c r="Z551" s="1436"/>
      <c r="AA551" s="1436"/>
      <c r="AB551" s="1436"/>
      <c r="AC551" s="1436"/>
      <c r="AD551" s="1436"/>
      <c r="AE551" s="1436"/>
      <c r="AF551" s="1436"/>
    </row>
    <row r="552" spans="1:32">
      <c r="A552" s="1436"/>
      <c r="B552" s="1436"/>
      <c r="C552" s="1436"/>
      <c r="D552" s="1436"/>
      <c r="E552" s="1436"/>
      <c r="F552" s="1436"/>
      <c r="G552" s="1436"/>
      <c r="H552" s="1436"/>
      <c r="I552" s="1436"/>
      <c r="J552" s="1436"/>
      <c r="K552" s="1436"/>
      <c r="L552" s="1436"/>
      <c r="M552" s="1436"/>
      <c r="N552" s="1436"/>
      <c r="O552" s="1436"/>
      <c r="P552" s="1436"/>
      <c r="Q552" s="1436"/>
      <c r="R552" s="1436"/>
      <c r="S552" s="1436"/>
      <c r="T552" s="1436"/>
      <c r="U552" s="1436"/>
      <c r="V552" s="1436"/>
      <c r="W552" s="1436"/>
      <c r="X552" s="1436"/>
      <c r="Y552" s="1436"/>
      <c r="Z552" s="1436"/>
      <c r="AA552" s="1436"/>
      <c r="AB552" s="1436"/>
      <c r="AC552" s="1436"/>
      <c r="AD552" s="1436"/>
      <c r="AE552" s="1436"/>
      <c r="AF552" s="1436"/>
    </row>
    <row r="553" spans="1:32">
      <c r="A553" s="1436"/>
      <c r="B553" s="1436"/>
      <c r="C553" s="1436"/>
      <c r="D553" s="1436"/>
      <c r="E553" s="1436"/>
      <c r="F553" s="1436"/>
      <c r="G553" s="1436"/>
      <c r="H553" s="1436"/>
      <c r="I553" s="1436"/>
      <c r="J553" s="1436"/>
      <c r="K553" s="1436"/>
      <c r="L553" s="1436"/>
      <c r="M553" s="1436"/>
      <c r="N553" s="1436"/>
      <c r="O553" s="1436"/>
      <c r="P553" s="1436"/>
      <c r="Q553" s="1436"/>
      <c r="R553" s="1436"/>
      <c r="S553" s="1436"/>
      <c r="T553" s="1436"/>
      <c r="U553" s="1436"/>
      <c r="V553" s="1436"/>
      <c r="W553" s="1436"/>
      <c r="X553" s="1436"/>
      <c r="Y553" s="1436"/>
      <c r="Z553" s="1436"/>
      <c r="AA553" s="1436"/>
      <c r="AB553" s="1436"/>
      <c r="AC553" s="1436"/>
      <c r="AD553" s="1436"/>
      <c r="AE553" s="1436"/>
      <c r="AF553" s="1436"/>
    </row>
    <row r="554" spans="1:32">
      <c r="A554" s="1436"/>
      <c r="B554" s="1436"/>
      <c r="C554" s="1436"/>
      <c r="D554" s="1436"/>
      <c r="E554" s="1436"/>
      <c r="F554" s="1436"/>
      <c r="G554" s="1436"/>
      <c r="H554" s="1436"/>
      <c r="I554" s="1436"/>
      <c r="J554" s="1436"/>
      <c r="K554" s="1436"/>
      <c r="L554" s="1436"/>
      <c r="M554" s="1436"/>
      <c r="N554" s="1436"/>
      <c r="O554" s="1436"/>
      <c r="P554" s="1436"/>
      <c r="Q554" s="1436"/>
      <c r="R554" s="1436"/>
      <c r="S554" s="1436"/>
      <c r="T554" s="1436"/>
      <c r="U554" s="1436"/>
      <c r="V554" s="1436"/>
      <c r="W554" s="1436"/>
      <c r="X554" s="1436"/>
      <c r="Y554" s="1436"/>
      <c r="Z554" s="1436"/>
      <c r="AA554" s="1436"/>
      <c r="AB554" s="1436"/>
      <c r="AC554" s="1436"/>
      <c r="AD554" s="1436"/>
      <c r="AE554" s="1436"/>
      <c r="AF554" s="1436"/>
    </row>
    <row r="555" spans="1:32">
      <c r="A555" s="1436"/>
      <c r="B555" s="1436"/>
      <c r="C555" s="1436"/>
      <c r="D555" s="1436"/>
      <c r="E555" s="1436"/>
      <c r="F555" s="1436"/>
      <c r="G555" s="1436"/>
      <c r="H555" s="1436"/>
      <c r="I555" s="1436"/>
      <c r="J555" s="1436"/>
      <c r="K555" s="1436"/>
      <c r="L555" s="1436"/>
      <c r="M555" s="1436"/>
      <c r="N555" s="1436"/>
      <c r="O555" s="1436"/>
      <c r="P555" s="1436"/>
      <c r="Q555" s="1436"/>
      <c r="R555" s="1436"/>
      <c r="S555" s="1436"/>
      <c r="T555" s="1436"/>
      <c r="U555" s="1436"/>
      <c r="V555" s="1436"/>
      <c r="W555" s="1436"/>
      <c r="X555" s="1436"/>
      <c r="Y555" s="1436"/>
      <c r="Z555" s="1436"/>
      <c r="AA555" s="1436"/>
      <c r="AB555" s="1436"/>
      <c r="AC555" s="1436"/>
      <c r="AD555" s="1436"/>
      <c r="AE555" s="1436"/>
      <c r="AF555" s="1436"/>
    </row>
    <row r="556" spans="1:32">
      <c r="A556" s="1436"/>
      <c r="B556" s="1436"/>
      <c r="C556" s="1436"/>
      <c r="D556" s="1436"/>
      <c r="E556" s="1436"/>
      <c r="F556" s="1436"/>
      <c r="G556" s="1436"/>
      <c r="H556" s="1436"/>
      <c r="I556" s="1436"/>
      <c r="J556" s="1436"/>
      <c r="K556" s="1436"/>
      <c r="L556" s="1436"/>
      <c r="M556" s="1436"/>
      <c r="N556" s="1436"/>
      <c r="O556" s="1436"/>
      <c r="P556" s="1436"/>
      <c r="Q556" s="1436"/>
      <c r="R556" s="1436"/>
      <c r="S556" s="1436"/>
      <c r="T556" s="1436"/>
      <c r="U556" s="1436"/>
      <c r="V556" s="1436"/>
      <c r="W556" s="1436"/>
      <c r="X556" s="1436"/>
      <c r="Y556" s="1436"/>
      <c r="Z556" s="1436"/>
      <c r="AA556" s="1436"/>
      <c r="AB556" s="1436"/>
      <c r="AC556" s="1436"/>
      <c r="AD556" s="1436"/>
      <c r="AE556" s="1436"/>
      <c r="AF556" s="1436"/>
    </row>
    <row r="557" spans="1:32">
      <c r="A557" s="1436"/>
      <c r="B557" s="1436"/>
      <c r="C557" s="1436"/>
      <c r="D557" s="1436"/>
      <c r="E557" s="1436"/>
      <c r="F557" s="1436"/>
      <c r="G557" s="1436"/>
      <c r="H557" s="1436"/>
      <c r="I557" s="1436"/>
      <c r="J557" s="1436"/>
      <c r="K557" s="1436"/>
      <c r="L557" s="1436"/>
      <c r="M557" s="1436"/>
      <c r="N557" s="1436"/>
      <c r="O557" s="1436"/>
      <c r="P557" s="1436"/>
      <c r="Q557" s="1436"/>
      <c r="R557" s="1436"/>
      <c r="S557" s="1436"/>
      <c r="T557" s="1436"/>
      <c r="U557" s="1436"/>
      <c r="V557" s="1436"/>
      <c r="W557" s="1436"/>
      <c r="X557" s="1436"/>
      <c r="Y557" s="1436"/>
      <c r="Z557" s="1436"/>
      <c r="AA557" s="1436"/>
      <c r="AB557" s="1436"/>
      <c r="AC557" s="1436"/>
      <c r="AD557" s="1436"/>
      <c r="AE557" s="1436"/>
      <c r="AF557" s="1436"/>
    </row>
    <row r="558" spans="1:32">
      <c r="A558" s="1436"/>
      <c r="B558" s="1436"/>
      <c r="C558" s="1436"/>
      <c r="D558" s="1436"/>
      <c r="E558" s="1436"/>
      <c r="F558" s="1436"/>
      <c r="G558" s="1436"/>
      <c r="H558" s="1436"/>
      <c r="I558" s="1436"/>
      <c r="J558" s="1436"/>
      <c r="K558" s="1436"/>
      <c r="L558" s="1436"/>
      <c r="M558" s="1436"/>
      <c r="N558" s="1436"/>
      <c r="O558" s="1436"/>
      <c r="P558" s="1436"/>
      <c r="Q558" s="1436"/>
      <c r="R558" s="1436"/>
      <c r="S558" s="1436"/>
      <c r="T558" s="1436"/>
      <c r="U558" s="1436"/>
      <c r="V558" s="1436"/>
      <c r="W558" s="1436"/>
      <c r="X558" s="1436"/>
      <c r="Y558" s="1436"/>
      <c r="Z558" s="1436"/>
      <c r="AA558" s="1436"/>
      <c r="AB558" s="1436"/>
      <c r="AC558" s="1436"/>
      <c r="AD558" s="1436"/>
      <c r="AE558" s="1436"/>
      <c r="AF558" s="1436"/>
    </row>
    <row r="559" spans="1:32">
      <c r="A559" s="1436"/>
      <c r="B559" s="1436"/>
      <c r="C559" s="1436"/>
      <c r="D559" s="1436"/>
      <c r="E559" s="1436"/>
      <c r="F559" s="1436"/>
      <c r="G559" s="1436"/>
      <c r="H559" s="1436"/>
      <c r="I559" s="1436"/>
      <c r="J559" s="1436"/>
      <c r="K559" s="1436"/>
      <c r="L559" s="1436"/>
      <c r="M559" s="1436"/>
      <c r="N559" s="1436"/>
      <c r="O559" s="1436"/>
      <c r="P559" s="1436"/>
      <c r="Q559" s="1436"/>
      <c r="R559" s="1436"/>
      <c r="S559" s="1436"/>
      <c r="T559" s="1436"/>
      <c r="U559" s="1436"/>
      <c r="V559" s="1436"/>
      <c r="W559" s="1436"/>
      <c r="X559" s="1436"/>
      <c r="Y559" s="1436"/>
      <c r="Z559" s="1436"/>
      <c r="AA559" s="1436"/>
      <c r="AB559" s="1436"/>
      <c r="AC559" s="1436"/>
      <c r="AD559" s="1436"/>
      <c r="AE559" s="1436"/>
      <c r="AF559" s="1436"/>
    </row>
    <row r="560" spans="1:32">
      <c r="A560" s="1436"/>
      <c r="B560" s="1436"/>
      <c r="C560" s="1436"/>
      <c r="D560" s="1436"/>
      <c r="E560" s="1436"/>
      <c r="F560" s="1436"/>
      <c r="G560" s="1436"/>
      <c r="H560" s="1436"/>
      <c r="I560" s="1436"/>
      <c r="J560" s="1436"/>
      <c r="K560" s="1436"/>
      <c r="L560" s="1436"/>
      <c r="M560" s="1436"/>
      <c r="N560" s="1436"/>
      <c r="O560" s="1436"/>
      <c r="P560" s="1436"/>
      <c r="Q560" s="1436"/>
      <c r="R560" s="1436"/>
      <c r="S560" s="1436"/>
      <c r="T560" s="1436"/>
      <c r="U560" s="1436"/>
      <c r="V560" s="1436"/>
      <c r="W560" s="1436"/>
      <c r="X560" s="1436"/>
      <c r="Y560" s="1436"/>
      <c r="Z560" s="1436"/>
      <c r="AA560" s="1436"/>
      <c r="AB560" s="1436"/>
      <c r="AC560" s="1436"/>
      <c r="AD560" s="1436"/>
      <c r="AE560" s="1436"/>
      <c r="AF560" s="1436"/>
    </row>
    <row r="561" spans="1:32">
      <c r="A561" s="1436"/>
      <c r="B561" s="1436"/>
      <c r="C561" s="1436"/>
      <c r="D561" s="1436"/>
      <c r="E561" s="1436"/>
      <c r="F561" s="1436"/>
      <c r="G561" s="1436"/>
      <c r="H561" s="1436"/>
      <c r="I561" s="1436"/>
      <c r="J561" s="1436"/>
      <c r="K561" s="1436"/>
      <c r="L561" s="1436"/>
      <c r="M561" s="1436"/>
      <c r="N561" s="1436"/>
      <c r="O561" s="1436"/>
      <c r="P561" s="1436"/>
      <c r="Q561" s="1436"/>
      <c r="R561" s="1436"/>
      <c r="S561" s="1436"/>
      <c r="T561" s="1436"/>
      <c r="U561" s="1436"/>
      <c r="V561" s="1436"/>
      <c r="W561" s="1436"/>
      <c r="X561" s="1436"/>
      <c r="Y561" s="1436"/>
      <c r="Z561" s="1436"/>
      <c r="AA561" s="1436"/>
      <c r="AB561" s="1436"/>
      <c r="AC561" s="1436"/>
      <c r="AD561" s="1436"/>
      <c r="AE561" s="1436"/>
      <c r="AF561" s="1436"/>
    </row>
    <row r="562" spans="1:32">
      <c r="A562" s="1436"/>
      <c r="B562" s="1436"/>
      <c r="C562" s="1436"/>
      <c r="D562" s="1436"/>
      <c r="E562" s="1436"/>
      <c r="F562" s="1436"/>
      <c r="G562" s="1436"/>
      <c r="H562" s="1436"/>
      <c r="I562" s="1436"/>
      <c r="J562" s="1436"/>
      <c r="K562" s="1436"/>
      <c r="L562" s="1436"/>
      <c r="M562" s="1436"/>
      <c r="N562" s="1436"/>
      <c r="O562" s="1436"/>
      <c r="P562" s="1436"/>
      <c r="Q562" s="1436"/>
      <c r="R562" s="1436"/>
      <c r="S562" s="1436"/>
      <c r="T562" s="1436"/>
      <c r="U562" s="1436"/>
      <c r="V562" s="1436"/>
      <c r="W562" s="1436"/>
      <c r="X562" s="1436"/>
      <c r="Y562" s="1436"/>
      <c r="Z562" s="1436"/>
      <c r="AA562" s="1436"/>
      <c r="AB562" s="1436"/>
      <c r="AC562" s="1436"/>
      <c r="AD562" s="1436"/>
      <c r="AE562" s="1436"/>
      <c r="AF562" s="1436"/>
    </row>
    <row r="563" spans="1:32">
      <c r="A563" s="1436"/>
      <c r="B563" s="1436"/>
      <c r="C563" s="1436"/>
      <c r="D563" s="1436"/>
      <c r="E563" s="1436"/>
      <c r="F563" s="1436"/>
      <c r="G563" s="1436"/>
      <c r="H563" s="1436"/>
      <c r="I563" s="1436"/>
      <c r="J563" s="1436"/>
      <c r="K563" s="1436"/>
      <c r="L563" s="1436"/>
      <c r="M563" s="1436"/>
      <c r="N563" s="1436"/>
      <c r="O563" s="1436"/>
      <c r="P563" s="1436"/>
      <c r="Q563" s="1436"/>
      <c r="R563" s="1436"/>
      <c r="S563" s="1436"/>
      <c r="T563" s="1436"/>
      <c r="U563" s="1436"/>
      <c r="V563" s="1436"/>
      <c r="W563" s="1436"/>
      <c r="X563" s="1436"/>
      <c r="Y563" s="1436"/>
      <c r="Z563" s="1436"/>
      <c r="AA563" s="1436"/>
      <c r="AB563" s="1436"/>
      <c r="AC563" s="1436"/>
      <c r="AD563" s="1436"/>
      <c r="AE563" s="1436"/>
      <c r="AF563" s="1436"/>
    </row>
    <row r="564" spans="1:32">
      <c r="A564" s="1436"/>
      <c r="B564" s="1436"/>
      <c r="C564" s="1436"/>
      <c r="D564" s="1436"/>
      <c r="E564" s="1436"/>
      <c r="F564" s="1436"/>
      <c r="G564" s="1436"/>
      <c r="H564" s="1436"/>
      <c r="I564" s="1436"/>
      <c r="J564" s="1436"/>
      <c r="K564" s="1436"/>
      <c r="L564" s="1436"/>
      <c r="M564" s="1436"/>
      <c r="N564" s="1436"/>
      <c r="O564" s="1436"/>
      <c r="P564" s="1436"/>
      <c r="Q564" s="1436"/>
      <c r="R564" s="1436"/>
      <c r="S564" s="1436"/>
      <c r="T564" s="1436"/>
      <c r="U564" s="1436"/>
      <c r="V564" s="1436"/>
      <c r="W564" s="1436"/>
      <c r="X564" s="1436"/>
      <c r="Y564" s="1436"/>
      <c r="Z564" s="1436"/>
      <c r="AA564" s="1436"/>
      <c r="AB564" s="1436"/>
      <c r="AC564" s="1436"/>
      <c r="AD564" s="1436"/>
      <c r="AE564" s="1436"/>
      <c r="AF564" s="1436"/>
    </row>
    <row r="565" spans="1:32">
      <c r="A565" s="1436"/>
      <c r="B565" s="1436"/>
      <c r="C565" s="1436"/>
      <c r="D565" s="1436"/>
      <c r="E565" s="1436"/>
      <c r="F565" s="1436"/>
      <c r="G565" s="1436"/>
      <c r="H565" s="1436"/>
      <c r="I565" s="1436"/>
      <c r="J565" s="1436"/>
      <c r="K565" s="1436"/>
      <c r="L565" s="1436"/>
      <c r="M565" s="1436"/>
      <c r="N565" s="1436"/>
      <c r="O565" s="1436"/>
      <c r="P565" s="1436"/>
      <c r="Q565" s="1436"/>
      <c r="R565" s="1436"/>
      <c r="S565" s="1436"/>
      <c r="T565" s="1436"/>
      <c r="U565" s="1436"/>
      <c r="V565" s="1436"/>
      <c r="W565" s="1436"/>
      <c r="X565" s="1436"/>
      <c r="Y565" s="1436"/>
      <c r="Z565" s="1436"/>
      <c r="AA565" s="1436"/>
      <c r="AB565" s="1436"/>
      <c r="AC565" s="1436"/>
      <c r="AD565" s="1436"/>
      <c r="AE565" s="1436"/>
      <c r="AF565" s="1436"/>
    </row>
    <row r="566" spans="1:32">
      <c r="A566" s="1436"/>
      <c r="B566" s="1436"/>
      <c r="C566" s="1436"/>
      <c r="D566" s="1436"/>
      <c r="E566" s="1436"/>
      <c r="F566" s="1436"/>
      <c r="G566" s="1436"/>
      <c r="H566" s="1436"/>
      <c r="I566" s="1436"/>
      <c r="J566" s="1436"/>
      <c r="K566" s="1436"/>
      <c r="L566" s="1436"/>
      <c r="M566" s="1436"/>
      <c r="N566" s="1436"/>
      <c r="O566" s="1436"/>
      <c r="P566" s="1436"/>
      <c r="Q566" s="1436"/>
      <c r="R566" s="1436"/>
      <c r="S566" s="1436"/>
      <c r="T566" s="1436"/>
      <c r="U566" s="1436"/>
      <c r="V566" s="1436"/>
      <c r="W566" s="1436"/>
      <c r="X566" s="1436"/>
      <c r="Y566" s="1436"/>
      <c r="Z566" s="1436"/>
      <c r="AA566" s="1436"/>
      <c r="AB566" s="1436"/>
      <c r="AC566" s="1436"/>
      <c r="AD566" s="1436"/>
      <c r="AE566" s="1436"/>
      <c r="AF566" s="1436"/>
    </row>
    <row r="567" spans="1:32">
      <c r="A567" s="1436"/>
      <c r="B567" s="1436"/>
      <c r="C567" s="1436"/>
      <c r="D567" s="1436"/>
      <c r="E567" s="1436"/>
      <c r="F567" s="1436"/>
      <c r="G567" s="1436"/>
      <c r="H567" s="1436"/>
      <c r="I567" s="1436"/>
      <c r="J567" s="1436"/>
      <c r="K567" s="1436"/>
      <c r="L567" s="1436"/>
      <c r="M567" s="1436"/>
      <c r="N567" s="1436"/>
      <c r="O567" s="1436"/>
      <c r="P567" s="1436"/>
      <c r="Q567" s="1436"/>
      <c r="R567" s="1436"/>
      <c r="S567" s="1436"/>
      <c r="T567" s="1436"/>
      <c r="U567" s="1436"/>
      <c r="V567" s="1436"/>
      <c r="W567" s="1436"/>
      <c r="X567" s="1436"/>
      <c r="Y567" s="1436"/>
      <c r="Z567" s="1436"/>
      <c r="AA567" s="1436"/>
      <c r="AB567" s="1436"/>
      <c r="AC567" s="1436"/>
      <c r="AD567" s="1436"/>
      <c r="AE567" s="1436"/>
      <c r="AF567" s="1436"/>
    </row>
    <row r="568" spans="1:32">
      <c r="A568" s="1436"/>
      <c r="B568" s="1436"/>
      <c r="C568" s="1436"/>
      <c r="D568" s="1436"/>
      <c r="E568" s="1436"/>
      <c r="F568" s="1436"/>
      <c r="G568" s="1436"/>
      <c r="H568" s="1436"/>
      <c r="I568" s="1436"/>
      <c r="J568" s="1436"/>
      <c r="K568" s="1436"/>
      <c r="L568" s="1436"/>
      <c r="M568" s="1436"/>
      <c r="N568" s="1436"/>
      <c r="O568" s="1436"/>
      <c r="P568" s="1436"/>
      <c r="Q568" s="1436"/>
      <c r="R568" s="1436"/>
      <c r="S568" s="1436"/>
      <c r="T568" s="1436"/>
      <c r="U568" s="1436"/>
      <c r="V568" s="1436"/>
      <c r="W568" s="1436"/>
      <c r="X568" s="1436"/>
      <c r="Y568" s="1436"/>
      <c r="Z568" s="1436"/>
      <c r="AA568" s="1436"/>
      <c r="AB568" s="1436"/>
      <c r="AC568" s="1436"/>
      <c r="AD568" s="1436"/>
      <c r="AE568" s="1436"/>
      <c r="AF568" s="1436"/>
    </row>
    <row r="569" spans="1:32">
      <c r="A569" s="1436"/>
      <c r="B569" s="1436"/>
      <c r="C569" s="1436"/>
      <c r="D569" s="1436"/>
      <c r="E569" s="1436"/>
      <c r="F569" s="1436"/>
      <c r="G569" s="1436"/>
      <c r="H569" s="1436"/>
      <c r="I569" s="1436"/>
      <c r="J569" s="1436"/>
      <c r="K569" s="1436"/>
      <c r="L569" s="1436"/>
      <c r="M569" s="1436"/>
      <c r="N569" s="1436"/>
      <c r="O569" s="1436"/>
      <c r="P569" s="1436"/>
      <c r="Q569" s="1436"/>
      <c r="R569" s="1436"/>
      <c r="S569" s="1436"/>
      <c r="T569" s="1436"/>
      <c r="U569" s="1436"/>
      <c r="V569" s="1436"/>
      <c r="W569" s="1436"/>
      <c r="X569" s="1436"/>
      <c r="Y569" s="1436"/>
      <c r="Z569" s="1436"/>
      <c r="AA569" s="1436"/>
      <c r="AB569" s="1436"/>
      <c r="AC569" s="1436"/>
      <c r="AD569" s="1436"/>
      <c r="AE569" s="1436"/>
      <c r="AF569" s="1436"/>
    </row>
    <row r="570" spans="1:32">
      <c r="A570" s="1436"/>
      <c r="B570" s="1436"/>
      <c r="C570" s="1436"/>
      <c r="D570" s="1436"/>
      <c r="E570" s="1436"/>
      <c r="F570" s="1436"/>
      <c r="G570" s="1436"/>
      <c r="H570" s="1436"/>
      <c r="I570" s="1436"/>
      <c r="J570" s="1436"/>
      <c r="K570" s="1436"/>
      <c r="L570" s="1436"/>
      <c r="M570" s="1436"/>
      <c r="N570" s="1436"/>
      <c r="O570" s="1436"/>
      <c r="P570" s="1436"/>
      <c r="Q570" s="1436"/>
      <c r="R570" s="1436"/>
      <c r="S570" s="1436"/>
      <c r="T570" s="1436"/>
      <c r="U570" s="1436"/>
      <c r="V570" s="1436"/>
      <c r="W570" s="1436"/>
      <c r="X570" s="1436"/>
      <c r="Y570" s="1436"/>
      <c r="Z570" s="1436"/>
      <c r="AA570" s="1436"/>
      <c r="AB570" s="1436"/>
      <c r="AC570" s="1436"/>
      <c r="AD570" s="1436"/>
      <c r="AE570" s="1436"/>
      <c r="AF570" s="1436"/>
    </row>
    <row r="571" spans="1:32">
      <c r="A571" s="1436"/>
      <c r="B571" s="1436"/>
      <c r="C571" s="1436"/>
      <c r="D571" s="1436"/>
      <c r="E571" s="1436"/>
      <c r="F571" s="1436"/>
      <c r="G571" s="1436"/>
      <c r="H571" s="1436"/>
      <c r="I571" s="1436"/>
      <c r="J571" s="1436"/>
      <c r="K571" s="1436"/>
      <c r="L571" s="1436"/>
      <c r="M571" s="1436"/>
      <c r="N571" s="1436"/>
      <c r="O571" s="1436"/>
      <c r="P571" s="1436"/>
      <c r="Q571" s="1436"/>
      <c r="R571" s="1436"/>
      <c r="S571" s="1436"/>
      <c r="T571" s="1436"/>
      <c r="U571" s="1436"/>
      <c r="V571" s="1436"/>
      <c r="W571" s="1436"/>
      <c r="X571" s="1436"/>
      <c r="Y571" s="1436"/>
      <c r="Z571" s="1436"/>
      <c r="AA571" s="1436"/>
      <c r="AB571" s="1436"/>
      <c r="AC571" s="1436"/>
      <c r="AD571" s="1436"/>
      <c r="AE571" s="1436"/>
      <c r="AF571" s="1436"/>
    </row>
    <row r="572" spans="1:32">
      <c r="A572" s="1436"/>
      <c r="B572" s="1436"/>
      <c r="C572" s="1436"/>
      <c r="D572" s="1436"/>
      <c r="E572" s="1436"/>
      <c r="F572" s="1436"/>
      <c r="G572" s="1436"/>
      <c r="H572" s="1436"/>
      <c r="I572" s="1436"/>
      <c r="J572" s="1436"/>
      <c r="K572" s="1436"/>
      <c r="L572" s="1436"/>
      <c r="M572" s="1436"/>
      <c r="N572" s="1436"/>
      <c r="O572" s="1436"/>
      <c r="P572" s="1436"/>
      <c r="Q572" s="1436"/>
      <c r="R572" s="1436"/>
      <c r="S572" s="1436"/>
      <c r="T572" s="1436"/>
      <c r="U572" s="1436"/>
      <c r="V572" s="1436"/>
      <c r="W572" s="1436"/>
      <c r="X572" s="1436"/>
      <c r="Y572" s="1436"/>
      <c r="Z572" s="1436"/>
      <c r="AA572" s="1436"/>
      <c r="AB572" s="1436"/>
      <c r="AC572" s="1436"/>
      <c r="AD572" s="1436"/>
      <c r="AE572" s="1436"/>
      <c r="AF572" s="1436"/>
    </row>
    <row r="573" spans="1:32">
      <c r="A573" s="1436"/>
      <c r="B573" s="1436"/>
      <c r="C573" s="1436"/>
      <c r="D573" s="1436"/>
      <c r="E573" s="1436"/>
      <c r="F573" s="1436"/>
      <c r="G573" s="1436"/>
      <c r="H573" s="1436"/>
      <c r="I573" s="1436"/>
      <c r="J573" s="1436"/>
      <c r="K573" s="1436"/>
      <c r="L573" s="1436"/>
      <c r="M573" s="1436"/>
      <c r="N573" s="1436"/>
      <c r="O573" s="1436"/>
      <c r="P573" s="1436"/>
      <c r="Q573" s="1436"/>
      <c r="R573" s="1436"/>
      <c r="S573" s="1436"/>
      <c r="T573" s="1436"/>
      <c r="U573" s="1436"/>
      <c r="V573" s="1436"/>
      <c r="W573" s="1436"/>
      <c r="X573" s="1436"/>
      <c r="Y573" s="1436"/>
      <c r="Z573" s="1436"/>
      <c r="AA573" s="1436"/>
      <c r="AB573" s="1436"/>
      <c r="AC573" s="1436"/>
      <c r="AD573" s="1436"/>
      <c r="AE573" s="1436"/>
      <c r="AF573" s="1436"/>
    </row>
    <row r="574" spans="1:32">
      <c r="A574" s="1436"/>
      <c r="B574" s="1436"/>
      <c r="C574" s="1436"/>
      <c r="D574" s="1436"/>
      <c r="E574" s="1436"/>
      <c r="F574" s="1436"/>
      <c r="G574" s="1436"/>
      <c r="H574" s="1436"/>
      <c r="I574" s="1436"/>
      <c r="J574" s="1436"/>
      <c r="K574" s="1436"/>
      <c r="L574" s="1436"/>
      <c r="M574" s="1436"/>
      <c r="N574" s="1436"/>
      <c r="O574" s="1436"/>
      <c r="P574" s="1436"/>
      <c r="Q574" s="1436"/>
      <c r="R574" s="1436"/>
      <c r="S574" s="1436"/>
      <c r="T574" s="1436"/>
      <c r="U574" s="1436"/>
      <c r="V574" s="1436"/>
      <c r="W574" s="1436"/>
      <c r="X574" s="1436"/>
      <c r="Y574" s="1436"/>
      <c r="Z574" s="1436"/>
      <c r="AA574" s="1436"/>
      <c r="AB574" s="1436"/>
      <c r="AC574" s="1436"/>
      <c r="AD574" s="1436"/>
      <c r="AE574" s="1436"/>
      <c r="AF574" s="1436"/>
    </row>
    <row r="575" spans="1:32">
      <c r="A575" s="1436"/>
      <c r="B575" s="1436"/>
      <c r="C575" s="1436"/>
      <c r="D575" s="1436"/>
      <c r="E575" s="1436"/>
      <c r="F575" s="1436"/>
      <c r="G575" s="1436"/>
      <c r="H575" s="1436"/>
      <c r="I575" s="1436"/>
      <c r="J575" s="1436"/>
      <c r="K575" s="1436"/>
      <c r="L575" s="1436"/>
      <c r="M575" s="1436"/>
      <c r="N575" s="1436"/>
      <c r="O575" s="1436"/>
      <c r="P575" s="1436"/>
      <c r="Q575" s="1436"/>
      <c r="R575" s="1436"/>
      <c r="S575" s="1436"/>
      <c r="T575" s="1436"/>
      <c r="U575" s="1436"/>
      <c r="V575" s="1436"/>
      <c r="W575" s="1436"/>
      <c r="X575" s="1436"/>
      <c r="Y575" s="1436"/>
      <c r="Z575" s="1436"/>
      <c r="AA575" s="1436"/>
      <c r="AB575" s="1436"/>
      <c r="AC575" s="1436"/>
      <c r="AD575" s="1436"/>
      <c r="AE575" s="1436"/>
      <c r="AF575" s="1436"/>
    </row>
    <row r="576" spans="1:32">
      <c r="A576" s="1436"/>
      <c r="B576" s="1436"/>
      <c r="C576" s="1436"/>
      <c r="D576" s="1436"/>
      <c r="E576" s="1436"/>
      <c r="F576" s="1436"/>
      <c r="G576" s="1436"/>
      <c r="H576" s="1436"/>
      <c r="I576" s="1436"/>
      <c r="J576" s="1436"/>
      <c r="K576" s="1436"/>
      <c r="L576" s="1436"/>
      <c r="M576" s="1436"/>
      <c r="N576" s="1436"/>
      <c r="O576" s="1436"/>
      <c r="P576" s="1436"/>
      <c r="Q576" s="1436"/>
      <c r="R576" s="1436"/>
      <c r="S576" s="1436"/>
      <c r="T576" s="1436"/>
      <c r="U576" s="1436"/>
      <c r="V576" s="1436"/>
      <c r="W576" s="1436"/>
      <c r="X576" s="1436"/>
      <c r="Y576" s="1436"/>
      <c r="Z576" s="1436"/>
      <c r="AA576" s="1436"/>
      <c r="AB576" s="1436"/>
      <c r="AC576" s="1436"/>
      <c r="AD576" s="1436"/>
      <c r="AE576" s="1436"/>
      <c r="AF576" s="1436"/>
    </row>
    <row r="577" spans="1:32">
      <c r="A577" s="1436"/>
      <c r="B577" s="1436"/>
      <c r="C577" s="1436"/>
      <c r="D577" s="1436"/>
      <c r="E577" s="1436"/>
      <c r="F577" s="1436"/>
      <c r="G577" s="1436"/>
      <c r="H577" s="1436"/>
      <c r="I577" s="1436"/>
      <c r="J577" s="1436"/>
      <c r="K577" s="1436"/>
      <c r="L577" s="1436"/>
      <c r="M577" s="1436"/>
      <c r="N577" s="1436"/>
      <c r="O577" s="1436"/>
      <c r="P577" s="1436"/>
      <c r="Q577" s="1436"/>
      <c r="R577" s="1436"/>
      <c r="S577" s="1436"/>
      <c r="T577" s="1436"/>
      <c r="U577" s="1436"/>
      <c r="V577" s="1436"/>
      <c r="W577" s="1436"/>
      <c r="X577" s="1436"/>
      <c r="Y577" s="1436"/>
      <c r="Z577" s="1436"/>
      <c r="AA577" s="1436"/>
      <c r="AB577" s="1436"/>
      <c r="AC577" s="1436"/>
      <c r="AD577" s="1436"/>
      <c r="AE577" s="1436"/>
      <c r="AF577" s="1436"/>
    </row>
    <row r="578" spans="1:32">
      <c r="A578" s="1436"/>
      <c r="B578" s="1436"/>
      <c r="C578" s="1436"/>
      <c r="D578" s="1436"/>
      <c r="E578" s="1436"/>
      <c r="F578" s="1436"/>
      <c r="G578" s="1436"/>
      <c r="H578" s="1436"/>
      <c r="I578" s="1436"/>
      <c r="J578" s="1436"/>
      <c r="K578" s="1436"/>
      <c r="L578" s="1436"/>
      <c r="M578" s="1436"/>
      <c r="N578" s="1436"/>
      <c r="O578" s="1436"/>
      <c r="P578" s="1436"/>
      <c r="Q578" s="1436"/>
      <c r="R578" s="1436"/>
      <c r="S578" s="1436"/>
      <c r="T578" s="1436"/>
      <c r="U578" s="1436"/>
      <c r="V578" s="1436"/>
      <c r="W578" s="1436"/>
      <c r="X578" s="1436"/>
      <c r="Y578" s="1436"/>
      <c r="Z578" s="1436"/>
      <c r="AA578" s="1436"/>
      <c r="AB578" s="1436"/>
      <c r="AC578" s="1436"/>
      <c r="AD578" s="1436"/>
      <c r="AE578" s="1436"/>
      <c r="AF578" s="1436"/>
    </row>
    <row r="579" spans="1:32">
      <c r="A579" s="1436"/>
      <c r="B579" s="1436"/>
      <c r="C579" s="1436"/>
      <c r="D579" s="1436"/>
      <c r="E579" s="1436"/>
      <c r="F579" s="1436"/>
      <c r="G579" s="1436"/>
      <c r="H579" s="1436"/>
      <c r="I579" s="1436"/>
      <c r="J579" s="1436"/>
      <c r="K579" s="1436"/>
      <c r="L579" s="1436"/>
      <c r="M579" s="1436"/>
      <c r="N579" s="1436"/>
      <c r="O579" s="1436"/>
      <c r="P579" s="1436"/>
      <c r="Q579" s="1436"/>
      <c r="R579" s="1436"/>
      <c r="S579" s="1436"/>
      <c r="T579" s="1436"/>
      <c r="U579" s="1436"/>
      <c r="V579" s="1436"/>
      <c r="W579" s="1436"/>
      <c r="X579" s="1436"/>
      <c r="Y579" s="1436"/>
      <c r="Z579" s="1436"/>
      <c r="AA579" s="1436"/>
      <c r="AB579" s="1436"/>
      <c r="AC579" s="1436"/>
      <c r="AD579" s="1436"/>
      <c r="AE579" s="1436"/>
      <c r="AF579" s="1436"/>
    </row>
    <row r="580" spans="1:32">
      <c r="A580" s="1436"/>
      <c r="B580" s="1436"/>
      <c r="C580" s="1436"/>
      <c r="D580" s="1436"/>
      <c r="E580" s="1436"/>
      <c r="F580" s="1436"/>
      <c r="G580" s="1436"/>
      <c r="H580" s="1436"/>
      <c r="I580" s="1436"/>
      <c r="J580" s="1436"/>
      <c r="K580" s="1436"/>
      <c r="L580" s="1436"/>
      <c r="M580" s="1436"/>
      <c r="N580" s="1436"/>
      <c r="O580" s="1436"/>
      <c r="P580" s="1436"/>
      <c r="Q580" s="1436"/>
      <c r="R580" s="1436"/>
      <c r="S580" s="1436"/>
      <c r="T580" s="1436"/>
      <c r="U580" s="1436"/>
      <c r="V580" s="1436"/>
      <c r="W580" s="1436"/>
      <c r="X580" s="1436"/>
      <c r="Y580" s="1436"/>
      <c r="Z580" s="1436"/>
      <c r="AA580" s="1436"/>
      <c r="AB580" s="1436"/>
      <c r="AC580" s="1436"/>
      <c r="AD580" s="1436"/>
      <c r="AE580" s="1436"/>
      <c r="AF580" s="1436"/>
    </row>
    <row r="581" spans="1:32">
      <c r="A581" s="1436"/>
      <c r="B581" s="1436"/>
      <c r="C581" s="1436"/>
      <c r="D581" s="1436"/>
      <c r="E581" s="1436"/>
      <c r="F581" s="1436"/>
      <c r="G581" s="1436"/>
      <c r="H581" s="1436"/>
      <c r="I581" s="1436"/>
      <c r="J581" s="1436"/>
      <c r="K581" s="1436"/>
      <c r="L581" s="1436"/>
      <c r="M581" s="1436"/>
      <c r="N581" s="1436"/>
      <c r="O581" s="1436"/>
      <c r="P581" s="1436"/>
      <c r="Q581" s="1436"/>
      <c r="R581" s="1436"/>
      <c r="S581" s="1436"/>
      <c r="T581" s="1436"/>
      <c r="U581" s="1436"/>
      <c r="V581" s="1436"/>
      <c r="W581" s="1436"/>
      <c r="X581" s="1436"/>
      <c r="Y581" s="1436"/>
      <c r="Z581" s="1436"/>
      <c r="AA581" s="1436"/>
      <c r="AB581" s="1436"/>
      <c r="AC581" s="1436"/>
      <c r="AD581" s="1436"/>
      <c r="AE581" s="1436"/>
      <c r="AF581" s="1436"/>
    </row>
    <row r="582" spans="1:32">
      <c r="A582" s="1436"/>
      <c r="B582" s="1436"/>
      <c r="C582" s="1436"/>
      <c r="D582" s="1436"/>
      <c r="E582" s="1436"/>
      <c r="F582" s="1436"/>
      <c r="G582" s="1436"/>
      <c r="H582" s="1436"/>
      <c r="I582" s="1436"/>
      <c r="J582" s="1436"/>
      <c r="K582" s="1436"/>
      <c r="L582" s="1436"/>
      <c r="M582" s="1436"/>
      <c r="N582" s="1436"/>
      <c r="O582" s="1436"/>
      <c r="P582" s="1436"/>
      <c r="Q582" s="1436"/>
      <c r="R582" s="1436"/>
      <c r="S582" s="1436"/>
      <c r="T582" s="1436"/>
      <c r="U582" s="1436"/>
      <c r="V582" s="1436"/>
      <c r="W582" s="1436"/>
      <c r="X582" s="1436"/>
      <c r="Y582" s="1436"/>
      <c r="Z582" s="1436"/>
      <c r="AA582" s="1436"/>
      <c r="AB582" s="1436"/>
      <c r="AC582" s="1436"/>
      <c r="AD582" s="1436"/>
      <c r="AE582" s="1436"/>
      <c r="AF582" s="1436"/>
    </row>
    <row r="583" spans="1:32">
      <c r="A583" s="1436"/>
      <c r="B583" s="1436"/>
      <c r="C583" s="1436"/>
      <c r="D583" s="1436"/>
      <c r="E583" s="1436"/>
      <c r="F583" s="1436"/>
      <c r="G583" s="1436"/>
      <c r="H583" s="1436"/>
      <c r="I583" s="1436"/>
      <c r="J583" s="1436"/>
      <c r="K583" s="1436"/>
      <c r="L583" s="1436"/>
      <c r="M583" s="1436"/>
      <c r="N583" s="1436"/>
      <c r="O583" s="1436"/>
      <c r="P583" s="1436"/>
      <c r="Q583" s="1436"/>
      <c r="R583" s="1436"/>
      <c r="S583" s="1436"/>
      <c r="T583" s="1436"/>
      <c r="U583" s="1436"/>
      <c r="V583" s="1436"/>
      <c r="W583" s="1436"/>
      <c r="X583" s="1436"/>
      <c r="Y583" s="1436"/>
      <c r="Z583" s="1436"/>
      <c r="AA583" s="1436"/>
      <c r="AB583" s="1436"/>
      <c r="AC583" s="1436"/>
      <c r="AD583" s="1436"/>
      <c r="AE583" s="1436"/>
      <c r="AF583" s="1436"/>
    </row>
    <row r="584" spans="1:32">
      <c r="A584" s="1436"/>
      <c r="B584" s="1436"/>
      <c r="C584" s="1436"/>
      <c r="D584" s="1436"/>
      <c r="E584" s="1436"/>
      <c r="F584" s="1436"/>
      <c r="G584" s="1436"/>
      <c r="H584" s="1436"/>
      <c r="I584" s="1436"/>
      <c r="J584" s="1436"/>
      <c r="K584" s="1436"/>
      <c r="L584" s="1436"/>
      <c r="M584" s="1436"/>
      <c r="N584" s="1436"/>
      <c r="O584" s="1436"/>
      <c r="P584" s="1436"/>
      <c r="Q584" s="1436"/>
      <c r="R584" s="1436"/>
      <c r="S584" s="1436"/>
      <c r="T584" s="1436"/>
      <c r="U584" s="1436"/>
      <c r="V584" s="1436"/>
      <c r="W584" s="1436"/>
      <c r="X584" s="1436"/>
      <c r="Y584" s="1436"/>
      <c r="Z584" s="1436"/>
      <c r="AA584" s="1436"/>
      <c r="AB584" s="1436"/>
      <c r="AC584" s="1436"/>
      <c r="AD584" s="1436"/>
      <c r="AE584" s="1436"/>
      <c r="AF584" s="1436"/>
    </row>
    <row r="585" spans="1:32">
      <c r="A585" s="1436"/>
      <c r="B585" s="1436"/>
      <c r="C585" s="1436"/>
      <c r="D585" s="1436"/>
      <c r="E585" s="1436"/>
      <c r="F585" s="1436"/>
      <c r="G585" s="1436"/>
      <c r="H585" s="1436"/>
      <c r="I585" s="1436"/>
      <c r="J585" s="1436"/>
      <c r="K585" s="1436"/>
      <c r="L585" s="1436"/>
      <c r="M585" s="1436"/>
      <c r="N585" s="1436"/>
      <c r="O585" s="1436"/>
      <c r="P585" s="1436"/>
      <c r="Q585" s="1436"/>
      <c r="R585" s="1436"/>
      <c r="S585" s="1436"/>
      <c r="T585" s="1436"/>
      <c r="U585" s="1436"/>
      <c r="V585" s="1436"/>
      <c r="W585" s="1436"/>
      <c r="X585" s="1436"/>
      <c r="Y585" s="1436"/>
      <c r="Z585" s="1436"/>
      <c r="AA585" s="1436"/>
      <c r="AB585" s="1436"/>
      <c r="AC585" s="1436"/>
      <c r="AD585" s="1436"/>
      <c r="AE585" s="1436"/>
      <c r="AF585" s="1436"/>
    </row>
    <row r="586" spans="1:32">
      <c r="A586" s="1436"/>
      <c r="B586" s="1436"/>
      <c r="C586" s="1436"/>
      <c r="D586" s="1436"/>
      <c r="E586" s="1436"/>
      <c r="F586" s="1436"/>
      <c r="G586" s="1436"/>
      <c r="H586" s="1436"/>
      <c r="I586" s="1436"/>
      <c r="J586" s="1436"/>
      <c r="K586" s="1436"/>
      <c r="L586" s="1436"/>
      <c r="M586" s="1436"/>
      <c r="N586" s="1436"/>
      <c r="O586" s="1436"/>
      <c r="P586" s="1436"/>
      <c r="Q586" s="1436"/>
      <c r="R586" s="1436"/>
      <c r="S586" s="1436"/>
      <c r="T586" s="1436"/>
      <c r="U586" s="1436"/>
      <c r="V586" s="1436"/>
      <c r="W586" s="1436"/>
      <c r="X586" s="1436"/>
      <c r="Y586" s="1436"/>
      <c r="Z586" s="1436"/>
      <c r="AA586" s="1436"/>
      <c r="AB586" s="1436"/>
      <c r="AC586" s="1436"/>
      <c r="AD586" s="1436"/>
      <c r="AE586" s="1436"/>
      <c r="AF586" s="1436"/>
    </row>
    <row r="587" spans="1:32">
      <c r="A587" s="1436"/>
      <c r="B587" s="1436"/>
      <c r="C587" s="1436"/>
      <c r="D587" s="1436"/>
      <c r="E587" s="1436"/>
      <c r="F587" s="1436"/>
      <c r="G587" s="1436"/>
      <c r="H587" s="1436"/>
      <c r="I587" s="1436"/>
      <c r="J587" s="1436"/>
      <c r="K587" s="1436"/>
      <c r="L587" s="1436"/>
      <c r="M587" s="1436"/>
      <c r="N587" s="1436"/>
      <c r="O587" s="1436"/>
      <c r="P587" s="1436"/>
      <c r="Q587" s="1436"/>
      <c r="R587" s="1436"/>
      <c r="S587" s="1436"/>
      <c r="T587" s="1436"/>
      <c r="U587" s="1436"/>
      <c r="V587" s="1436"/>
      <c r="W587" s="1436"/>
      <c r="X587" s="1436"/>
      <c r="Y587" s="1436"/>
      <c r="Z587" s="1436"/>
      <c r="AA587" s="1436"/>
      <c r="AB587" s="1436"/>
      <c r="AC587" s="1436"/>
      <c r="AD587" s="1436"/>
      <c r="AE587" s="1436"/>
      <c r="AF587" s="1436"/>
    </row>
    <row r="588" spans="1:32">
      <c r="A588" s="1436"/>
      <c r="B588" s="1436"/>
      <c r="C588" s="1436"/>
      <c r="D588" s="1436"/>
      <c r="E588" s="1436"/>
      <c r="F588" s="1436"/>
      <c r="G588" s="1436"/>
      <c r="H588" s="1436"/>
      <c r="I588" s="1436"/>
      <c r="J588" s="1436"/>
      <c r="K588" s="1436"/>
      <c r="L588" s="1436"/>
      <c r="M588" s="1436"/>
      <c r="N588" s="1436"/>
      <c r="O588" s="1436"/>
      <c r="P588" s="1436"/>
      <c r="Q588" s="1436"/>
      <c r="R588" s="1436"/>
      <c r="S588" s="1436"/>
      <c r="T588" s="1436"/>
      <c r="U588" s="1436"/>
      <c r="V588" s="1436"/>
      <c r="W588" s="1436"/>
      <c r="X588" s="1436"/>
      <c r="Y588" s="1436"/>
      <c r="Z588" s="1436"/>
      <c r="AA588" s="1436"/>
      <c r="AB588" s="1436"/>
      <c r="AC588" s="1436"/>
      <c r="AD588" s="1436"/>
      <c r="AE588" s="1436"/>
      <c r="AF588" s="1436"/>
    </row>
    <row r="589" spans="1:32">
      <c r="A589" s="1436"/>
      <c r="B589" s="1436"/>
      <c r="C589" s="1436"/>
      <c r="D589" s="1436"/>
      <c r="E589" s="1436"/>
      <c r="F589" s="1436"/>
      <c r="G589" s="1436"/>
      <c r="H589" s="1436"/>
      <c r="I589" s="1436"/>
      <c r="J589" s="1436"/>
      <c r="K589" s="1436"/>
      <c r="L589" s="1436"/>
      <c r="M589" s="1436"/>
      <c r="N589" s="1436"/>
      <c r="O589" s="1436"/>
      <c r="P589" s="1436"/>
      <c r="Q589" s="1436"/>
      <c r="R589" s="1436"/>
      <c r="S589" s="1436"/>
      <c r="T589" s="1436"/>
      <c r="U589" s="1436"/>
      <c r="V589" s="1436"/>
      <c r="W589" s="1436"/>
      <c r="X589" s="1436"/>
      <c r="Y589" s="1436"/>
      <c r="Z589" s="1436"/>
      <c r="AA589" s="1436"/>
      <c r="AB589" s="1436"/>
      <c r="AC589" s="1436"/>
      <c r="AD589" s="1436"/>
      <c r="AE589" s="1436"/>
      <c r="AF589" s="1436"/>
    </row>
    <row r="590" spans="1:32">
      <c r="A590" s="1436"/>
      <c r="B590" s="1436"/>
      <c r="C590" s="1436"/>
      <c r="D590" s="1436"/>
      <c r="E590" s="1436"/>
      <c r="F590" s="1436"/>
      <c r="G590" s="1436"/>
      <c r="H590" s="1436"/>
      <c r="I590" s="1436"/>
      <c r="J590" s="1436"/>
      <c r="K590" s="1436"/>
      <c r="L590" s="1436"/>
      <c r="M590" s="1436"/>
      <c r="N590" s="1436"/>
      <c r="O590" s="1436"/>
      <c r="P590" s="1436"/>
      <c r="Q590" s="1436"/>
      <c r="R590" s="1436"/>
      <c r="S590" s="1436"/>
      <c r="T590" s="1436"/>
      <c r="U590" s="1436"/>
      <c r="V590" s="1436"/>
      <c r="W590" s="1436"/>
      <c r="X590" s="1436"/>
      <c r="Y590" s="1436"/>
      <c r="Z590" s="1436"/>
      <c r="AA590" s="1436"/>
      <c r="AB590" s="1436"/>
      <c r="AC590" s="1436"/>
      <c r="AD590" s="1436"/>
      <c r="AE590" s="1436"/>
      <c r="AF590" s="1436"/>
    </row>
    <row r="591" spans="1:32">
      <c r="A591" s="1436"/>
      <c r="B591" s="1436"/>
      <c r="C591" s="1436"/>
      <c r="D591" s="1436"/>
      <c r="E591" s="1436"/>
      <c r="F591" s="1436"/>
      <c r="G591" s="1436"/>
      <c r="H591" s="1436"/>
      <c r="I591" s="1436"/>
      <c r="J591" s="1436"/>
      <c r="K591" s="1436"/>
      <c r="L591" s="1436"/>
      <c r="M591" s="1436"/>
      <c r="N591" s="1436"/>
      <c r="O591" s="1436"/>
      <c r="P591" s="1436"/>
      <c r="Q591" s="1436"/>
      <c r="R591" s="1436"/>
      <c r="S591" s="1436"/>
      <c r="T591" s="1436"/>
      <c r="U591" s="1436"/>
      <c r="V591" s="1436"/>
      <c r="W591" s="1436"/>
      <c r="X591" s="1436"/>
      <c r="Y591" s="1436"/>
      <c r="Z591" s="1436"/>
      <c r="AA591" s="1436"/>
      <c r="AB591" s="1436"/>
      <c r="AC591" s="1436"/>
      <c r="AD591" s="1436"/>
      <c r="AE591" s="1436"/>
      <c r="AF591" s="1436"/>
    </row>
    <row r="592" spans="1:32">
      <c r="A592" s="1436"/>
      <c r="B592" s="1436"/>
      <c r="C592" s="1436"/>
      <c r="D592" s="1436"/>
      <c r="E592" s="1436"/>
      <c r="F592" s="1436"/>
      <c r="G592" s="1436"/>
      <c r="H592" s="1436"/>
      <c r="I592" s="1436"/>
      <c r="J592" s="1436"/>
      <c r="K592" s="1436"/>
      <c r="L592" s="1436"/>
      <c r="M592" s="1436"/>
      <c r="N592" s="1436"/>
      <c r="O592" s="1436"/>
      <c r="P592" s="1436"/>
      <c r="Q592" s="1436"/>
      <c r="R592" s="1436"/>
      <c r="S592" s="1436"/>
      <c r="T592" s="1436"/>
      <c r="U592" s="1436"/>
      <c r="V592" s="1436"/>
      <c r="W592" s="1436"/>
      <c r="X592" s="1436"/>
      <c r="Y592" s="1436"/>
      <c r="Z592" s="1436"/>
      <c r="AA592" s="1436"/>
      <c r="AB592" s="1436"/>
      <c r="AC592" s="1436"/>
      <c r="AD592" s="1436"/>
      <c r="AE592" s="1436"/>
      <c r="AF592" s="1436"/>
    </row>
    <row r="593" spans="1:32">
      <c r="A593" s="1436"/>
      <c r="B593" s="1436"/>
      <c r="C593" s="1436"/>
      <c r="D593" s="1436"/>
      <c r="E593" s="1436"/>
      <c r="F593" s="1436"/>
      <c r="G593" s="1436"/>
      <c r="H593" s="1436"/>
      <c r="I593" s="1436"/>
      <c r="J593" s="1436"/>
      <c r="K593" s="1436"/>
      <c r="L593" s="1436"/>
      <c r="M593" s="1436"/>
      <c r="N593" s="1436"/>
      <c r="O593" s="1436"/>
      <c r="P593" s="1436"/>
      <c r="Q593" s="1436"/>
      <c r="R593" s="1436"/>
      <c r="S593" s="1436"/>
      <c r="T593" s="1436"/>
      <c r="U593" s="1436"/>
      <c r="V593" s="1436"/>
      <c r="W593" s="1436"/>
      <c r="X593" s="1436"/>
      <c r="Y593" s="1436"/>
      <c r="Z593" s="1436"/>
      <c r="AA593" s="1436"/>
      <c r="AB593" s="1436"/>
      <c r="AC593" s="1436"/>
      <c r="AD593" s="1436"/>
      <c r="AE593" s="1436"/>
      <c r="AF593" s="1436"/>
    </row>
    <row r="594" spans="1:32">
      <c r="A594" s="1436"/>
      <c r="B594" s="1436"/>
      <c r="C594" s="1436"/>
      <c r="D594" s="1436"/>
      <c r="E594" s="1436"/>
      <c r="F594" s="1436"/>
      <c r="G594" s="1436"/>
      <c r="H594" s="1436"/>
      <c r="I594" s="1436"/>
      <c r="J594" s="1436"/>
      <c r="K594" s="1436"/>
      <c r="L594" s="1436"/>
      <c r="M594" s="1436"/>
      <c r="N594" s="1436"/>
      <c r="O594" s="1436"/>
      <c r="P594" s="1436"/>
      <c r="Q594" s="1436"/>
      <c r="R594" s="1436"/>
      <c r="S594" s="1436"/>
      <c r="T594" s="1436"/>
      <c r="U594" s="1436"/>
      <c r="V594" s="1436"/>
      <c r="W594" s="1436"/>
      <c r="X594" s="1436"/>
      <c r="Y594" s="1436"/>
      <c r="Z594" s="1436"/>
      <c r="AA594" s="1436"/>
      <c r="AB594" s="1436"/>
      <c r="AC594" s="1436"/>
      <c r="AD594" s="1436"/>
      <c r="AE594" s="1436"/>
      <c r="AF594" s="1436"/>
    </row>
    <row r="595" spans="1:32">
      <c r="A595" s="1436"/>
      <c r="B595" s="1436"/>
      <c r="C595" s="1436"/>
      <c r="D595" s="1436"/>
      <c r="E595" s="1436"/>
      <c r="F595" s="1436"/>
      <c r="G595" s="1436"/>
      <c r="H595" s="1436"/>
      <c r="I595" s="1436"/>
      <c r="J595" s="1436"/>
      <c r="K595" s="1436"/>
      <c r="L595" s="1436"/>
      <c r="M595" s="1436"/>
      <c r="N595" s="1436"/>
      <c r="O595" s="1436"/>
      <c r="P595" s="1436"/>
      <c r="Q595" s="1436"/>
      <c r="R595" s="1436"/>
      <c r="S595" s="1436"/>
      <c r="T595" s="1436"/>
      <c r="U595" s="1436"/>
      <c r="V595" s="1436"/>
      <c r="W595" s="1436"/>
      <c r="X595" s="1436"/>
      <c r="Y595" s="1436"/>
      <c r="Z595" s="1436"/>
      <c r="AA595" s="1436"/>
      <c r="AB595" s="1436"/>
      <c r="AC595" s="1436"/>
      <c r="AD595" s="1436"/>
      <c r="AE595" s="1436"/>
      <c r="AF595" s="1436"/>
    </row>
    <row r="596" spans="1:32">
      <c r="A596" s="1436"/>
      <c r="B596" s="1436"/>
      <c r="C596" s="1436"/>
      <c r="D596" s="1436"/>
      <c r="E596" s="1436"/>
      <c r="F596" s="1436"/>
      <c r="G596" s="1436"/>
      <c r="H596" s="1436"/>
      <c r="I596" s="1436"/>
      <c r="J596" s="1436"/>
      <c r="K596" s="1436"/>
      <c r="L596" s="1436"/>
      <c r="M596" s="1436"/>
      <c r="N596" s="1436"/>
      <c r="O596" s="1436"/>
      <c r="P596" s="1436"/>
      <c r="Q596" s="1436"/>
      <c r="R596" s="1436"/>
      <c r="S596" s="1436"/>
      <c r="T596" s="1436"/>
      <c r="U596" s="1436"/>
      <c r="V596" s="1436"/>
      <c r="W596" s="1436"/>
      <c r="X596" s="1436"/>
      <c r="Y596" s="1436"/>
      <c r="Z596" s="1436"/>
      <c r="AA596" s="1436"/>
      <c r="AB596" s="1436"/>
      <c r="AC596" s="1436"/>
      <c r="AD596" s="1436"/>
      <c r="AE596" s="1436"/>
      <c r="AF596" s="1436"/>
    </row>
    <row r="597" spans="1:32">
      <c r="A597" s="1436"/>
      <c r="B597" s="1436"/>
      <c r="C597" s="1436"/>
      <c r="D597" s="1436"/>
      <c r="E597" s="1436"/>
      <c r="F597" s="1436"/>
      <c r="G597" s="1436"/>
      <c r="H597" s="1436"/>
      <c r="I597" s="1436"/>
      <c r="J597" s="1436"/>
      <c r="K597" s="1436"/>
      <c r="L597" s="1436"/>
      <c r="M597" s="1436"/>
      <c r="N597" s="1436"/>
      <c r="O597" s="1436"/>
      <c r="P597" s="1436"/>
      <c r="Q597" s="1436"/>
      <c r="R597" s="1436"/>
      <c r="S597" s="1436"/>
      <c r="T597" s="1436"/>
      <c r="U597" s="1436"/>
      <c r="V597" s="1436"/>
      <c r="W597" s="1436"/>
      <c r="X597" s="1436"/>
      <c r="Y597" s="1436"/>
      <c r="Z597" s="1436"/>
      <c r="AA597" s="1436"/>
      <c r="AB597" s="1436"/>
      <c r="AC597" s="1436"/>
      <c r="AD597" s="1436"/>
      <c r="AE597" s="1436"/>
      <c r="AF597" s="1436"/>
    </row>
    <row r="598" spans="1:32">
      <c r="A598" s="1436"/>
      <c r="B598" s="1436"/>
      <c r="C598" s="1436"/>
      <c r="D598" s="1436"/>
      <c r="E598" s="1436"/>
      <c r="F598" s="1436"/>
      <c r="G598" s="1436"/>
      <c r="H598" s="1436"/>
      <c r="I598" s="1436"/>
      <c r="J598" s="1436"/>
      <c r="K598" s="1436"/>
      <c r="L598" s="1436"/>
      <c r="M598" s="1436"/>
      <c r="N598" s="1436"/>
      <c r="O598" s="1436"/>
      <c r="P598" s="1436"/>
      <c r="Q598" s="1436"/>
      <c r="R598" s="1436"/>
      <c r="S598" s="1436"/>
      <c r="T598" s="1436"/>
      <c r="U598" s="1436"/>
      <c r="V598" s="1436"/>
      <c r="W598" s="1436"/>
      <c r="X598" s="1436"/>
      <c r="Y598" s="1436"/>
      <c r="Z598" s="1436"/>
      <c r="AA598" s="1436"/>
      <c r="AB598" s="1436"/>
      <c r="AC598" s="1436"/>
      <c r="AD598" s="1436"/>
      <c r="AE598" s="1436"/>
      <c r="AF598" s="1436"/>
    </row>
    <row r="599" spans="1:32">
      <c r="A599" s="1436"/>
      <c r="B599" s="1436"/>
      <c r="C599" s="1436"/>
      <c r="D599" s="1436"/>
      <c r="E599" s="1436"/>
      <c r="F599" s="1436"/>
      <c r="G599" s="1436"/>
      <c r="H599" s="1436"/>
      <c r="I599" s="1436"/>
      <c r="J599" s="1436"/>
      <c r="K599" s="1436"/>
      <c r="L599" s="1436"/>
      <c r="M599" s="1436"/>
      <c r="N599" s="1436"/>
      <c r="O599" s="1436"/>
      <c r="P599" s="1436"/>
      <c r="Q599" s="1436"/>
      <c r="R599" s="1436"/>
      <c r="S599" s="1436"/>
      <c r="T599" s="1436"/>
      <c r="U599" s="1436"/>
      <c r="V599" s="1436"/>
      <c r="W599" s="1436"/>
      <c r="X599" s="1436"/>
      <c r="Y599" s="1436"/>
      <c r="Z599" s="1436"/>
      <c r="AA599" s="1436"/>
      <c r="AB599" s="1436"/>
      <c r="AC599" s="1436"/>
      <c r="AD599" s="1436"/>
      <c r="AE599" s="1436"/>
      <c r="AF599" s="1436"/>
    </row>
    <row r="600" spans="1:32">
      <c r="A600" s="1436"/>
      <c r="B600" s="1436"/>
      <c r="C600" s="1436"/>
      <c r="D600" s="1436"/>
      <c r="E600" s="1436"/>
      <c r="F600" s="1436"/>
      <c r="G600" s="1436"/>
      <c r="H600" s="1436"/>
      <c r="I600" s="1436"/>
      <c r="J600" s="1436"/>
      <c r="K600" s="1436"/>
      <c r="L600" s="1436"/>
      <c r="M600" s="1436"/>
      <c r="N600" s="1436"/>
      <c r="O600" s="1436"/>
      <c r="P600" s="1436"/>
      <c r="Q600" s="1436"/>
      <c r="R600" s="1436"/>
      <c r="S600" s="1436"/>
      <c r="T600" s="1436"/>
      <c r="U600" s="1436"/>
      <c r="V600" s="1436"/>
      <c r="W600" s="1436"/>
      <c r="X600" s="1436"/>
      <c r="Y600" s="1436"/>
      <c r="Z600" s="1436"/>
      <c r="AA600" s="1436"/>
      <c r="AB600" s="1436"/>
      <c r="AC600" s="1436"/>
      <c r="AD600" s="1436"/>
      <c r="AE600" s="1436"/>
      <c r="AF600" s="1436"/>
    </row>
    <row r="601" spans="1:32">
      <c r="A601" s="1436"/>
      <c r="B601" s="1436"/>
      <c r="C601" s="1436"/>
      <c r="D601" s="1436"/>
      <c r="E601" s="1436"/>
      <c r="F601" s="1436"/>
      <c r="G601" s="1436"/>
      <c r="H601" s="1436"/>
      <c r="I601" s="1436"/>
      <c r="J601" s="1436"/>
      <c r="K601" s="1436"/>
      <c r="L601" s="1436"/>
      <c r="M601" s="1436"/>
      <c r="N601" s="1436"/>
      <c r="O601" s="1436"/>
      <c r="P601" s="1436"/>
      <c r="Q601" s="1436"/>
      <c r="R601" s="1436"/>
      <c r="S601" s="1436"/>
      <c r="T601" s="1436"/>
      <c r="U601" s="1436"/>
      <c r="V601" s="1436"/>
      <c r="W601" s="1436"/>
      <c r="X601" s="1436"/>
      <c r="Y601" s="1436"/>
      <c r="Z601" s="1436"/>
      <c r="AA601" s="1436"/>
      <c r="AB601" s="1436"/>
      <c r="AC601" s="1436"/>
      <c r="AD601" s="1436"/>
      <c r="AE601" s="1436"/>
      <c r="AF601" s="1436"/>
    </row>
    <row r="602" spans="1:32">
      <c r="A602" s="1436"/>
      <c r="B602" s="1436"/>
      <c r="C602" s="1436"/>
      <c r="D602" s="1436"/>
      <c r="E602" s="1436"/>
      <c r="F602" s="1436"/>
      <c r="G602" s="1436"/>
      <c r="H602" s="1436"/>
      <c r="I602" s="1436"/>
      <c r="J602" s="1436"/>
      <c r="K602" s="1436"/>
      <c r="L602" s="1436"/>
      <c r="M602" s="1436"/>
      <c r="N602" s="1436"/>
      <c r="O602" s="1436"/>
      <c r="P602" s="1436"/>
      <c r="Q602" s="1436"/>
      <c r="R602" s="1436"/>
      <c r="S602" s="1436"/>
      <c r="T602" s="1436"/>
      <c r="U602" s="1436"/>
      <c r="V602" s="1436"/>
      <c r="W602" s="1436"/>
      <c r="X602" s="1436"/>
      <c r="Y602" s="1436"/>
      <c r="Z602" s="1436"/>
      <c r="AA602" s="1436"/>
      <c r="AB602" s="1436"/>
      <c r="AC602" s="1436"/>
      <c r="AD602" s="1436"/>
      <c r="AE602" s="1436"/>
      <c r="AF602" s="1436"/>
    </row>
    <row r="603" spans="1:32">
      <c r="A603" s="1436"/>
      <c r="B603" s="1436"/>
      <c r="C603" s="1436"/>
      <c r="D603" s="1436"/>
      <c r="E603" s="1436"/>
      <c r="F603" s="1436"/>
      <c r="G603" s="1436"/>
      <c r="H603" s="1436"/>
      <c r="I603" s="1436"/>
      <c r="J603" s="1436"/>
      <c r="K603" s="1436"/>
      <c r="L603" s="1436"/>
      <c r="M603" s="1436"/>
      <c r="N603" s="1436"/>
      <c r="O603" s="1436"/>
      <c r="P603" s="1436"/>
      <c r="Q603" s="1436"/>
      <c r="R603" s="1436"/>
      <c r="S603" s="1436"/>
      <c r="T603" s="1436"/>
      <c r="U603" s="1436"/>
      <c r="V603" s="1436"/>
      <c r="W603" s="1436"/>
      <c r="X603" s="1436"/>
      <c r="Y603" s="1436"/>
      <c r="Z603" s="1436"/>
      <c r="AA603" s="1436"/>
      <c r="AB603" s="1436"/>
      <c r="AC603" s="1436"/>
      <c r="AD603" s="1436"/>
      <c r="AE603" s="1436"/>
      <c r="AF603" s="1436"/>
    </row>
    <row r="604" spans="1:32">
      <c r="A604" s="1436"/>
      <c r="B604" s="1436"/>
      <c r="C604" s="1436"/>
      <c r="D604" s="1436"/>
      <c r="E604" s="1436"/>
      <c r="F604" s="1436"/>
      <c r="G604" s="1436"/>
      <c r="H604" s="1436"/>
      <c r="I604" s="1436"/>
      <c r="J604" s="1436"/>
      <c r="K604" s="1436"/>
      <c r="L604" s="1436"/>
      <c r="M604" s="1436"/>
      <c r="N604" s="1436"/>
      <c r="O604" s="1436"/>
      <c r="P604" s="1436"/>
      <c r="Q604" s="1436"/>
      <c r="R604" s="1436"/>
      <c r="S604" s="1436"/>
      <c r="T604" s="1436"/>
      <c r="U604" s="1436"/>
      <c r="V604" s="1436"/>
      <c r="W604" s="1436"/>
      <c r="X604" s="1436"/>
      <c r="Y604" s="1436"/>
      <c r="Z604" s="1436"/>
      <c r="AA604" s="1436"/>
      <c r="AB604" s="1436"/>
      <c r="AC604" s="1436"/>
      <c r="AD604" s="1436"/>
      <c r="AE604" s="1436"/>
      <c r="AF604" s="1436"/>
    </row>
    <row r="605" spans="1:32">
      <c r="A605" s="1436"/>
      <c r="B605" s="1436"/>
      <c r="C605" s="1436"/>
      <c r="D605" s="1436"/>
      <c r="E605" s="1436"/>
      <c r="F605" s="1436"/>
      <c r="G605" s="1436"/>
      <c r="H605" s="1436"/>
      <c r="I605" s="1436"/>
      <c r="J605" s="1436"/>
      <c r="K605" s="1436"/>
      <c r="L605" s="1436"/>
      <c r="M605" s="1436"/>
      <c r="N605" s="1436"/>
      <c r="O605" s="1436"/>
      <c r="P605" s="1436"/>
      <c r="Q605" s="1436"/>
      <c r="R605" s="1436"/>
      <c r="S605" s="1436"/>
      <c r="T605" s="1436"/>
      <c r="U605" s="1436"/>
      <c r="V605" s="1436"/>
      <c r="W605" s="1436"/>
      <c r="X605" s="1436"/>
      <c r="Y605" s="1436"/>
      <c r="Z605" s="1436"/>
      <c r="AA605" s="1436"/>
      <c r="AB605" s="1436"/>
      <c r="AC605" s="1436"/>
      <c r="AD605" s="1436"/>
      <c r="AE605" s="1436"/>
      <c r="AF605" s="1436"/>
    </row>
    <row r="606" spans="1:32">
      <c r="A606" s="1436"/>
      <c r="B606" s="1436"/>
      <c r="C606" s="1436"/>
      <c r="D606" s="1436"/>
      <c r="E606" s="1436"/>
      <c r="F606" s="1436"/>
      <c r="G606" s="1436"/>
      <c r="H606" s="1436"/>
      <c r="I606" s="1436"/>
      <c r="J606" s="1436"/>
      <c r="K606" s="1436"/>
      <c r="L606" s="1436"/>
      <c r="M606" s="1436"/>
      <c r="N606" s="1436"/>
      <c r="O606" s="1436"/>
      <c r="P606" s="1436"/>
      <c r="Q606" s="1436"/>
      <c r="R606" s="1436"/>
      <c r="S606" s="1436"/>
      <c r="T606" s="1436"/>
      <c r="U606" s="1436"/>
      <c r="V606" s="1436"/>
      <c r="W606" s="1436"/>
      <c r="X606" s="1436"/>
      <c r="Y606" s="1436"/>
      <c r="Z606" s="1436"/>
      <c r="AA606" s="1436"/>
      <c r="AB606" s="1436"/>
      <c r="AC606" s="1436"/>
      <c r="AD606" s="1436"/>
      <c r="AE606" s="1436"/>
      <c r="AF606" s="1436"/>
    </row>
    <row r="607" spans="1:32">
      <c r="A607" s="1436"/>
      <c r="B607" s="1436"/>
      <c r="C607" s="1436"/>
      <c r="D607" s="1436"/>
      <c r="E607" s="1436"/>
      <c r="F607" s="1436"/>
      <c r="G607" s="1436"/>
      <c r="H607" s="1436"/>
      <c r="I607" s="1436"/>
      <c r="J607" s="1436"/>
      <c r="K607" s="1436"/>
      <c r="L607" s="1436"/>
      <c r="M607" s="1436"/>
      <c r="N607" s="1436"/>
      <c r="O607" s="1436"/>
      <c r="P607" s="1436"/>
      <c r="Q607" s="1436"/>
      <c r="R607" s="1436"/>
      <c r="S607" s="1436"/>
      <c r="T607" s="1436"/>
      <c r="U607" s="1436"/>
      <c r="V607" s="1436"/>
      <c r="W607" s="1436"/>
      <c r="X607" s="1436"/>
      <c r="Y607" s="1436"/>
      <c r="Z607" s="1436"/>
      <c r="AA607" s="1436"/>
      <c r="AB607" s="1436"/>
      <c r="AC607" s="1436"/>
      <c r="AD607" s="1436"/>
      <c r="AE607" s="1436"/>
      <c r="AF607" s="1436"/>
    </row>
    <row r="608" spans="1:32">
      <c r="A608" s="1436"/>
      <c r="B608" s="1436"/>
      <c r="C608" s="1436"/>
      <c r="D608" s="1436"/>
      <c r="E608" s="1436"/>
      <c r="F608" s="1436"/>
      <c r="G608" s="1436"/>
      <c r="H608" s="1436"/>
      <c r="I608" s="1436"/>
      <c r="J608" s="1436"/>
      <c r="K608" s="1436"/>
      <c r="L608" s="1436"/>
      <c r="M608" s="1436"/>
      <c r="N608" s="1436"/>
      <c r="O608" s="1436"/>
      <c r="P608" s="1436"/>
      <c r="Q608" s="1436"/>
      <c r="R608" s="1436"/>
      <c r="S608" s="1436"/>
      <c r="T608" s="1436"/>
      <c r="U608" s="1436"/>
      <c r="V608" s="1436"/>
      <c r="W608" s="1436"/>
      <c r="X608" s="1436"/>
      <c r="Y608" s="1436"/>
      <c r="Z608" s="1436"/>
      <c r="AA608" s="1436"/>
      <c r="AB608" s="1436"/>
      <c r="AC608" s="1436"/>
      <c r="AD608" s="1436"/>
      <c r="AE608" s="1436"/>
      <c r="AF608" s="1436"/>
    </row>
    <row r="609" spans="1:32">
      <c r="A609" s="1436"/>
      <c r="B609" s="1436"/>
      <c r="C609" s="1436"/>
      <c r="D609" s="1436"/>
      <c r="E609" s="1436"/>
      <c r="F609" s="1436"/>
      <c r="G609" s="1436"/>
      <c r="H609" s="1436"/>
      <c r="I609" s="1436"/>
      <c r="J609" s="1436"/>
      <c r="K609" s="1436"/>
      <c r="L609" s="1436"/>
      <c r="M609" s="1436"/>
      <c r="N609" s="1436"/>
      <c r="O609" s="1436"/>
      <c r="P609" s="1436"/>
      <c r="Q609" s="1436"/>
      <c r="R609" s="1436"/>
      <c r="S609" s="1436"/>
      <c r="T609" s="1436"/>
      <c r="U609" s="1436"/>
      <c r="V609" s="1436"/>
      <c r="W609" s="1436"/>
      <c r="X609" s="1436"/>
      <c r="Y609" s="1436"/>
      <c r="Z609" s="1436"/>
      <c r="AA609" s="1436"/>
      <c r="AB609" s="1436"/>
      <c r="AC609" s="1436"/>
      <c r="AD609" s="1436"/>
      <c r="AE609" s="1436"/>
      <c r="AF609" s="1436"/>
    </row>
    <row r="610" spans="1:32">
      <c r="A610" s="1436"/>
      <c r="B610" s="1436"/>
      <c r="C610" s="1436"/>
      <c r="D610" s="1436"/>
      <c r="E610" s="1436"/>
      <c r="F610" s="1436"/>
      <c r="G610" s="1436"/>
      <c r="H610" s="1436"/>
      <c r="I610" s="1436"/>
      <c r="J610" s="1436"/>
      <c r="K610" s="1436"/>
      <c r="L610" s="1436"/>
      <c r="M610" s="1436"/>
      <c r="N610" s="1436"/>
      <c r="O610" s="1436"/>
      <c r="P610" s="1436"/>
      <c r="Q610" s="1436"/>
      <c r="R610" s="1436"/>
      <c r="S610" s="1436"/>
      <c r="T610" s="1436"/>
      <c r="U610" s="1436"/>
      <c r="V610" s="1436"/>
      <c r="W610" s="1436"/>
      <c r="X610" s="1436"/>
      <c r="Y610" s="1436"/>
      <c r="Z610" s="1436"/>
      <c r="AA610" s="1436"/>
      <c r="AB610" s="1436"/>
      <c r="AC610" s="1436"/>
      <c r="AD610" s="1436"/>
      <c r="AE610" s="1436"/>
      <c r="AF610" s="1436"/>
    </row>
    <row r="611" spans="1:32">
      <c r="A611" s="1436"/>
      <c r="B611" s="1436"/>
      <c r="C611" s="1436"/>
      <c r="D611" s="1436"/>
      <c r="E611" s="1436"/>
      <c r="F611" s="1436"/>
      <c r="G611" s="1436"/>
      <c r="H611" s="1436"/>
      <c r="I611" s="1436"/>
      <c r="J611" s="1436"/>
      <c r="K611" s="1436"/>
      <c r="L611" s="1436"/>
      <c r="M611" s="1436"/>
      <c r="N611" s="1436"/>
      <c r="O611" s="1436"/>
      <c r="P611" s="1436"/>
      <c r="Q611" s="1436"/>
      <c r="R611" s="1436"/>
      <c r="S611" s="1436"/>
      <c r="T611" s="1436"/>
      <c r="U611" s="1436"/>
      <c r="V611" s="1436"/>
      <c r="W611" s="1436"/>
      <c r="X611" s="1436"/>
      <c r="Y611" s="1436"/>
      <c r="Z611" s="1436"/>
      <c r="AA611" s="1436"/>
      <c r="AB611" s="1436"/>
      <c r="AC611" s="1436"/>
      <c r="AD611" s="1436"/>
      <c r="AE611" s="1436"/>
      <c r="AF611" s="1436"/>
    </row>
    <row r="612" spans="1:32">
      <c r="A612" s="1436"/>
      <c r="B612" s="1436"/>
      <c r="C612" s="1436"/>
      <c r="D612" s="1436"/>
      <c r="E612" s="1436"/>
      <c r="F612" s="1436"/>
      <c r="G612" s="1436"/>
      <c r="H612" s="1436"/>
      <c r="I612" s="1436"/>
      <c r="J612" s="1436"/>
      <c r="K612" s="1436"/>
      <c r="L612" s="1436"/>
      <c r="M612" s="1436"/>
      <c r="N612" s="1436"/>
      <c r="O612" s="1436"/>
      <c r="P612" s="1436"/>
      <c r="Q612" s="1436"/>
      <c r="R612" s="1436"/>
      <c r="S612" s="1436"/>
      <c r="T612" s="1436"/>
      <c r="U612" s="1436"/>
      <c r="V612" s="1436"/>
      <c r="W612" s="1436"/>
      <c r="X612" s="1436"/>
      <c r="Y612" s="1436"/>
      <c r="Z612" s="1436"/>
      <c r="AA612" s="1436"/>
      <c r="AB612" s="1436"/>
      <c r="AC612" s="1436"/>
      <c r="AD612" s="1436"/>
      <c r="AE612" s="1436"/>
      <c r="AF612" s="1436"/>
    </row>
    <row r="613" spans="1:32">
      <c r="A613" s="1436"/>
      <c r="B613" s="1436"/>
      <c r="C613" s="1436"/>
      <c r="D613" s="1436"/>
      <c r="E613" s="1436"/>
      <c r="F613" s="1436"/>
      <c r="G613" s="1436"/>
      <c r="H613" s="1436"/>
      <c r="I613" s="1436"/>
      <c r="J613" s="1436"/>
      <c r="K613" s="1436"/>
      <c r="L613" s="1436"/>
      <c r="M613" s="1436"/>
      <c r="N613" s="1436"/>
      <c r="O613" s="1436"/>
      <c r="P613" s="1436"/>
      <c r="Q613" s="1436"/>
      <c r="R613" s="1436"/>
      <c r="S613" s="1436"/>
      <c r="T613" s="1436"/>
      <c r="U613" s="1436"/>
      <c r="V613" s="1436"/>
      <c r="W613" s="1436"/>
      <c r="X613" s="1436"/>
      <c r="Y613" s="1436"/>
      <c r="Z613" s="1436"/>
      <c r="AA613" s="1436"/>
      <c r="AB613" s="1436"/>
      <c r="AC613" s="1436"/>
      <c r="AD613" s="1436"/>
      <c r="AE613" s="1436"/>
      <c r="AF613" s="1436"/>
    </row>
    <row r="614" spans="1:32">
      <c r="A614" s="1436"/>
      <c r="B614" s="1436"/>
      <c r="C614" s="1436"/>
      <c r="D614" s="1436"/>
      <c r="E614" s="1436"/>
      <c r="F614" s="1436"/>
      <c r="G614" s="1436"/>
      <c r="H614" s="1436"/>
      <c r="I614" s="1436"/>
      <c r="J614" s="1436"/>
      <c r="K614" s="1436"/>
      <c r="L614" s="1436"/>
      <c r="M614" s="1436"/>
      <c r="N614" s="1436"/>
      <c r="O614" s="1436"/>
      <c r="P614" s="1436"/>
      <c r="Q614" s="1436"/>
      <c r="R614" s="1436"/>
      <c r="S614" s="1436"/>
      <c r="T614" s="1436"/>
      <c r="U614" s="1436"/>
      <c r="V614" s="1436"/>
      <c r="W614" s="1436"/>
      <c r="X614" s="1436"/>
      <c r="Y614" s="1436"/>
      <c r="Z614" s="1436"/>
      <c r="AA614" s="1436"/>
      <c r="AB614" s="1436"/>
      <c r="AC614" s="1436"/>
      <c r="AD614" s="1436"/>
      <c r="AE614" s="1436"/>
      <c r="AF614" s="1436"/>
    </row>
    <row r="615" spans="1:32">
      <c r="A615" s="1436"/>
      <c r="B615" s="1436"/>
      <c r="C615" s="1436"/>
      <c r="D615" s="1436"/>
      <c r="E615" s="1436"/>
      <c r="F615" s="1436"/>
      <c r="G615" s="1436"/>
      <c r="H615" s="1436"/>
      <c r="I615" s="1436"/>
      <c r="J615" s="1436"/>
      <c r="K615" s="1436"/>
      <c r="L615" s="1436"/>
      <c r="M615" s="1436"/>
      <c r="N615" s="1436"/>
      <c r="O615" s="1436"/>
      <c r="P615" s="1436"/>
      <c r="Q615" s="1436"/>
      <c r="R615" s="1436"/>
      <c r="S615" s="1436"/>
      <c r="T615" s="1436"/>
      <c r="U615" s="1436"/>
      <c r="V615" s="1436"/>
      <c r="W615" s="1436"/>
      <c r="X615" s="1436"/>
      <c r="Y615" s="1436"/>
      <c r="Z615" s="1436"/>
      <c r="AA615" s="1436"/>
      <c r="AB615" s="1436"/>
      <c r="AC615" s="1436"/>
      <c r="AD615" s="1436"/>
      <c r="AE615" s="1436"/>
      <c r="AF615" s="1436"/>
    </row>
    <row r="616" spans="1:32">
      <c r="A616" s="1436"/>
      <c r="B616" s="1436"/>
      <c r="C616" s="1436"/>
      <c r="D616" s="1436"/>
      <c r="E616" s="1436"/>
      <c r="F616" s="1436"/>
      <c r="G616" s="1436"/>
      <c r="H616" s="1436"/>
      <c r="I616" s="1436"/>
      <c r="J616" s="1436"/>
      <c r="K616" s="1436"/>
      <c r="L616" s="1436"/>
      <c r="M616" s="1436"/>
      <c r="N616" s="1436"/>
      <c r="O616" s="1436"/>
      <c r="P616" s="1436"/>
      <c r="Q616" s="1436"/>
      <c r="R616" s="1436"/>
      <c r="S616" s="1436"/>
      <c r="T616" s="1436"/>
      <c r="U616" s="1436"/>
      <c r="V616" s="1436"/>
      <c r="W616" s="1436"/>
      <c r="X616" s="1436"/>
      <c r="Y616" s="1436"/>
      <c r="Z616" s="1436"/>
      <c r="AA616" s="1436"/>
      <c r="AB616" s="1436"/>
      <c r="AC616" s="1436"/>
      <c r="AD616" s="1436"/>
      <c r="AE616" s="1436"/>
      <c r="AF616" s="1436"/>
    </row>
    <row r="617" spans="1:32">
      <c r="A617" s="1436"/>
      <c r="B617" s="1436"/>
      <c r="C617" s="1436"/>
      <c r="D617" s="1436"/>
      <c r="E617" s="1436"/>
      <c r="F617" s="1436"/>
      <c r="G617" s="1436"/>
      <c r="H617" s="1436"/>
      <c r="I617" s="1436"/>
      <c r="J617" s="1436"/>
      <c r="K617" s="1436"/>
      <c r="L617" s="1436"/>
      <c r="M617" s="1436"/>
      <c r="N617" s="1436"/>
      <c r="O617" s="1436"/>
      <c r="P617" s="1436"/>
      <c r="Q617" s="1436"/>
      <c r="R617" s="1436"/>
      <c r="S617" s="1436"/>
      <c r="T617" s="1436"/>
      <c r="U617" s="1436"/>
      <c r="V617" s="1436"/>
      <c r="W617" s="1436"/>
      <c r="X617" s="1436"/>
      <c r="Y617" s="1436"/>
      <c r="Z617" s="1436"/>
      <c r="AA617" s="1436"/>
      <c r="AB617" s="1436"/>
      <c r="AC617" s="1436"/>
      <c r="AD617" s="1436"/>
      <c r="AE617" s="1436"/>
      <c r="AF617" s="1436"/>
    </row>
    <row r="618" spans="1:32">
      <c r="A618" s="1436"/>
      <c r="B618" s="1436"/>
      <c r="C618" s="1436"/>
      <c r="D618" s="1436"/>
      <c r="E618" s="1436"/>
      <c r="F618" s="1436"/>
      <c r="G618" s="1436"/>
      <c r="H618" s="1436"/>
      <c r="I618" s="1436"/>
      <c r="J618" s="1436"/>
      <c r="K618" s="1436"/>
      <c r="L618" s="1436"/>
      <c r="M618" s="1436"/>
      <c r="N618" s="1436"/>
      <c r="O618" s="1436"/>
      <c r="P618" s="1436"/>
      <c r="Q618" s="1436"/>
      <c r="R618" s="1436"/>
      <c r="S618" s="1436"/>
      <c r="T618" s="1436"/>
      <c r="U618" s="1436"/>
      <c r="V618" s="1436"/>
      <c r="W618" s="1436"/>
      <c r="X618" s="1436"/>
      <c r="Y618" s="1436"/>
      <c r="Z618" s="1436"/>
      <c r="AA618" s="1436"/>
      <c r="AB618" s="1436"/>
      <c r="AC618" s="1436"/>
      <c r="AD618" s="1436"/>
      <c r="AE618" s="1436"/>
      <c r="AF618" s="1436"/>
    </row>
    <row r="619" spans="1:32">
      <c r="A619" s="1436"/>
      <c r="B619" s="1436"/>
      <c r="C619" s="1436"/>
      <c r="D619" s="1436"/>
      <c r="E619" s="1436"/>
      <c r="F619" s="1436"/>
      <c r="G619" s="1436"/>
      <c r="H619" s="1436"/>
      <c r="I619" s="1436"/>
      <c r="J619" s="1436"/>
      <c r="K619" s="1436"/>
      <c r="L619" s="1436"/>
      <c r="M619" s="1436"/>
      <c r="N619" s="1436"/>
      <c r="O619" s="1436"/>
      <c r="P619" s="1436"/>
      <c r="Q619" s="1436"/>
      <c r="R619" s="1436"/>
      <c r="S619" s="1436"/>
      <c r="T619" s="1436"/>
      <c r="U619" s="1436"/>
      <c r="V619" s="1436"/>
      <c r="W619" s="1436"/>
      <c r="X619" s="1436"/>
      <c r="Y619" s="1436"/>
      <c r="Z619" s="1436"/>
      <c r="AA619" s="1436"/>
      <c r="AB619" s="1436"/>
      <c r="AC619" s="1436"/>
      <c r="AD619" s="1436"/>
      <c r="AE619" s="1436"/>
      <c r="AF619" s="1436"/>
    </row>
    <row r="620" spans="1:32">
      <c r="A620" s="1436"/>
      <c r="B620" s="1436"/>
      <c r="C620" s="1436"/>
      <c r="D620" s="1436"/>
      <c r="E620" s="1436"/>
      <c r="F620" s="1436"/>
      <c r="G620" s="1436"/>
      <c r="H620" s="1436"/>
      <c r="I620" s="1436"/>
      <c r="J620" s="1436"/>
      <c r="K620" s="1436"/>
      <c r="L620" s="1436"/>
      <c r="M620" s="1436"/>
      <c r="N620" s="1436"/>
      <c r="O620" s="1436"/>
      <c r="P620" s="1436"/>
      <c r="Q620" s="1436"/>
      <c r="R620" s="1436"/>
      <c r="S620" s="1436"/>
      <c r="T620" s="1436"/>
      <c r="U620" s="1436"/>
      <c r="V620" s="1436"/>
      <c r="W620" s="1436"/>
      <c r="X620" s="1436"/>
      <c r="Y620" s="1436"/>
      <c r="Z620" s="1436"/>
      <c r="AA620" s="1436"/>
      <c r="AB620" s="1436"/>
      <c r="AC620" s="1436"/>
      <c r="AD620" s="1436"/>
      <c r="AE620" s="1436"/>
      <c r="AF620" s="1436"/>
    </row>
    <row r="621" spans="1:32">
      <c r="A621" s="1436"/>
      <c r="B621" s="1436"/>
      <c r="C621" s="1436"/>
      <c r="D621" s="1436"/>
      <c r="E621" s="1436"/>
      <c r="F621" s="1436"/>
      <c r="G621" s="1436"/>
      <c r="H621" s="1436"/>
      <c r="I621" s="1436"/>
      <c r="J621" s="1436"/>
      <c r="K621" s="1436"/>
      <c r="L621" s="1436"/>
      <c r="M621" s="1436"/>
      <c r="N621" s="1436"/>
      <c r="O621" s="1436"/>
      <c r="P621" s="1436"/>
      <c r="Q621" s="1436"/>
      <c r="R621" s="1436"/>
      <c r="S621" s="1436"/>
      <c r="T621" s="1436"/>
      <c r="U621" s="1436"/>
      <c r="V621" s="1436"/>
      <c r="W621" s="1436"/>
      <c r="X621" s="1436"/>
      <c r="Y621" s="1436"/>
      <c r="Z621" s="1436"/>
      <c r="AA621" s="1436"/>
      <c r="AB621" s="1436"/>
      <c r="AC621" s="1436"/>
      <c r="AD621" s="1436"/>
      <c r="AE621" s="1436"/>
      <c r="AF621" s="1436"/>
    </row>
    <row r="622" spans="1:32">
      <c r="A622" s="1436"/>
      <c r="B622" s="1436"/>
      <c r="C622" s="1436"/>
      <c r="D622" s="1436"/>
      <c r="E622" s="1436"/>
      <c r="F622" s="1436"/>
      <c r="G622" s="1436"/>
      <c r="H622" s="1436"/>
      <c r="I622" s="1436"/>
      <c r="J622" s="1436"/>
      <c r="K622" s="1436"/>
      <c r="L622" s="1436"/>
      <c r="M622" s="1436"/>
      <c r="N622" s="1436"/>
      <c r="O622" s="1436"/>
      <c r="P622" s="1436"/>
      <c r="Q622" s="1436"/>
      <c r="R622" s="1436"/>
      <c r="S622" s="1436"/>
      <c r="T622" s="1436"/>
      <c r="U622" s="1436"/>
      <c r="V622" s="1436"/>
      <c r="W622" s="1436"/>
      <c r="X622" s="1436"/>
      <c r="Y622" s="1436"/>
      <c r="Z622" s="1436"/>
      <c r="AA622" s="1436"/>
      <c r="AB622" s="1436"/>
      <c r="AC622" s="1436"/>
      <c r="AD622" s="1436"/>
      <c r="AE622" s="1436"/>
      <c r="AF622" s="1436"/>
    </row>
    <row r="623" spans="1:32">
      <c r="A623" s="1436"/>
      <c r="B623" s="1436"/>
      <c r="C623" s="1436"/>
      <c r="D623" s="1436"/>
      <c r="E623" s="1436"/>
      <c r="F623" s="1436"/>
      <c r="G623" s="1436"/>
      <c r="H623" s="1436"/>
      <c r="I623" s="1436"/>
      <c r="J623" s="1436"/>
      <c r="K623" s="1436"/>
      <c r="L623" s="1436"/>
      <c r="M623" s="1436"/>
      <c r="N623" s="1436"/>
      <c r="O623" s="1436"/>
      <c r="P623" s="1436"/>
      <c r="Q623" s="1436"/>
      <c r="R623" s="1436"/>
      <c r="S623" s="1436"/>
      <c r="T623" s="1436"/>
      <c r="U623" s="1436"/>
      <c r="V623" s="1436"/>
      <c r="W623" s="1436"/>
      <c r="X623" s="1436"/>
      <c r="Y623" s="1436"/>
      <c r="Z623" s="1436"/>
      <c r="AA623" s="1436"/>
      <c r="AB623" s="1436"/>
      <c r="AC623" s="1436"/>
      <c r="AD623" s="1436"/>
      <c r="AE623" s="1436"/>
      <c r="AF623" s="1436"/>
    </row>
    <row r="624" spans="1:32">
      <c r="A624" s="1436"/>
      <c r="B624" s="1436"/>
      <c r="C624" s="1436"/>
      <c r="D624" s="1436"/>
      <c r="E624" s="1436"/>
      <c r="F624" s="1436"/>
      <c r="G624" s="1436"/>
      <c r="H624" s="1436"/>
      <c r="I624" s="1436"/>
      <c r="J624" s="1436"/>
      <c r="K624" s="1436"/>
      <c r="L624" s="1436"/>
      <c r="M624" s="1436"/>
      <c r="N624" s="1436"/>
      <c r="O624" s="1436"/>
      <c r="P624" s="1436"/>
      <c r="Q624" s="1436"/>
      <c r="R624" s="1436"/>
      <c r="S624" s="1436"/>
      <c r="T624" s="1436"/>
      <c r="U624" s="1436"/>
      <c r="V624" s="1436"/>
      <c r="W624" s="1436"/>
      <c r="X624" s="1436"/>
      <c r="Y624" s="1436"/>
      <c r="Z624" s="1436"/>
      <c r="AA624" s="1436"/>
      <c r="AB624" s="1436"/>
      <c r="AC624" s="1436"/>
      <c r="AD624" s="1436"/>
      <c r="AE624" s="1436"/>
      <c r="AF624" s="1436"/>
    </row>
    <row r="625" spans="1:32">
      <c r="A625" s="1436"/>
      <c r="B625" s="1436"/>
      <c r="C625" s="1436"/>
      <c r="D625" s="1436"/>
      <c r="E625" s="1436"/>
      <c r="F625" s="1436"/>
      <c r="G625" s="1436"/>
      <c r="H625" s="1436"/>
      <c r="I625" s="1436"/>
      <c r="J625" s="1436"/>
      <c r="K625" s="1436"/>
      <c r="L625" s="1436"/>
      <c r="M625" s="1436"/>
      <c r="N625" s="1436"/>
      <c r="O625" s="1436"/>
      <c r="P625" s="1436"/>
      <c r="Q625" s="1436"/>
      <c r="R625" s="1436"/>
      <c r="S625" s="1436"/>
      <c r="T625" s="1436"/>
      <c r="U625" s="1436"/>
      <c r="V625" s="1436"/>
      <c r="W625" s="1436"/>
      <c r="X625" s="1436"/>
      <c r="Y625" s="1436"/>
      <c r="Z625" s="1436"/>
      <c r="AA625" s="1436"/>
      <c r="AB625" s="1436"/>
      <c r="AC625" s="1436"/>
      <c r="AD625" s="1436"/>
      <c r="AE625" s="1436"/>
      <c r="AF625" s="1436"/>
    </row>
    <row r="626" spans="1:32">
      <c r="A626" s="1436"/>
      <c r="B626" s="1436"/>
      <c r="C626" s="1436"/>
      <c r="D626" s="1436"/>
      <c r="E626" s="1436"/>
      <c r="F626" s="1436"/>
      <c r="G626" s="1436"/>
      <c r="H626" s="1436"/>
      <c r="I626" s="1436"/>
      <c r="J626" s="1436"/>
      <c r="K626" s="1436"/>
      <c r="L626" s="1436"/>
      <c r="M626" s="1436"/>
      <c r="N626" s="1436"/>
      <c r="O626" s="1436"/>
      <c r="P626" s="1436"/>
      <c r="Q626" s="1436"/>
      <c r="R626" s="1436"/>
      <c r="S626" s="1436"/>
      <c r="T626" s="1436"/>
      <c r="U626" s="1436"/>
      <c r="V626" s="1436"/>
      <c r="W626" s="1436"/>
      <c r="X626" s="1436"/>
      <c r="Y626" s="1436"/>
      <c r="Z626" s="1436"/>
      <c r="AA626" s="1436"/>
      <c r="AB626" s="1436"/>
      <c r="AC626" s="1436"/>
      <c r="AD626" s="1436"/>
      <c r="AE626" s="1436"/>
      <c r="AF626" s="1436"/>
    </row>
    <row r="627" spans="1:32">
      <c r="A627" s="1436"/>
      <c r="B627" s="1436"/>
      <c r="C627" s="1436"/>
      <c r="D627" s="1436"/>
      <c r="E627" s="1436"/>
      <c r="F627" s="1436"/>
      <c r="G627" s="1436"/>
      <c r="H627" s="1436"/>
      <c r="I627" s="1436"/>
      <c r="J627" s="1436"/>
      <c r="K627" s="1436"/>
      <c r="L627" s="1436"/>
      <c r="M627" s="1436"/>
      <c r="N627" s="1436"/>
      <c r="O627" s="1436"/>
      <c r="P627" s="1436"/>
      <c r="Q627" s="1436"/>
      <c r="R627" s="1436"/>
      <c r="S627" s="1436"/>
      <c r="T627" s="1436"/>
      <c r="U627" s="1436"/>
      <c r="V627" s="1436"/>
      <c r="W627" s="1436"/>
      <c r="X627" s="1436"/>
      <c r="Y627" s="1436"/>
      <c r="Z627" s="1436"/>
      <c r="AA627" s="1436"/>
      <c r="AB627" s="1436"/>
      <c r="AC627" s="1436"/>
      <c r="AD627" s="1436"/>
      <c r="AE627" s="1436"/>
      <c r="AF627" s="1436"/>
    </row>
    <row r="628" spans="1:32">
      <c r="A628" s="1436"/>
      <c r="B628" s="1436"/>
      <c r="C628" s="1436"/>
      <c r="D628" s="1436"/>
      <c r="E628" s="1436"/>
      <c r="F628" s="1436"/>
      <c r="G628" s="1436"/>
      <c r="H628" s="1436"/>
      <c r="I628" s="1436"/>
      <c r="J628" s="1436"/>
      <c r="K628" s="1436"/>
      <c r="L628" s="1436"/>
      <c r="M628" s="1436"/>
      <c r="N628" s="1436"/>
      <c r="O628" s="1436"/>
      <c r="P628" s="1436"/>
      <c r="Q628" s="1436"/>
      <c r="R628" s="1436"/>
      <c r="S628" s="1436"/>
      <c r="T628" s="1436"/>
      <c r="U628" s="1436"/>
      <c r="V628" s="1436"/>
      <c r="W628" s="1436"/>
      <c r="X628" s="1436"/>
      <c r="Y628" s="1436"/>
      <c r="Z628" s="1436"/>
      <c r="AA628" s="1436"/>
      <c r="AB628" s="1436"/>
      <c r="AC628" s="1436"/>
      <c r="AD628" s="1436"/>
      <c r="AE628" s="1436"/>
      <c r="AF628" s="1436"/>
    </row>
    <row r="629" spans="1:32">
      <c r="A629" s="1436"/>
      <c r="B629" s="1436"/>
      <c r="C629" s="1436"/>
      <c r="D629" s="1436"/>
      <c r="E629" s="1436"/>
      <c r="F629" s="1436"/>
      <c r="G629" s="1436"/>
      <c r="H629" s="1436"/>
      <c r="I629" s="1436"/>
      <c r="J629" s="1436"/>
      <c r="K629" s="1436"/>
      <c r="L629" s="1436"/>
      <c r="M629" s="1436"/>
      <c r="N629" s="1436"/>
      <c r="O629" s="1436"/>
      <c r="P629" s="1436"/>
      <c r="Q629" s="1436"/>
      <c r="R629" s="1436"/>
      <c r="S629" s="1436"/>
      <c r="T629" s="1436"/>
      <c r="U629" s="1436"/>
      <c r="V629" s="1436"/>
      <c r="W629" s="1436"/>
      <c r="X629" s="1436"/>
      <c r="Y629" s="1436"/>
      <c r="Z629" s="1436"/>
      <c r="AA629" s="1436"/>
      <c r="AB629" s="1436"/>
      <c r="AC629" s="1436"/>
      <c r="AD629" s="1436"/>
      <c r="AE629" s="1436"/>
      <c r="AF629" s="1436"/>
    </row>
    <row r="630" spans="1:32">
      <c r="A630" s="1436"/>
      <c r="B630" s="1436"/>
      <c r="C630" s="1436"/>
      <c r="D630" s="1436"/>
      <c r="E630" s="1436"/>
      <c r="F630" s="1436"/>
      <c r="G630" s="1436"/>
      <c r="H630" s="1436"/>
      <c r="I630" s="1436"/>
      <c r="J630" s="1436"/>
      <c r="K630" s="1436"/>
      <c r="L630" s="1436"/>
      <c r="M630" s="1436"/>
      <c r="N630" s="1436"/>
      <c r="O630" s="1436"/>
      <c r="P630" s="1436"/>
      <c r="Q630" s="1436"/>
      <c r="R630" s="1436"/>
      <c r="S630" s="1436"/>
      <c r="T630" s="1436"/>
      <c r="U630" s="1436"/>
      <c r="V630" s="1436"/>
      <c r="W630" s="1436"/>
      <c r="X630" s="1436"/>
      <c r="Y630" s="1436"/>
      <c r="Z630" s="1436"/>
      <c r="AA630" s="1436"/>
      <c r="AB630" s="1436"/>
      <c r="AC630" s="1436"/>
      <c r="AD630" s="1436"/>
      <c r="AE630" s="1436"/>
      <c r="AF630" s="1436"/>
    </row>
    <row r="631" spans="1:32">
      <c r="A631" s="1436"/>
      <c r="B631" s="1436"/>
      <c r="C631" s="1436"/>
      <c r="D631" s="1436"/>
      <c r="E631" s="1436"/>
      <c r="F631" s="1436"/>
      <c r="G631" s="1436"/>
      <c r="H631" s="1436"/>
      <c r="I631" s="1436"/>
      <c r="J631" s="1436"/>
      <c r="K631" s="1436"/>
      <c r="L631" s="1436"/>
      <c r="M631" s="1436"/>
      <c r="N631" s="1436"/>
      <c r="O631" s="1436"/>
      <c r="P631" s="1436"/>
      <c r="Q631" s="1436"/>
      <c r="R631" s="1436"/>
      <c r="S631" s="1436"/>
      <c r="T631" s="1436"/>
      <c r="U631" s="1436"/>
      <c r="V631" s="1436"/>
      <c r="W631" s="1436"/>
      <c r="X631" s="1436"/>
      <c r="Y631" s="1436"/>
      <c r="Z631" s="1436"/>
      <c r="AA631" s="1436"/>
      <c r="AB631" s="1436"/>
      <c r="AC631" s="1436"/>
      <c r="AD631" s="1436"/>
      <c r="AE631" s="1436"/>
      <c r="AF631" s="1436"/>
    </row>
    <row r="632" spans="1:32">
      <c r="A632" s="1436"/>
      <c r="B632" s="1436"/>
      <c r="C632" s="1436"/>
      <c r="D632" s="1436"/>
      <c r="E632" s="1436"/>
      <c r="F632" s="1436"/>
      <c r="G632" s="1436"/>
      <c r="H632" s="1436"/>
      <c r="I632" s="1436"/>
      <c r="J632" s="1436"/>
      <c r="K632" s="1436"/>
      <c r="L632" s="1436"/>
      <c r="M632" s="1436"/>
      <c r="N632" s="1436"/>
      <c r="O632" s="1436"/>
      <c r="P632" s="1436"/>
      <c r="Q632" s="1436"/>
      <c r="R632" s="1436"/>
      <c r="S632" s="1436"/>
      <c r="T632" s="1436"/>
      <c r="U632" s="1436"/>
      <c r="V632" s="1436"/>
      <c r="W632" s="1436"/>
      <c r="X632" s="1436"/>
      <c r="Y632" s="1436"/>
      <c r="Z632" s="1436"/>
      <c r="AA632" s="1436"/>
      <c r="AB632" s="1436"/>
      <c r="AC632" s="1436"/>
      <c r="AD632" s="1436"/>
      <c r="AE632" s="1436"/>
      <c r="AF632" s="1436"/>
    </row>
    <row r="633" spans="1:32">
      <c r="A633" s="1436"/>
      <c r="B633" s="1436"/>
      <c r="C633" s="1436"/>
      <c r="D633" s="1436"/>
      <c r="E633" s="1436"/>
      <c r="F633" s="1436"/>
      <c r="G633" s="1436"/>
      <c r="H633" s="1436"/>
      <c r="I633" s="1436"/>
      <c r="J633" s="1436"/>
      <c r="K633" s="1436"/>
      <c r="L633" s="1436"/>
      <c r="M633" s="1436"/>
      <c r="N633" s="1436"/>
      <c r="O633" s="1436"/>
      <c r="P633" s="1436"/>
      <c r="Q633" s="1436"/>
      <c r="R633" s="1436"/>
      <c r="S633" s="1436"/>
      <c r="T633" s="1436"/>
      <c r="U633" s="1436"/>
      <c r="V633" s="1436"/>
      <c r="W633" s="1436"/>
      <c r="X633" s="1436"/>
      <c r="Y633" s="1436"/>
      <c r="Z633" s="1436"/>
      <c r="AA633" s="1436"/>
      <c r="AB633" s="1436"/>
      <c r="AC633" s="1436"/>
      <c r="AD633" s="1436"/>
      <c r="AE633" s="1436"/>
      <c r="AF633" s="1436"/>
    </row>
    <row r="634" spans="1:32">
      <c r="A634" s="1436"/>
      <c r="B634" s="1436"/>
      <c r="C634" s="1436"/>
      <c r="D634" s="1436"/>
      <c r="E634" s="1436"/>
      <c r="F634" s="1436"/>
      <c r="G634" s="1436"/>
      <c r="H634" s="1436"/>
      <c r="I634" s="1436"/>
      <c r="J634" s="1436"/>
      <c r="K634" s="1436"/>
      <c r="L634" s="1436"/>
      <c r="M634" s="1436"/>
      <c r="N634" s="1436"/>
      <c r="O634" s="1436"/>
      <c r="P634" s="1436"/>
      <c r="Q634" s="1436"/>
      <c r="R634" s="1436"/>
      <c r="S634" s="1436"/>
      <c r="T634" s="1436"/>
      <c r="U634" s="1436"/>
      <c r="V634" s="1436"/>
      <c r="W634" s="1436"/>
      <c r="X634" s="1436"/>
      <c r="Y634" s="1436"/>
      <c r="Z634" s="1436"/>
      <c r="AA634" s="1436"/>
      <c r="AB634" s="1436"/>
      <c r="AC634" s="1436"/>
      <c r="AD634" s="1436"/>
      <c r="AE634" s="1436"/>
      <c r="AF634" s="1436"/>
    </row>
    <row r="635" spans="1:32">
      <c r="A635" s="1436"/>
      <c r="B635" s="1436"/>
      <c r="C635" s="1436"/>
      <c r="D635" s="1436"/>
      <c r="E635" s="1436"/>
      <c r="F635" s="1436"/>
      <c r="G635" s="1436"/>
      <c r="H635" s="1436"/>
      <c r="I635" s="1436"/>
      <c r="J635" s="1436"/>
      <c r="K635" s="1436"/>
      <c r="L635" s="1436"/>
      <c r="M635" s="1436"/>
      <c r="N635" s="1436"/>
      <c r="O635" s="1436"/>
      <c r="P635" s="1436"/>
      <c r="Q635" s="1436"/>
      <c r="R635" s="1436"/>
      <c r="S635" s="1436"/>
      <c r="T635" s="1436"/>
      <c r="U635" s="1436"/>
      <c r="V635" s="1436"/>
      <c r="W635" s="1436"/>
      <c r="X635" s="1436"/>
      <c r="Y635" s="1436"/>
      <c r="Z635" s="1436"/>
      <c r="AA635" s="1436"/>
      <c r="AB635" s="1436"/>
      <c r="AC635" s="1436"/>
      <c r="AD635" s="1436"/>
      <c r="AE635" s="1436"/>
      <c r="AF635" s="1436"/>
    </row>
    <row r="636" spans="1:32">
      <c r="A636" s="1436"/>
      <c r="B636" s="1436"/>
      <c r="C636" s="1436"/>
      <c r="D636" s="1436"/>
      <c r="E636" s="1436"/>
      <c r="F636" s="1436"/>
      <c r="G636" s="1436"/>
      <c r="H636" s="1436"/>
      <c r="I636" s="1436"/>
      <c r="J636" s="1436"/>
      <c r="K636" s="1436"/>
      <c r="L636" s="1436"/>
      <c r="M636" s="1436"/>
      <c r="N636" s="1436"/>
      <c r="O636" s="1436"/>
      <c r="P636" s="1436"/>
      <c r="Q636" s="1436"/>
      <c r="R636" s="1436"/>
      <c r="S636" s="1436"/>
      <c r="T636" s="1436"/>
      <c r="U636" s="1436"/>
      <c r="V636" s="1436"/>
      <c r="W636" s="1436"/>
      <c r="X636" s="1436"/>
      <c r="Y636" s="1436"/>
      <c r="Z636" s="1436"/>
      <c r="AA636" s="1436"/>
      <c r="AB636" s="1436"/>
      <c r="AC636" s="1436"/>
      <c r="AD636" s="1436"/>
      <c r="AE636" s="1436"/>
      <c r="AF636" s="1436"/>
    </row>
    <row r="637" spans="1:32">
      <c r="A637" s="1436"/>
      <c r="B637" s="1436"/>
      <c r="C637" s="1436"/>
      <c r="D637" s="1436"/>
      <c r="E637" s="1436"/>
      <c r="F637" s="1436"/>
      <c r="G637" s="1436"/>
      <c r="H637" s="1436"/>
      <c r="I637" s="1436"/>
      <c r="J637" s="1436"/>
      <c r="K637" s="1436"/>
      <c r="L637" s="1436"/>
      <c r="M637" s="1436"/>
      <c r="N637" s="1436"/>
      <c r="O637" s="1436"/>
      <c r="P637" s="1436"/>
      <c r="Q637" s="1436"/>
      <c r="R637" s="1436"/>
      <c r="S637" s="1436"/>
      <c r="T637" s="1436"/>
      <c r="U637" s="1436"/>
      <c r="V637" s="1436"/>
      <c r="W637" s="1436"/>
      <c r="X637" s="1436"/>
      <c r="Y637" s="1436"/>
      <c r="Z637" s="1436"/>
      <c r="AA637" s="1436"/>
      <c r="AB637" s="1436"/>
      <c r="AC637" s="1436"/>
      <c r="AD637" s="1436"/>
      <c r="AE637" s="1436"/>
      <c r="AF637" s="1436"/>
    </row>
    <row r="638" spans="1:32">
      <c r="A638" s="1436"/>
      <c r="B638" s="1436"/>
      <c r="C638" s="1436"/>
      <c r="D638" s="1436"/>
      <c r="E638" s="1436"/>
      <c r="F638" s="1436"/>
      <c r="G638" s="1436"/>
      <c r="H638" s="1436"/>
      <c r="I638" s="1436"/>
      <c r="J638" s="1436"/>
      <c r="K638" s="1436"/>
      <c r="L638" s="1436"/>
      <c r="M638" s="1436"/>
      <c r="N638" s="1436"/>
      <c r="O638" s="1436"/>
      <c r="P638" s="1436"/>
      <c r="Q638" s="1436"/>
      <c r="R638" s="1436"/>
      <c r="S638" s="1436"/>
      <c r="T638" s="1436"/>
      <c r="U638" s="1436"/>
      <c r="V638" s="1436"/>
      <c r="W638" s="1436"/>
      <c r="X638" s="1436"/>
      <c r="Y638" s="1436"/>
      <c r="Z638" s="1436"/>
      <c r="AA638" s="1436"/>
      <c r="AB638" s="1436"/>
      <c r="AC638" s="1436"/>
      <c r="AD638" s="1436"/>
      <c r="AE638" s="1436"/>
      <c r="AF638" s="1436"/>
    </row>
    <row r="639" spans="1:32">
      <c r="A639" s="1436"/>
      <c r="B639" s="1436"/>
      <c r="C639" s="1436"/>
      <c r="D639" s="1436"/>
      <c r="E639" s="1436"/>
      <c r="F639" s="1436"/>
      <c r="G639" s="1436"/>
      <c r="H639" s="1436"/>
      <c r="I639" s="1436"/>
      <c r="J639" s="1436"/>
      <c r="K639" s="1436"/>
      <c r="L639" s="1436"/>
      <c r="M639" s="1436"/>
      <c r="N639" s="1436"/>
      <c r="O639" s="1436"/>
      <c r="P639" s="1436"/>
      <c r="Q639" s="1436"/>
      <c r="R639" s="1436"/>
      <c r="S639" s="1436"/>
      <c r="T639" s="1436"/>
      <c r="U639" s="1436"/>
      <c r="V639" s="1436"/>
      <c r="W639" s="1436"/>
      <c r="X639" s="1436"/>
      <c r="Y639" s="1436"/>
      <c r="Z639" s="1436"/>
      <c r="AA639" s="1436"/>
      <c r="AB639" s="1436"/>
      <c r="AC639" s="1436"/>
      <c r="AD639" s="1436"/>
      <c r="AE639" s="1436"/>
      <c r="AF639" s="1436"/>
    </row>
    <row r="640" spans="1:32">
      <c r="A640" s="1436"/>
      <c r="B640" s="1436"/>
      <c r="C640" s="1436"/>
      <c r="D640" s="1436"/>
      <c r="E640" s="1436"/>
      <c r="F640" s="1436"/>
      <c r="G640" s="1436"/>
      <c r="H640" s="1436"/>
      <c r="I640" s="1436"/>
      <c r="J640" s="1436"/>
      <c r="K640" s="1436"/>
      <c r="L640" s="1436"/>
      <c r="M640" s="1436"/>
      <c r="N640" s="1436"/>
      <c r="O640" s="1436"/>
      <c r="P640" s="1436"/>
      <c r="Q640" s="1436"/>
      <c r="R640" s="1436"/>
      <c r="S640" s="1436"/>
      <c r="T640" s="1436"/>
      <c r="U640" s="1436"/>
      <c r="V640" s="1436"/>
      <c r="W640" s="1436"/>
      <c r="X640" s="1436"/>
      <c r="Y640" s="1436"/>
      <c r="Z640" s="1436"/>
      <c r="AA640" s="1436"/>
      <c r="AB640" s="1436"/>
      <c r="AC640" s="1436"/>
      <c r="AD640" s="1436"/>
      <c r="AE640" s="1436"/>
      <c r="AF640" s="1436"/>
    </row>
    <row r="641" spans="1:32">
      <c r="A641" s="1436"/>
      <c r="B641" s="1436"/>
      <c r="C641" s="1436"/>
      <c r="D641" s="1436"/>
      <c r="E641" s="1436"/>
      <c r="F641" s="1436"/>
      <c r="G641" s="1436"/>
      <c r="H641" s="1436"/>
      <c r="I641" s="1436"/>
      <c r="J641" s="1436"/>
      <c r="K641" s="1436"/>
      <c r="L641" s="1436"/>
      <c r="M641" s="1436"/>
      <c r="N641" s="1436"/>
      <c r="O641" s="1436"/>
      <c r="P641" s="1436"/>
      <c r="Q641" s="1436"/>
      <c r="R641" s="1436"/>
      <c r="S641" s="1436"/>
      <c r="T641" s="1436"/>
      <c r="U641" s="1436"/>
      <c r="V641" s="1436"/>
      <c r="W641" s="1436"/>
      <c r="X641" s="1436"/>
      <c r="Y641" s="1436"/>
      <c r="Z641" s="1436"/>
      <c r="AA641" s="1436"/>
      <c r="AB641" s="1436"/>
      <c r="AC641" s="1436"/>
      <c r="AD641" s="1436"/>
      <c r="AE641" s="1436"/>
      <c r="AF641" s="1436"/>
    </row>
    <row r="642" spans="1:32">
      <c r="A642" s="1436"/>
      <c r="B642" s="1436"/>
      <c r="C642" s="1436"/>
      <c r="D642" s="1436"/>
      <c r="E642" s="1436"/>
      <c r="F642" s="1436"/>
      <c r="G642" s="1436"/>
      <c r="H642" s="1436"/>
      <c r="I642" s="1436"/>
      <c r="J642" s="1436"/>
      <c r="K642" s="1436"/>
      <c r="L642" s="1436"/>
      <c r="M642" s="1436"/>
      <c r="N642" s="1436"/>
      <c r="O642" s="1436"/>
      <c r="P642" s="1436"/>
      <c r="Q642" s="1436"/>
      <c r="R642" s="1436"/>
      <c r="S642" s="1436"/>
      <c r="T642" s="1436"/>
      <c r="U642" s="1436"/>
      <c r="V642" s="1436"/>
      <c r="W642" s="1436"/>
      <c r="X642" s="1436"/>
      <c r="Y642" s="1436"/>
      <c r="Z642" s="1436"/>
      <c r="AA642" s="1436"/>
      <c r="AB642" s="1436"/>
      <c r="AC642" s="1436"/>
      <c r="AD642" s="1436"/>
      <c r="AE642" s="1436"/>
      <c r="AF642" s="1436"/>
    </row>
    <row r="643" spans="1:32">
      <c r="A643" s="1436"/>
      <c r="B643" s="1436"/>
      <c r="C643" s="1436"/>
      <c r="D643" s="1436"/>
      <c r="E643" s="1436"/>
      <c r="F643" s="1436"/>
      <c r="G643" s="1436"/>
      <c r="H643" s="1436"/>
      <c r="I643" s="1436"/>
      <c r="J643" s="1436"/>
      <c r="K643" s="1436"/>
      <c r="L643" s="1436"/>
      <c r="M643" s="1436"/>
      <c r="N643" s="1436"/>
      <c r="O643" s="1436"/>
      <c r="P643" s="1436"/>
      <c r="Q643" s="1436"/>
      <c r="R643" s="1436"/>
      <c r="S643" s="1436"/>
      <c r="T643" s="1436"/>
      <c r="U643" s="1436"/>
      <c r="V643" s="1436"/>
      <c r="W643" s="1436"/>
      <c r="X643" s="1436"/>
      <c r="Y643" s="1436"/>
      <c r="Z643" s="1436"/>
      <c r="AA643" s="1436"/>
      <c r="AB643" s="1436"/>
      <c r="AC643" s="1436"/>
      <c r="AD643" s="1436"/>
      <c r="AE643" s="1436"/>
      <c r="AF643" s="1436"/>
    </row>
    <row r="644" spans="1:32">
      <c r="A644" s="1436"/>
      <c r="B644" s="1436"/>
      <c r="C644" s="1436"/>
      <c r="D644" s="1436"/>
      <c r="E644" s="1436"/>
      <c r="F644" s="1436"/>
      <c r="G644" s="1436"/>
      <c r="H644" s="1436"/>
      <c r="I644" s="1436"/>
      <c r="J644" s="1436"/>
      <c r="K644" s="1436"/>
      <c r="L644" s="1436"/>
      <c r="M644" s="1436"/>
      <c r="N644" s="1436"/>
      <c r="O644" s="1436"/>
      <c r="P644" s="1436"/>
      <c r="Q644" s="1436"/>
      <c r="R644" s="1436"/>
      <c r="S644" s="1436"/>
      <c r="T644" s="1436"/>
      <c r="U644" s="1436"/>
      <c r="V644" s="1436"/>
      <c r="W644" s="1436"/>
      <c r="X644" s="1436"/>
      <c r="Y644" s="1436"/>
      <c r="Z644" s="1436"/>
      <c r="AA644" s="1436"/>
      <c r="AB644" s="1436"/>
      <c r="AC644" s="1436"/>
      <c r="AD644" s="1436"/>
      <c r="AE644" s="1436"/>
      <c r="AF644" s="1436"/>
    </row>
    <row r="645" spans="1:32">
      <c r="A645" s="1436"/>
      <c r="B645" s="1436"/>
      <c r="C645" s="1436"/>
      <c r="D645" s="1436"/>
      <c r="E645" s="1436"/>
      <c r="F645" s="1436"/>
      <c r="G645" s="1436"/>
      <c r="H645" s="1436"/>
      <c r="I645" s="1436"/>
      <c r="J645" s="1436"/>
      <c r="K645" s="1436"/>
      <c r="L645" s="1436"/>
      <c r="M645" s="1436"/>
      <c r="N645" s="1436"/>
      <c r="O645" s="1436"/>
      <c r="P645" s="1436"/>
      <c r="Q645" s="1436"/>
      <c r="R645" s="1436"/>
      <c r="S645" s="1436"/>
      <c r="T645" s="1436"/>
      <c r="U645" s="1436"/>
      <c r="V645" s="1436"/>
      <c r="W645" s="1436"/>
      <c r="X645" s="1436"/>
      <c r="Y645" s="1436"/>
      <c r="Z645" s="1436"/>
      <c r="AA645" s="1436"/>
      <c r="AB645" s="1436"/>
      <c r="AC645" s="1436"/>
      <c r="AD645" s="1436"/>
      <c r="AE645" s="1436"/>
      <c r="AF645" s="1436"/>
    </row>
    <row r="646" spans="1:32">
      <c r="A646" s="1436"/>
      <c r="B646" s="1436"/>
      <c r="C646" s="1436"/>
      <c r="D646" s="1436"/>
      <c r="E646" s="1436"/>
      <c r="F646" s="1436"/>
      <c r="G646" s="1436"/>
      <c r="H646" s="1436"/>
      <c r="I646" s="1436"/>
      <c r="J646" s="1436"/>
      <c r="K646" s="1436"/>
      <c r="L646" s="1436"/>
      <c r="M646" s="1436"/>
      <c r="N646" s="1436"/>
      <c r="O646" s="1436"/>
      <c r="P646" s="1436"/>
      <c r="Q646" s="1436"/>
      <c r="R646" s="1436"/>
      <c r="S646" s="1436"/>
      <c r="T646" s="1436"/>
      <c r="U646" s="1436"/>
      <c r="V646" s="1436"/>
      <c r="W646" s="1436"/>
      <c r="X646" s="1436"/>
      <c r="Y646" s="1436"/>
      <c r="Z646" s="1436"/>
      <c r="AA646" s="1436"/>
      <c r="AB646" s="1436"/>
      <c r="AC646" s="1436"/>
      <c r="AD646" s="1436"/>
      <c r="AE646" s="1436"/>
      <c r="AF646" s="1436"/>
    </row>
    <row r="647" spans="1:32">
      <c r="A647" s="1436"/>
      <c r="B647" s="1436"/>
      <c r="C647" s="1436"/>
      <c r="D647" s="1436"/>
      <c r="E647" s="1436"/>
      <c r="F647" s="1436"/>
      <c r="G647" s="1436"/>
      <c r="H647" s="1436"/>
      <c r="I647" s="1436"/>
      <c r="J647" s="1436"/>
      <c r="K647" s="1436"/>
      <c r="L647" s="1436"/>
      <c r="M647" s="1436"/>
      <c r="N647" s="1436"/>
      <c r="O647" s="1436"/>
      <c r="P647" s="1436"/>
      <c r="Q647" s="1436"/>
      <c r="R647" s="1436"/>
      <c r="S647" s="1436"/>
      <c r="T647" s="1436"/>
      <c r="U647" s="1436"/>
      <c r="V647" s="1436"/>
      <c r="W647" s="1436"/>
      <c r="X647" s="1436"/>
      <c r="Y647" s="1436"/>
      <c r="Z647" s="1436"/>
      <c r="AA647" s="1436"/>
      <c r="AB647" s="1436"/>
      <c r="AC647" s="1436"/>
      <c r="AD647" s="1436"/>
      <c r="AE647" s="1436"/>
      <c r="AF647" s="1436"/>
    </row>
    <row r="648" spans="1:32">
      <c r="A648" s="1436"/>
      <c r="B648" s="1436"/>
      <c r="C648" s="1436"/>
      <c r="D648" s="1436"/>
      <c r="E648" s="1436"/>
      <c r="F648" s="1436"/>
      <c r="G648" s="1436"/>
      <c r="H648" s="1436"/>
      <c r="I648" s="1436"/>
      <c r="J648" s="1436"/>
      <c r="K648" s="1436"/>
      <c r="L648" s="1436"/>
      <c r="M648" s="1436"/>
      <c r="N648" s="1436"/>
      <c r="O648" s="1436"/>
      <c r="P648" s="1436"/>
      <c r="Q648" s="1436"/>
      <c r="R648" s="1436"/>
      <c r="S648" s="1436"/>
      <c r="T648" s="1436"/>
      <c r="U648" s="1436"/>
      <c r="V648" s="1436"/>
      <c r="W648" s="1436"/>
      <c r="X648" s="1436"/>
      <c r="Y648" s="1436"/>
      <c r="Z648" s="1436"/>
      <c r="AA648" s="1436"/>
      <c r="AB648" s="1436"/>
      <c r="AC648" s="1436"/>
      <c r="AD648" s="1436"/>
      <c r="AE648" s="1436"/>
      <c r="AF648" s="1436"/>
    </row>
    <row r="649" spans="1:32">
      <c r="A649" s="1436"/>
      <c r="B649" s="1436"/>
      <c r="C649" s="1436"/>
      <c r="D649" s="1436"/>
      <c r="E649" s="1436"/>
      <c r="F649" s="1436"/>
      <c r="G649" s="1436"/>
      <c r="H649" s="1436"/>
      <c r="I649" s="1436"/>
      <c r="J649" s="1436"/>
      <c r="K649" s="1436"/>
      <c r="L649" s="1436"/>
      <c r="M649" s="1436"/>
      <c r="N649" s="1436"/>
      <c r="O649" s="1436"/>
      <c r="P649" s="1436"/>
      <c r="Q649" s="1436"/>
      <c r="R649" s="1436"/>
      <c r="S649" s="1436"/>
      <c r="T649" s="1436"/>
      <c r="U649" s="1436"/>
      <c r="V649" s="1436"/>
      <c r="W649" s="1436"/>
      <c r="X649" s="1436"/>
      <c r="Y649" s="1436"/>
      <c r="Z649" s="1436"/>
      <c r="AA649" s="1436"/>
      <c r="AB649" s="1436"/>
      <c r="AC649" s="1436"/>
      <c r="AD649" s="1436"/>
      <c r="AE649" s="1436"/>
      <c r="AF649" s="1436"/>
    </row>
    <row r="650" spans="1:32">
      <c r="A650" s="1436"/>
      <c r="B650" s="1436"/>
      <c r="C650" s="1436"/>
      <c r="D650" s="1436"/>
      <c r="E650" s="1436"/>
      <c r="F650" s="1436"/>
      <c r="G650" s="1436"/>
      <c r="H650" s="1436"/>
      <c r="I650" s="1436"/>
      <c r="J650" s="1436"/>
      <c r="K650" s="1436"/>
      <c r="L650" s="1436"/>
      <c r="M650" s="1436"/>
      <c r="N650" s="1436"/>
      <c r="O650" s="1436"/>
      <c r="P650" s="1436"/>
      <c r="Q650" s="1436"/>
      <c r="R650" s="1436"/>
      <c r="S650" s="1436"/>
      <c r="T650" s="1436"/>
      <c r="U650" s="1436"/>
      <c r="V650" s="1436"/>
      <c r="W650" s="1436"/>
      <c r="X650" s="1436"/>
      <c r="Y650" s="1436"/>
      <c r="Z650" s="1436"/>
      <c r="AA650" s="1436"/>
      <c r="AB650" s="1436"/>
      <c r="AC650" s="1436"/>
      <c r="AD650" s="1436"/>
      <c r="AE650" s="1436"/>
      <c r="AF650" s="1436"/>
    </row>
    <row r="651" spans="1:32">
      <c r="A651" s="1436"/>
      <c r="B651" s="1436"/>
      <c r="C651" s="1436"/>
      <c r="D651" s="1436"/>
      <c r="E651" s="1436"/>
      <c r="F651" s="1436"/>
      <c r="G651" s="1436"/>
      <c r="H651" s="1436"/>
      <c r="I651" s="1436"/>
      <c r="J651" s="1436"/>
      <c r="K651" s="1436"/>
      <c r="L651" s="1436"/>
      <c r="M651" s="1436"/>
      <c r="N651" s="1436"/>
      <c r="O651" s="1436"/>
      <c r="P651" s="1436"/>
      <c r="Q651" s="1436"/>
      <c r="R651" s="1436"/>
      <c r="S651" s="1436"/>
      <c r="T651" s="1436"/>
      <c r="U651" s="1436"/>
      <c r="V651" s="1436"/>
      <c r="W651" s="1436"/>
      <c r="X651" s="1436"/>
      <c r="Y651" s="1436"/>
      <c r="Z651" s="1436"/>
      <c r="AA651" s="1436"/>
      <c r="AB651" s="1436"/>
      <c r="AC651" s="1436"/>
      <c r="AD651" s="1436"/>
      <c r="AE651" s="1436"/>
      <c r="AF651" s="1436"/>
    </row>
    <row r="652" spans="1:32">
      <c r="A652" s="1436"/>
      <c r="B652" s="1436"/>
      <c r="C652" s="1436"/>
      <c r="D652" s="1436"/>
      <c r="E652" s="1436"/>
      <c r="F652" s="1436"/>
      <c r="G652" s="1436"/>
      <c r="H652" s="1436"/>
      <c r="I652" s="1436"/>
      <c r="J652" s="1436"/>
      <c r="K652" s="1436"/>
      <c r="L652" s="1436"/>
      <c r="M652" s="1436"/>
      <c r="N652" s="1436"/>
      <c r="O652" s="1436"/>
      <c r="P652" s="1436"/>
      <c r="Q652" s="1436"/>
      <c r="R652" s="1436"/>
      <c r="S652" s="1436"/>
      <c r="T652" s="1436"/>
      <c r="U652" s="1436"/>
      <c r="V652" s="1436"/>
      <c r="W652" s="1436"/>
      <c r="X652" s="1436"/>
      <c r="Y652" s="1436"/>
      <c r="Z652" s="1436"/>
      <c r="AA652" s="1436"/>
      <c r="AB652" s="1436"/>
      <c r="AC652" s="1436"/>
      <c r="AD652" s="1436"/>
      <c r="AE652" s="1436"/>
      <c r="AF652" s="1436"/>
    </row>
    <row r="653" spans="1:32">
      <c r="A653" s="1436"/>
      <c r="B653" s="1436"/>
      <c r="C653" s="1436"/>
      <c r="D653" s="1436"/>
      <c r="E653" s="1436"/>
      <c r="F653" s="1436"/>
      <c r="G653" s="1436"/>
      <c r="H653" s="1436"/>
      <c r="I653" s="1436"/>
      <c r="J653" s="1436"/>
      <c r="K653" s="1436"/>
      <c r="L653" s="1436"/>
      <c r="M653" s="1436"/>
      <c r="N653" s="1436"/>
      <c r="O653" s="1436"/>
      <c r="P653" s="1436"/>
      <c r="Q653" s="1436"/>
      <c r="R653" s="1436"/>
      <c r="S653" s="1436"/>
      <c r="T653" s="1436"/>
      <c r="U653" s="1436"/>
      <c r="V653" s="1436"/>
      <c r="W653" s="1436"/>
      <c r="X653" s="1436"/>
      <c r="Y653" s="1436"/>
      <c r="Z653" s="1436"/>
      <c r="AA653" s="1436"/>
      <c r="AB653" s="1436"/>
      <c r="AC653" s="1436"/>
      <c r="AD653" s="1436"/>
      <c r="AE653" s="1436"/>
      <c r="AF653" s="1436"/>
    </row>
    <row r="654" spans="1:32">
      <c r="A654" s="1436"/>
      <c r="B654" s="1436"/>
      <c r="C654" s="1436"/>
      <c r="D654" s="1436"/>
      <c r="E654" s="1436"/>
      <c r="F654" s="1436"/>
      <c r="G654" s="1436"/>
      <c r="H654" s="1436"/>
      <c r="I654" s="1436"/>
      <c r="J654" s="1436"/>
      <c r="K654" s="1436"/>
      <c r="L654" s="1436"/>
      <c r="M654" s="1436"/>
      <c r="N654" s="1436"/>
      <c r="O654" s="1436"/>
      <c r="P654" s="1436"/>
      <c r="Q654" s="1436"/>
      <c r="R654" s="1436"/>
      <c r="S654" s="1436"/>
      <c r="T654" s="1436"/>
      <c r="U654" s="1436"/>
      <c r="V654" s="1436"/>
      <c r="W654" s="1436"/>
      <c r="X654" s="1436"/>
      <c r="Y654" s="1436"/>
      <c r="Z654" s="1436"/>
      <c r="AA654" s="1436"/>
      <c r="AB654" s="1436"/>
      <c r="AC654" s="1436"/>
      <c r="AD654" s="1436"/>
      <c r="AE654" s="1436"/>
      <c r="AF654" s="1436"/>
    </row>
    <row r="655" spans="1:32">
      <c r="A655" s="1436"/>
      <c r="B655" s="1436"/>
      <c r="C655" s="1436"/>
      <c r="D655" s="1436"/>
      <c r="E655" s="1436"/>
      <c r="F655" s="1436"/>
      <c r="G655" s="1436"/>
      <c r="H655" s="1436"/>
      <c r="I655" s="1436"/>
      <c r="J655" s="1436"/>
      <c r="K655" s="1436"/>
      <c r="L655" s="1436"/>
      <c r="M655" s="1436"/>
      <c r="N655" s="1436"/>
      <c r="O655" s="1436"/>
      <c r="P655" s="1436"/>
      <c r="Q655" s="1436"/>
      <c r="R655" s="1436"/>
      <c r="S655" s="1436"/>
      <c r="T655" s="1436"/>
      <c r="U655" s="1436"/>
      <c r="V655" s="1436"/>
      <c r="W655" s="1436"/>
      <c r="X655" s="1436"/>
      <c r="Y655" s="1436"/>
      <c r="Z655" s="1436"/>
      <c r="AA655" s="1436"/>
      <c r="AB655" s="1436"/>
      <c r="AC655" s="1436"/>
      <c r="AD655" s="1436"/>
      <c r="AE655" s="1436"/>
      <c r="AF655" s="1436"/>
    </row>
    <row r="656" spans="1:32">
      <c r="A656" s="1436"/>
      <c r="B656" s="1436"/>
      <c r="C656" s="1436"/>
      <c r="D656" s="1436"/>
      <c r="E656" s="1436"/>
      <c r="F656" s="1436"/>
      <c r="G656" s="1436"/>
      <c r="H656" s="1436"/>
      <c r="I656" s="1436"/>
      <c r="J656" s="1436"/>
      <c r="K656" s="1436"/>
      <c r="L656" s="1436"/>
      <c r="M656" s="1436"/>
      <c r="N656" s="1436"/>
      <c r="O656" s="1436"/>
      <c r="P656" s="1436"/>
      <c r="Q656" s="1436"/>
      <c r="R656" s="1436"/>
      <c r="S656" s="1436"/>
      <c r="T656" s="1436"/>
      <c r="U656" s="1436"/>
      <c r="V656" s="1436"/>
      <c r="W656" s="1436"/>
      <c r="X656" s="1436"/>
      <c r="Y656" s="1436"/>
      <c r="Z656" s="1436"/>
      <c r="AA656" s="1436"/>
      <c r="AB656" s="1436"/>
      <c r="AC656" s="1436"/>
      <c r="AD656" s="1436"/>
      <c r="AE656" s="1436"/>
      <c r="AF656" s="1436"/>
    </row>
    <row r="657" spans="1:32">
      <c r="A657" s="1436"/>
      <c r="B657" s="1436"/>
      <c r="C657" s="1436"/>
      <c r="D657" s="1436"/>
      <c r="E657" s="1436"/>
      <c r="F657" s="1436"/>
      <c r="G657" s="1436"/>
      <c r="H657" s="1436"/>
      <c r="I657" s="1436"/>
      <c r="J657" s="1436"/>
      <c r="K657" s="1436"/>
      <c r="L657" s="1436"/>
      <c r="M657" s="1436"/>
      <c r="N657" s="1436"/>
      <c r="O657" s="1436"/>
      <c r="P657" s="1436"/>
      <c r="Q657" s="1436"/>
      <c r="R657" s="1436"/>
      <c r="S657" s="1436"/>
      <c r="T657" s="1436"/>
      <c r="U657" s="1436"/>
      <c r="V657" s="1436"/>
      <c r="W657" s="1436"/>
      <c r="X657" s="1436"/>
      <c r="Y657" s="1436"/>
      <c r="Z657" s="1436"/>
      <c r="AA657" s="1436"/>
      <c r="AB657" s="1436"/>
      <c r="AC657" s="1436"/>
      <c r="AD657" s="1436"/>
      <c r="AE657" s="1436"/>
      <c r="AF657" s="1436"/>
    </row>
    <row r="658" spans="1:32">
      <c r="A658" s="1436"/>
      <c r="B658" s="1436"/>
      <c r="C658" s="1436"/>
      <c r="D658" s="1436"/>
      <c r="E658" s="1436"/>
      <c r="F658" s="1436"/>
      <c r="G658" s="1436"/>
      <c r="H658" s="1436"/>
      <c r="I658" s="1436"/>
      <c r="J658" s="1436"/>
      <c r="K658" s="1436"/>
      <c r="L658" s="1436"/>
      <c r="M658" s="1436"/>
      <c r="N658" s="1436"/>
      <c r="O658" s="1436"/>
      <c r="P658" s="1436"/>
      <c r="Q658" s="1436"/>
      <c r="R658" s="1436"/>
      <c r="S658" s="1436"/>
      <c r="T658" s="1436"/>
      <c r="U658" s="1436"/>
      <c r="V658" s="1436"/>
      <c r="W658" s="1436"/>
      <c r="X658" s="1436"/>
      <c r="Y658" s="1436"/>
      <c r="Z658" s="1436"/>
      <c r="AA658" s="1436"/>
      <c r="AB658" s="1436"/>
      <c r="AC658" s="1436"/>
      <c r="AD658" s="1436"/>
      <c r="AE658" s="1436"/>
      <c r="AF658" s="1436"/>
    </row>
    <row r="659" spans="1:32">
      <c r="A659" s="1436"/>
      <c r="B659" s="1436"/>
      <c r="C659" s="1436"/>
      <c r="D659" s="1436"/>
      <c r="E659" s="1436"/>
      <c r="F659" s="1436"/>
      <c r="G659" s="1436"/>
      <c r="H659" s="1436"/>
      <c r="I659" s="1436"/>
      <c r="J659" s="1436"/>
      <c r="K659" s="1436"/>
      <c r="L659" s="1436"/>
      <c r="M659" s="1436"/>
      <c r="N659" s="1436"/>
      <c r="O659" s="1436"/>
      <c r="P659" s="1436"/>
      <c r="Q659" s="1436"/>
      <c r="R659" s="1436"/>
      <c r="S659" s="1436"/>
      <c r="T659" s="1436"/>
      <c r="U659" s="1436"/>
      <c r="V659" s="1436"/>
      <c r="W659" s="1436"/>
      <c r="X659" s="1436"/>
      <c r="Y659" s="1436"/>
      <c r="Z659" s="1436"/>
      <c r="AA659" s="1436"/>
      <c r="AB659" s="1436"/>
      <c r="AC659" s="1436"/>
      <c r="AD659" s="1436"/>
      <c r="AE659" s="1436"/>
      <c r="AF659" s="1436"/>
    </row>
    <row r="660" spans="1:32">
      <c r="A660" s="1436"/>
      <c r="B660" s="1436"/>
      <c r="C660" s="1436"/>
      <c r="D660" s="1436"/>
      <c r="E660" s="1436"/>
      <c r="F660" s="1436"/>
      <c r="G660" s="1436"/>
      <c r="H660" s="1436"/>
      <c r="I660" s="1436"/>
      <c r="J660" s="1436"/>
      <c r="K660" s="1436"/>
      <c r="L660" s="1436"/>
      <c r="M660" s="1436"/>
      <c r="N660" s="1436"/>
      <c r="O660" s="1436"/>
      <c r="P660" s="1436"/>
      <c r="Q660" s="1436"/>
      <c r="R660" s="1436"/>
      <c r="S660" s="1436"/>
      <c r="T660" s="1436"/>
      <c r="U660" s="1436"/>
      <c r="V660" s="1436"/>
      <c r="W660" s="1436"/>
      <c r="X660" s="1436"/>
      <c r="Y660" s="1436"/>
      <c r="Z660" s="1436"/>
      <c r="AA660" s="1436"/>
      <c r="AB660" s="1436"/>
      <c r="AC660" s="1436"/>
      <c r="AD660" s="1436"/>
      <c r="AE660" s="1436"/>
      <c r="AF660" s="1436"/>
    </row>
    <row r="661" spans="1:32">
      <c r="A661" s="1436"/>
      <c r="B661" s="1436"/>
      <c r="C661" s="1436"/>
      <c r="D661" s="1436"/>
      <c r="E661" s="1436"/>
      <c r="F661" s="1436"/>
      <c r="G661" s="1436"/>
      <c r="H661" s="1436"/>
      <c r="I661" s="1436"/>
      <c r="J661" s="1436"/>
      <c r="K661" s="1436"/>
      <c r="L661" s="1436"/>
      <c r="M661" s="1436"/>
      <c r="N661" s="1436"/>
      <c r="O661" s="1436"/>
      <c r="P661" s="1436"/>
      <c r="Q661" s="1436"/>
      <c r="R661" s="1436"/>
      <c r="S661" s="1436"/>
      <c r="T661" s="1436"/>
      <c r="U661" s="1436"/>
      <c r="V661" s="1436"/>
      <c r="W661" s="1436"/>
      <c r="X661" s="1436"/>
      <c r="Y661" s="1436"/>
      <c r="Z661" s="1436"/>
      <c r="AA661" s="1436"/>
      <c r="AB661" s="1436"/>
      <c r="AC661" s="1436"/>
      <c r="AD661" s="1436"/>
      <c r="AE661" s="1436"/>
      <c r="AF661" s="1436"/>
    </row>
    <row r="662" spans="1:32">
      <c r="A662" s="1436"/>
      <c r="B662" s="1436"/>
      <c r="C662" s="1436"/>
      <c r="D662" s="1436"/>
      <c r="E662" s="1436"/>
      <c r="F662" s="1436"/>
      <c r="G662" s="1436"/>
      <c r="H662" s="1436"/>
      <c r="I662" s="1436"/>
      <c r="J662" s="1436"/>
      <c r="K662" s="1436"/>
      <c r="L662" s="1436"/>
      <c r="M662" s="1436"/>
      <c r="N662" s="1436"/>
      <c r="O662" s="1436"/>
      <c r="P662" s="1436"/>
      <c r="Q662" s="1436"/>
      <c r="R662" s="1436"/>
      <c r="S662" s="1436"/>
      <c r="T662" s="1436"/>
      <c r="U662" s="1436"/>
      <c r="V662" s="1436"/>
      <c r="W662" s="1436"/>
      <c r="X662" s="1436"/>
      <c r="Y662" s="1436"/>
      <c r="Z662" s="1436"/>
      <c r="AA662" s="1436"/>
      <c r="AB662" s="1436"/>
      <c r="AC662" s="1436"/>
      <c r="AD662" s="1436"/>
      <c r="AE662" s="1436"/>
      <c r="AF662" s="1436"/>
    </row>
    <row r="663" spans="1:32">
      <c r="A663" s="1436"/>
      <c r="B663" s="1436"/>
      <c r="C663" s="1436"/>
      <c r="D663" s="1436"/>
      <c r="E663" s="1436"/>
      <c r="F663" s="1436"/>
      <c r="G663" s="1436"/>
      <c r="H663" s="1436"/>
      <c r="I663" s="1436"/>
      <c r="J663" s="1436"/>
      <c r="K663" s="1436"/>
      <c r="L663" s="1436"/>
      <c r="M663" s="1436"/>
      <c r="N663" s="1436"/>
      <c r="O663" s="1436"/>
      <c r="P663" s="1436"/>
      <c r="Q663" s="1436"/>
      <c r="R663" s="1436"/>
      <c r="S663" s="1436"/>
      <c r="T663" s="1436"/>
      <c r="U663" s="1436"/>
      <c r="V663" s="1436"/>
      <c r="W663" s="1436"/>
      <c r="X663" s="1436"/>
      <c r="Y663" s="1436"/>
      <c r="Z663" s="1436"/>
      <c r="AA663" s="1436"/>
      <c r="AB663" s="1436"/>
      <c r="AC663" s="1436"/>
      <c r="AD663" s="1436"/>
      <c r="AE663" s="1436"/>
      <c r="AF663" s="1436"/>
    </row>
    <row r="664" spans="1:32">
      <c r="A664" s="1436"/>
      <c r="B664" s="1436"/>
      <c r="C664" s="1436"/>
      <c r="D664" s="1436"/>
      <c r="E664" s="1436"/>
      <c r="F664" s="1436"/>
      <c r="G664" s="1436"/>
      <c r="H664" s="1436"/>
      <c r="I664" s="1436"/>
      <c r="J664" s="1436"/>
      <c r="K664" s="1436"/>
      <c r="L664" s="1436"/>
      <c r="M664" s="1436"/>
      <c r="N664" s="1436"/>
      <c r="O664" s="1436"/>
      <c r="P664" s="1436"/>
      <c r="Q664" s="1436"/>
      <c r="R664" s="1436"/>
      <c r="S664" s="1436"/>
      <c r="T664" s="1436"/>
      <c r="U664" s="1436"/>
      <c r="V664" s="1436"/>
      <c r="W664" s="1436"/>
      <c r="X664" s="1436"/>
      <c r="Y664" s="1436"/>
      <c r="Z664" s="1436"/>
      <c r="AA664" s="1436"/>
      <c r="AB664" s="1436"/>
      <c r="AC664" s="1436"/>
      <c r="AD664" s="1436"/>
      <c r="AE664" s="1436"/>
      <c r="AF664" s="1436"/>
    </row>
    <row r="665" spans="1:32">
      <c r="A665" s="1436"/>
      <c r="B665" s="1436"/>
      <c r="C665" s="1436"/>
      <c r="D665" s="1436"/>
      <c r="E665" s="1436"/>
      <c r="F665" s="1436"/>
      <c r="G665" s="1436"/>
      <c r="H665" s="1436"/>
      <c r="I665" s="1436"/>
      <c r="J665" s="1436"/>
      <c r="K665" s="1436"/>
      <c r="L665" s="1436"/>
      <c r="M665" s="1436"/>
      <c r="N665" s="1436"/>
      <c r="O665" s="1436"/>
      <c r="P665" s="1436"/>
      <c r="Q665" s="1436"/>
      <c r="R665" s="1436"/>
      <c r="S665" s="1436"/>
      <c r="T665" s="1436"/>
      <c r="U665" s="1436"/>
      <c r="V665" s="1436"/>
      <c r="W665" s="1436"/>
      <c r="X665" s="1436"/>
      <c r="Y665" s="1436"/>
      <c r="Z665" s="1436"/>
      <c r="AA665" s="1436"/>
      <c r="AB665" s="1436"/>
      <c r="AC665" s="1436"/>
      <c r="AD665" s="1436"/>
      <c r="AE665" s="1436"/>
      <c r="AF665" s="1436"/>
    </row>
    <row r="666" spans="1:32">
      <c r="A666" s="1436"/>
      <c r="B666" s="1436"/>
      <c r="C666" s="1436"/>
      <c r="D666" s="1436"/>
      <c r="E666" s="1436"/>
      <c r="F666" s="1436"/>
      <c r="G666" s="1436"/>
      <c r="H666" s="1436"/>
      <c r="I666" s="1436"/>
      <c r="J666" s="1436"/>
      <c r="K666" s="1436"/>
      <c r="L666" s="1436"/>
      <c r="M666" s="1436"/>
      <c r="N666" s="1436"/>
      <c r="O666" s="1436"/>
      <c r="P666" s="1436"/>
      <c r="Q666" s="1436"/>
      <c r="R666" s="1436"/>
      <c r="S666" s="1436"/>
      <c r="T666" s="1436"/>
      <c r="U666" s="1436"/>
      <c r="V666" s="1436"/>
      <c r="W666" s="1436"/>
      <c r="X666" s="1436"/>
      <c r="Y666" s="1436"/>
      <c r="Z666" s="1436"/>
      <c r="AA666" s="1436"/>
      <c r="AB666" s="1436"/>
      <c r="AC666" s="1436"/>
      <c r="AD666" s="1436"/>
      <c r="AE666" s="1436"/>
      <c r="AF666" s="1436"/>
    </row>
    <row r="667" spans="1:32">
      <c r="A667" s="1436"/>
      <c r="B667" s="1436"/>
      <c r="C667" s="1436"/>
      <c r="D667" s="1436"/>
      <c r="E667" s="1436"/>
      <c r="F667" s="1436"/>
      <c r="G667" s="1436"/>
      <c r="H667" s="1436"/>
      <c r="I667" s="1436"/>
      <c r="J667" s="1436"/>
      <c r="K667" s="1436"/>
      <c r="L667" s="1436"/>
      <c r="M667" s="1436"/>
      <c r="N667" s="1436"/>
      <c r="O667" s="1436"/>
      <c r="P667" s="1436"/>
      <c r="Q667" s="1436"/>
      <c r="R667" s="1436"/>
      <c r="S667" s="1436"/>
      <c r="T667" s="1436"/>
      <c r="U667" s="1436"/>
      <c r="V667" s="1436"/>
      <c r="W667" s="1436"/>
      <c r="X667" s="1436"/>
      <c r="Y667" s="1436"/>
      <c r="Z667" s="1436"/>
      <c r="AA667" s="1436"/>
      <c r="AB667" s="1436"/>
      <c r="AC667" s="1436"/>
      <c r="AD667" s="1436"/>
      <c r="AE667" s="1436"/>
      <c r="AF667" s="1436"/>
    </row>
    <row r="668" spans="1:32">
      <c r="A668" s="1436"/>
      <c r="B668" s="1436"/>
      <c r="C668" s="1436"/>
      <c r="D668" s="1436"/>
      <c r="E668" s="1436"/>
      <c r="F668" s="1436"/>
      <c r="G668" s="1436"/>
      <c r="H668" s="1436"/>
      <c r="I668" s="1436"/>
      <c r="J668" s="1436"/>
      <c r="K668" s="1436"/>
      <c r="L668" s="1436"/>
      <c r="M668" s="1436"/>
      <c r="N668" s="1436"/>
      <c r="O668" s="1436"/>
      <c r="P668" s="1436"/>
      <c r="Q668" s="1436"/>
      <c r="R668" s="1436"/>
      <c r="S668" s="1436"/>
      <c r="T668" s="1436"/>
      <c r="U668" s="1436"/>
      <c r="V668" s="1436"/>
      <c r="W668" s="1436"/>
      <c r="X668" s="1436"/>
      <c r="Y668" s="1436"/>
      <c r="Z668" s="1436"/>
      <c r="AA668" s="1436"/>
      <c r="AB668" s="1436"/>
      <c r="AC668" s="1436"/>
      <c r="AD668" s="1436"/>
      <c r="AE668" s="1436"/>
      <c r="AF668" s="1436"/>
    </row>
    <row r="669" spans="1:32">
      <c r="A669" s="1436"/>
      <c r="B669" s="1436"/>
      <c r="C669" s="1436"/>
      <c r="D669" s="1436"/>
      <c r="E669" s="1436"/>
      <c r="F669" s="1436"/>
      <c r="G669" s="1436"/>
      <c r="H669" s="1436"/>
      <c r="I669" s="1436"/>
      <c r="J669" s="1436"/>
      <c r="K669" s="1436"/>
      <c r="L669" s="1436"/>
      <c r="M669" s="1436"/>
      <c r="N669" s="1436"/>
      <c r="O669" s="1436"/>
      <c r="P669" s="1436"/>
      <c r="Q669" s="1436"/>
      <c r="R669" s="1436"/>
      <c r="S669" s="1436"/>
      <c r="T669" s="1436"/>
      <c r="U669" s="1436"/>
      <c r="V669" s="1436"/>
      <c r="W669" s="1436"/>
      <c r="X669" s="1436"/>
      <c r="Y669" s="1436"/>
      <c r="Z669" s="1436"/>
      <c r="AA669" s="1436"/>
      <c r="AB669" s="1436"/>
      <c r="AC669" s="1436"/>
      <c r="AD669" s="1436"/>
      <c r="AE669" s="1436"/>
      <c r="AF669" s="1436"/>
    </row>
    <row r="670" spans="1:32">
      <c r="A670" s="1436"/>
      <c r="B670" s="1436"/>
      <c r="C670" s="1436"/>
      <c r="D670" s="1436"/>
      <c r="E670" s="1436"/>
      <c r="F670" s="1436"/>
      <c r="G670" s="1436"/>
      <c r="H670" s="1436"/>
      <c r="I670" s="1436"/>
      <c r="J670" s="1436"/>
      <c r="K670" s="1436"/>
      <c r="L670" s="1436"/>
      <c r="M670" s="1436"/>
      <c r="N670" s="1436"/>
      <c r="O670" s="1436"/>
      <c r="P670" s="1436"/>
      <c r="Q670" s="1436"/>
      <c r="R670" s="1436"/>
      <c r="S670" s="1436"/>
      <c r="T670" s="1436"/>
      <c r="U670" s="1436"/>
      <c r="V670" s="1436"/>
      <c r="W670" s="1436"/>
      <c r="X670" s="1436"/>
      <c r="Y670" s="1436"/>
      <c r="Z670" s="1436"/>
      <c r="AA670" s="1436"/>
      <c r="AB670" s="1436"/>
      <c r="AC670" s="1436"/>
      <c r="AD670" s="1436"/>
      <c r="AE670" s="1436"/>
      <c r="AF670" s="1436"/>
    </row>
    <row r="671" spans="1:32">
      <c r="A671" s="1436"/>
      <c r="B671" s="1436"/>
      <c r="C671" s="1436"/>
      <c r="D671" s="1436"/>
      <c r="E671" s="1436"/>
      <c r="F671" s="1436"/>
      <c r="G671" s="1436"/>
      <c r="H671" s="1436"/>
      <c r="I671" s="1436"/>
      <c r="J671" s="1436"/>
      <c r="K671" s="1436"/>
      <c r="L671" s="1436"/>
      <c r="M671" s="1436"/>
      <c r="N671" s="1436"/>
      <c r="O671" s="1436"/>
      <c r="P671" s="1436"/>
      <c r="Q671" s="1436"/>
      <c r="R671" s="1436"/>
      <c r="S671" s="1436"/>
      <c r="T671" s="1436"/>
      <c r="U671" s="1436"/>
      <c r="V671" s="1436"/>
      <c r="W671" s="1436"/>
      <c r="X671" s="1436"/>
      <c r="Y671" s="1436"/>
      <c r="Z671" s="1436"/>
      <c r="AA671" s="1436"/>
      <c r="AB671" s="1436"/>
      <c r="AC671" s="1436"/>
      <c r="AD671" s="1436"/>
      <c r="AE671" s="1436"/>
      <c r="AF671" s="1436"/>
    </row>
    <row r="672" spans="1:32">
      <c r="A672" s="1436"/>
      <c r="B672" s="1436"/>
      <c r="C672" s="1436"/>
      <c r="D672" s="1436"/>
      <c r="E672" s="1436"/>
      <c r="F672" s="1436"/>
      <c r="G672" s="1436"/>
      <c r="H672" s="1436"/>
      <c r="I672" s="1436"/>
      <c r="J672" s="1436"/>
      <c r="K672" s="1436"/>
      <c r="L672" s="1436"/>
      <c r="M672" s="1436"/>
      <c r="N672" s="1436"/>
      <c r="O672" s="1436"/>
      <c r="P672" s="1436"/>
      <c r="Q672" s="1436"/>
      <c r="R672" s="1436"/>
      <c r="S672" s="1436"/>
      <c r="T672" s="1436"/>
      <c r="U672" s="1436"/>
      <c r="V672" s="1436"/>
      <c r="W672" s="1436"/>
      <c r="X672" s="1436"/>
      <c r="Y672" s="1436"/>
      <c r="Z672" s="1436"/>
      <c r="AA672" s="1436"/>
      <c r="AB672" s="1436"/>
      <c r="AC672" s="1436"/>
      <c r="AD672" s="1436"/>
      <c r="AE672" s="1436"/>
      <c r="AF672" s="1436"/>
    </row>
    <row r="673" spans="1:32">
      <c r="A673" s="1436"/>
      <c r="B673" s="1436"/>
      <c r="C673" s="1436"/>
      <c r="D673" s="1436"/>
      <c r="E673" s="1436"/>
      <c r="F673" s="1436"/>
      <c r="G673" s="1436"/>
      <c r="H673" s="1436"/>
      <c r="I673" s="1436"/>
      <c r="J673" s="1436"/>
      <c r="K673" s="1436"/>
      <c r="L673" s="1436"/>
      <c r="M673" s="1436"/>
      <c r="N673" s="1436"/>
      <c r="O673" s="1436"/>
      <c r="P673" s="1436"/>
      <c r="Q673" s="1436"/>
      <c r="R673" s="1436"/>
      <c r="S673" s="1436"/>
      <c r="T673" s="1436"/>
      <c r="U673" s="1436"/>
      <c r="V673" s="1436"/>
      <c r="W673" s="1436"/>
      <c r="X673" s="1436"/>
      <c r="Y673" s="1436"/>
      <c r="Z673" s="1436"/>
      <c r="AA673" s="1436"/>
      <c r="AB673" s="1436"/>
      <c r="AC673" s="1436"/>
      <c r="AD673" s="1436"/>
      <c r="AE673" s="1436"/>
      <c r="AF673" s="1436"/>
    </row>
    <row r="674" spans="1:32">
      <c r="A674" s="1436"/>
      <c r="B674" s="1436"/>
      <c r="C674" s="1436"/>
      <c r="D674" s="1436"/>
      <c r="E674" s="1436"/>
      <c r="F674" s="1436"/>
      <c r="G674" s="1436"/>
      <c r="H674" s="1436"/>
      <c r="I674" s="1436"/>
      <c r="J674" s="1436"/>
      <c r="K674" s="1436"/>
      <c r="L674" s="1436"/>
      <c r="M674" s="1436"/>
      <c r="N674" s="1436"/>
      <c r="O674" s="1436"/>
      <c r="P674" s="1436"/>
      <c r="Q674" s="1436"/>
      <c r="R674" s="1436"/>
      <c r="S674" s="1436"/>
      <c r="T674" s="1436"/>
      <c r="U674" s="1436"/>
      <c r="V674" s="1436"/>
      <c r="W674" s="1436"/>
      <c r="X674" s="1436"/>
      <c r="Y674" s="1436"/>
      <c r="Z674" s="1436"/>
      <c r="AA674" s="1436"/>
      <c r="AB674" s="1436"/>
      <c r="AC674" s="1436"/>
      <c r="AD674" s="1436"/>
      <c r="AE674" s="1436"/>
      <c r="AF674" s="1436"/>
    </row>
    <row r="675" spans="1:32">
      <c r="A675" s="1436"/>
      <c r="B675" s="1436"/>
      <c r="C675" s="1436"/>
      <c r="D675" s="1436"/>
      <c r="E675" s="1436"/>
      <c r="F675" s="1436"/>
      <c r="G675" s="1436"/>
      <c r="H675" s="1436"/>
      <c r="I675" s="1436"/>
      <c r="J675" s="1436"/>
      <c r="K675" s="1436"/>
      <c r="L675" s="1436"/>
      <c r="M675" s="1436"/>
      <c r="N675" s="1436"/>
      <c r="O675" s="1436"/>
      <c r="P675" s="1436"/>
      <c r="Q675" s="1436"/>
      <c r="R675" s="1436"/>
      <c r="S675" s="1436"/>
      <c r="T675" s="1436"/>
      <c r="U675" s="1436"/>
      <c r="V675" s="1436"/>
      <c r="W675" s="1436"/>
      <c r="X675" s="1436"/>
      <c r="Y675" s="1436"/>
      <c r="Z675" s="1436"/>
      <c r="AA675" s="1436"/>
      <c r="AB675" s="1436"/>
      <c r="AC675" s="1436"/>
      <c r="AD675" s="1436"/>
      <c r="AE675" s="1436"/>
      <c r="AF675" s="1436"/>
    </row>
    <row r="676" spans="1:32">
      <c r="A676" s="1436"/>
      <c r="B676" s="1436"/>
      <c r="C676" s="1436"/>
      <c r="D676" s="1436"/>
      <c r="E676" s="1436"/>
      <c r="F676" s="1436"/>
      <c r="G676" s="1436"/>
      <c r="H676" s="1436"/>
      <c r="I676" s="1436"/>
      <c r="J676" s="1436"/>
      <c r="K676" s="1436"/>
      <c r="L676" s="1436"/>
      <c r="M676" s="1436"/>
      <c r="N676" s="1436"/>
      <c r="O676" s="1436"/>
      <c r="P676" s="1436"/>
      <c r="Q676" s="1436"/>
      <c r="R676" s="1436"/>
      <c r="S676" s="1436"/>
      <c r="T676" s="1436"/>
      <c r="U676" s="1436"/>
      <c r="V676" s="1436"/>
      <c r="W676" s="1436"/>
      <c r="X676" s="1436"/>
      <c r="Y676" s="1436"/>
      <c r="Z676" s="1436"/>
      <c r="AA676" s="1436"/>
      <c r="AB676" s="1436"/>
      <c r="AC676" s="1436"/>
      <c r="AD676" s="1436"/>
      <c r="AE676" s="1436"/>
      <c r="AF676" s="1436"/>
    </row>
    <row r="677" spans="1:32">
      <c r="A677" s="1436"/>
      <c r="B677" s="1436"/>
      <c r="C677" s="1436"/>
      <c r="D677" s="1436"/>
      <c r="E677" s="1436"/>
      <c r="F677" s="1436"/>
      <c r="G677" s="1436"/>
      <c r="H677" s="1436"/>
      <c r="I677" s="1436"/>
      <c r="J677" s="1436"/>
      <c r="K677" s="1436"/>
      <c r="L677" s="1436"/>
      <c r="M677" s="1436"/>
      <c r="N677" s="1436"/>
      <c r="O677" s="1436"/>
      <c r="P677" s="1436"/>
      <c r="Q677" s="1436"/>
      <c r="R677" s="1436"/>
      <c r="S677" s="1436"/>
      <c r="T677" s="1436"/>
      <c r="U677" s="1436"/>
      <c r="V677" s="1436"/>
      <c r="W677" s="1436"/>
      <c r="X677" s="1436"/>
      <c r="Y677" s="1436"/>
      <c r="Z677" s="1436"/>
      <c r="AA677" s="1436"/>
      <c r="AB677" s="1436"/>
      <c r="AC677" s="1436"/>
      <c r="AD677" s="1436"/>
      <c r="AE677" s="1436"/>
      <c r="AF677" s="1436"/>
    </row>
    <row r="678" spans="1:32">
      <c r="A678" s="1436"/>
      <c r="B678" s="1436"/>
      <c r="C678" s="1436"/>
      <c r="D678" s="1436"/>
      <c r="E678" s="1436"/>
      <c r="F678" s="1436"/>
      <c r="G678" s="1436"/>
      <c r="H678" s="1436"/>
      <c r="I678" s="1436"/>
      <c r="J678" s="1436"/>
      <c r="K678" s="1436"/>
      <c r="L678" s="1436"/>
      <c r="M678" s="1436"/>
      <c r="N678" s="1436"/>
      <c r="O678" s="1436"/>
      <c r="P678" s="1436"/>
      <c r="Q678" s="1436"/>
      <c r="R678" s="1436"/>
      <c r="S678" s="1436"/>
      <c r="T678" s="1436"/>
      <c r="U678" s="1436"/>
      <c r="V678" s="1436"/>
      <c r="W678" s="1436"/>
      <c r="X678" s="1436"/>
      <c r="Y678" s="1436"/>
      <c r="Z678" s="1436"/>
      <c r="AA678" s="1436"/>
      <c r="AB678" s="1436"/>
      <c r="AC678" s="1436"/>
      <c r="AD678" s="1436"/>
      <c r="AE678" s="1436"/>
      <c r="AF678" s="1436"/>
    </row>
    <row r="679" spans="1:32">
      <c r="A679" s="1436"/>
      <c r="B679" s="1436"/>
      <c r="C679" s="1436"/>
      <c r="D679" s="1436"/>
      <c r="E679" s="1436"/>
      <c r="F679" s="1436"/>
      <c r="G679" s="1436"/>
      <c r="H679" s="1436"/>
      <c r="I679" s="1436"/>
      <c r="J679" s="1436"/>
      <c r="K679" s="1436"/>
      <c r="L679" s="1436"/>
      <c r="M679" s="1436"/>
      <c r="N679" s="1436"/>
      <c r="O679" s="1436"/>
      <c r="P679" s="1436"/>
      <c r="Q679" s="1436"/>
      <c r="R679" s="1436"/>
      <c r="S679" s="1436"/>
      <c r="T679" s="1436"/>
      <c r="U679" s="1436"/>
      <c r="V679" s="1436"/>
      <c r="W679" s="1436"/>
      <c r="X679" s="1436"/>
      <c r="Y679" s="1436"/>
      <c r="Z679" s="1436"/>
      <c r="AA679" s="1436"/>
      <c r="AB679" s="1436"/>
      <c r="AC679" s="1436"/>
      <c r="AD679" s="1436"/>
      <c r="AE679" s="1436"/>
      <c r="AF679" s="1436"/>
    </row>
    <row r="680" spans="1:32">
      <c r="A680" s="1436"/>
      <c r="B680" s="1436"/>
      <c r="C680" s="1436"/>
      <c r="D680" s="1436"/>
      <c r="E680" s="1436"/>
      <c r="F680" s="1436"/>
      <c r="G680" s="1436"/>
      <c r="H680" s="1436"/>
      <c r="I680" s="1436"/>
      <c r="J680" s="1436"/>
      <c r="K680" s="1436"/>
      <c r="L680" s="1436"/>
      <c r="M680" s="1436"/>
      <c r="N680" s="1436"/>
      <c r="O680" s="1436"/>
      <c r="P680" s="1436"/>
      <c r="Q680" s="1436"/>
      <c r="R680" s="1436"/>
      <c r="S680" s="1436"/>
      <c r="T680" s="1436"/>
      <c r="U680" s="1436"/>
      <c r="V680" s="1436"/>
      <c r="W680" s="1436"/>
      <c r="X680" s="1436"/>
      <c r="Y680" s="1436"/>
      <c r="Z680" s="1436"/>
      <c r="AA680" s="1436"/>
      <c r="AB680" s="1436"/>
      <c r="AC680" s="1436"/>
      <c r="AD680" s="1436"/>
      <c r="AE680" s="1436"/>
      <c r="AF680" s="1436"/>
    </row>
    <row r="681" spans="1:32">
      <c r="A681" s="1436"/>
      <c r="B681" s="1436"/>
      <c r="C681" s="1436"/>
      <c r="D681" s="1436"/>
      <c r="E681" s="1436"/>
      <c r="F681" s="1436"/>
      <c r="G681" s="1436"/>
      <c r="H681" s="1436"/>
      <c r="I681" s="1436"/>
      <c r="J681" s="1436"/>
      <c r="K681" s="1436"/>
      <c r="L681" s="1436"/>
      <c r="M681" s="1436"/>
      <c r="N681" s="1436"/>
      <c r="O681" s="1436"/>
      <c r="P681" s="1436"/>
      <c r="Q681" s="1436"/>
      <c r="R681" s="1436"/>
      <c r="S681" s="1436"/>
      <c r="T681" s="1436"/>
      <c r="U681" s="1436"/>
      <c r="V681" s="1436"/>
      <c r="W681" s="1436"/>
      <c r="X681" s="1436"/>
      <c r="Y681" s="1436"/>
      <c r="Z681" s="1436"/>
      <c r="AA681" s="1436"/>
      <c r="AB681" s="1436"/>
      <c r="AC681" s="1436"/>
      <c r="AD681" s="1436"/>
      <c r="AE681" s="1436"/>
      <c r="AF681" s="1436"/>
    </row>
    <row r="682" spans="1:32">
      <c r="A682" s="1436"/>
      <c r="B682" s="1436"/>
      <c r="C682" s="1436"/>
      <c r="D682" s="1436"/>
      <c r="E682" s="1436"/>
      <c r="F682" s="1436"/>
      <c r="G682" s="1436"/>
      <c r="H682" s="1436"/>
      <c r="I682" s="1436"/>
      <c r="J682" s="1436"/>
      <c r="K682" s="1436"/>
      <c r="L682" s="1436"/>
      <c r="M682" s="1436"/>
      <c r="N682" s="1436"/>
      <c r="O682" s="1436"/>
      <c r="P682" s="1436"/>
      <c r="Q682" s="1436"/>
      <c r="R682" s="1436"/>
      <c r="S682" s="1436"/>
      <c r="T682" s="1436"/>
      <c r="U682" s="1436"/>
      <c r="V682" s="1436"/>
      <c r="W682" s="1436"/>
      <c r="X682" s="1436"/>
      <c r="Y682" s="1436"/>
      <c r="Z682" s="1436"/>
      <c r="AA682" s="1436"/>
      <c r="AB682" s="1436"/>
      <c r="AC682" s="1436"/>
      <c r="AD682" s="1436"/>
      <c r="AE682" s="1436"/>
      <c r="AF682" s="1436"/>
    </row>
    <row r="683" spans="1:32">
      <c r="A683" s="1436"/>
      <c r="B683" s="1436"/>
      <c r="C683" s="1436"/>
      <c r="D683" s="1436"/>
      <c r="E683" s="1436"/>
      <c r="F683" s="1436"/>
      <c r="G683" s="1436"/>
      <c r="H683" s="1436"/>
      <c r="I683" s="1436"/>
      <c r="J683" s="1436"/>
      <c r="K683" s="1436"/>
      <c r="L683" s="1436"/>
      <c r="M683" s="1436"/>
      <c r="N683" s="1436"/>
      <c r="O683" s="1436"/>
      <c r="P683" s="1436"/>
      <c r="Q683" s="1436"/>
      <c r="R683" s="1436"/>
      <c r="S683" s="1436"/>
      <c r="T683" s="1436"/>
      <c r="U683" s="1436"/>
      <c r="V683" s="1436"/>
      <c r="W683" s="1436"/>
      <c r="X683" s="1436"/>
      <c r="Y683" s="1436"/>
      <c r="Z683" s="1436"/>
      <c r="AA683" s="1436"/>
      <c r="AB683" s="1436"/>
      <c r="AC683" s="1436"/>
      <c r="AD683" s="1436"/>
      <c r="AE683" s="1436"/>
      <c r="AF683" s="1436"/>
    </row>
    <row r="684" spans="1:32">
      <c r="A684" s="1436"/>
      <c r="B684" s="1436"/>
      <c r="C684" s="1436"/>
      <c r="D684" s="1436"/>
      <c r="E684" s="1436"/>
      <c r="F684" s="1436"/>
      <c r="G684" s="1436"/>
      <c r="H684" s="1436"/>
      <c r="I684" s="1436"/>
      <c r="J684" s="1436"/>
      <c r="K684" s="1436"/>
      <c r="L684" s="1436"/>
      <c r="M684" s="1436"/>
      <c r="N684" s="1436"/>
      <c r="O684" s="1436"/>
      <c r="P684" s="1436"/>
      <c r="Q684" s="1436"/>
      <c r="R684" s="1436"/>
      <c r="S684" s="1436"/>
      <c r="T684" s="1436"/>
      <c r="U684" s="1436"/>
      <c r="V684" s="1436"/>
      <c r="W684" s="1436"/>
      <c r="X684" s="1436"/>
      <c r="Y684" s="1436"/>
      <c r="Z684" s="1436"/>
      <c r="AA684" s="1436"/>
      <c r="AB684" s="1436"/>
      <c r="AC684" s="1436"/>
      <c r="AD684" s="1436"/>
      <c r="AE684" s="1436"/>
      <c r="AF684" s="1436"/>
    </row>
    <row r="685" spans="1:32">
      <c r="A685" s="1436"/>
      <c r="B685" s="1436"/>
      <c r="C685" s="1436"/>
      <c r="D685" s="1436"/>
      <c r="E685" s="1436"/>
      <c r="F685" s="1436"/>
      <c r="G685" s="1436"/>
      <c r="H685" s="1436"/>
      <c r="I685" s="1436"/>
      <c r="J685" s="1436"/>
      <c r="K685" s="1436"/>
      <c r="L685" s="1436"/>
      <c r="M685" s="1436"/>
      <c r="N685" s="1436"/>
      <c r="O685" s="1436"/>
      <c r="P685" s="1436"/>
      <c r="Q685" s="1436"/>
      <c r="R685" s="1436"/>
      <c r="S685" s="1436"/>
      <c r="T685" s="1436"/>
      <c r="U685" s="1436"/>
      <c r="V685" s="1436"/>
      <c r="W685" s="1436"/>
      <c r="X685" s="1436"/>
      <c r="Y685" s="1436"/>
      <c r="Z685" s="1436"/>
      <c r="AA685" s="1436"/>
      <c r="AB685" s="1436"/>
      <c r="AC685" s="1436"/>
      <c r="AD685" s="1436"/>
      <c r="AE685" s="1436"/>
      <c r="AF685" s="1436"/>
    </row>
    <row r="686" spans="1:32">
      <c r="A686" s="1436"/>
      <c r="B686" s="1436"/>
      <c r="C686" s="1436"/>
      <c r="D686" s="1436"/>
      <c r="E686" s="1436"/>
      <c r="F686" s="1436"/>
      <c r="G686" s="1436"/>
      <c r="H686" s="1436"/>
      <c r="I686" s="1436"/>
      <c r="J686" s="1436"/>
      <c r="K686" s="1436"/>
      <c r="L686" s="1436"/>
      <c r="M686" s="1436"/>
      <c r="N686" s="1436"/>
      <c r="O686" s="1436"/>
      <c r="P686" s="1436"/>
      <c r="Q686" s="1436"/>
      <c r="R686" s="1436"/>
      <c r="S686" s="1436"/>
      <c r="T686" s="1436"/>
      <c r="U686" s="1436"/>
      <c r="V686" s="1436"/>
      <c r="W686" s="1436"/>
      <c r="X686" s="1436"/>
      <c r="Y686" s="1436"/>
      <c r="Z686" s="1436"/>
      <c r="AA686" s="1436"/>
      <c r="AB686" s="1436"/>
      <c r="AC686" s="1436"/>
      <c r="AD686" s="1436"/>
      <c r="AE686" s="1436"/>
      <c r="AF686" s="1436"/>
    </row>
    <row r="687" spans="1:32">
      <c r="A687" s="1436"/>
      <c r="B687" s="1436"/>
      <c r="C687" s="1436"/>
      <c r="D687" s="1436"/>
      <c r="E687" s="1436"/>
      <c r="F687" s="1436"/>
      <c r="G687" s="1436"/>
      <c r="H687" s="1436"/>
      <c r="I687" s="1436"/>
      <c r="J687" s="1436"/>
      <c r="K687" s="1436"/>
      <c r="L687" s="1436"/>
      <c r="M687" s="1436"/>
      <c r="N687" s="1436"/>
      <c r="O687" s="1436"/>
      <c r="P687" s="1436"/>
      <c r="Q687" s="1436"/>
      <c r="R687" s="1436"/>
      <c r="S687" s="1436"/>
      <c r="T687" s="1436"/>
      <c r="U687" s="1436"/>
      <c r="V687" s="1436"/>
      <c r="W687" s="1436"/>
      <c r="X687" s="1436"/>
      <c r="Y687" s="1436"/>
      <c r="Z687" s="1436"/>
      <c r="AA687" s="1436"/>
      <c r="AB687" s="1436"/>
      <c r="AC687" s="1436"/>
      <c r="AD687" s="1436"/>
      <c r="AE687" s="1436"/>
      <c r="AF687" s="1436"/>
    </row>
    <row r="688" spans="1:32">
      <c r="A688" s="1436"/>
      <c r="B688" s="1436"/>
      <c r="C688" s="1436"/>
      <c r="D688" s="1436"/>
      <c r="E688" s="1436"/>
      <c r="F688" s="1436"/>
      <c r="G688" s="1436"/>
      <c r="H688" s="1436"/>
      <c r="I688" s="1436"/>
      <c r="J688" s="1436"/>
      <c r="K688" s="1436"/>
      <c r="L688" s="1436"/>
      <c r="M688" s="1436"/>
      <c r="N688" s="1436"/>
      <c r="O688" s="1436"/>
      <c r="P688" s="1436"/>
      <c r="Q688" s="1436"/>
      <c r="R688" s="1436"/>
      <c r="S688" s="1436"/>
      <c r="T688" s="1436"/>
      <c r="U688" s="1436"/>
      <c r="V688" s="1436"/>
      <c r="W688" s="1436"/>
      <c r="X688" s="1436"/>
      <c r="Y688" s="1436"/>
      <c r="Z688" s="1436"/>
      <c r="AA688" s="1436"/>
      <c r="AB688" s="1436"/>
      <c r="AC688" s="1436"/>
      <c r="AD688" s="1436"/>
      <c r="AE688" s="1436"/>
      <c r="AF688" s="1436"/>
    </row>
    <row r="689" spans="1:32">
      <c r="A689" s="1436"/>
      <c r="B689" s="1436"/>
      <c r="C689" s="1436"/>
      <c r="D689" s="1436"/>
      <c r="E689" s="1436"/>
      <c r="F689" s="1436"/>
      <c r="G689" s="1436"/>
      <c r="H689" s="1436"/>
      <c r="I689" s="1436"/>
      <c r="J689" s="1436"/>
      <c r="K689" s="1436"/>
      <c r="L689" s="1436"/>
      <c r="M689" s="1436"/>
      <c r="N689" s="1436"/>
      <c r="O689" s="1436"/>
      <c r="P689" s="1436"/>
      <c r="Q689" s="1436"/>
      <c r="R689" s="1436"/>
      <c r="S689" s="1436"/>
      <c r="T689" s="1436"/>
      <c r="U689" s="1436"/>
      <c r="V689" s="1436"/>
      <c r="W689" s="1436"/>
      <c r="X689" s="1436"/>
      <c r="Y689" s="1436"/>
      <c r="Z689" s="1436"/>
      <c r="AA689" s="1436"/>
      <c r="AB689" s="1436"/>
      <c r="AC689" s="1436"/>
      <c r="AD689" s="1436"/>
      <c r="AE689" s="1436"/>
      <c r="AF689" s="1436"/>
    </row>
    <row r="690" spans="1:32">
      <c r="A690" s="1436"/>
      <c r="B690" s="1436"/>
      <c r="C690" s="1436"/>
      <c r="D690" s="1436"/>
      <c r="E690" s="1436"/>
      <c r="F690" s="1436"/>
      <c r="G690" s="1436"/>
      <c r="H690" s="1436"/>
      <c r="I690" s="1436"/>
      <c r="J690" s="1436"/>
      <c r="K690" s="1436"/>
      <c r="L690" s="1436"/>
      <c r="M690" s="1436"/>
      <c r="N690" s="1436"/>
      <c r="O690" s="1436"/>
      <c r="P690" s="1436"/>
      <c r="Q690" s="1436"/>
      <c r="R690" s="1436"/>
      <c r="S690" s="1436"/>
      <c r="T690" s="1436"/>
      <c r="U690" s="1436"/>
      <c r="V690" s="1436"/>
      <c r="W690" s="1436"/>
      <c r="X690" s="1436"/>
      <c r="Y690" s="1436"/>
      <c r="Z690" s="1436"/>
      <c r="AA690" s="1436"/>
      <c r="AB690" s="1436"/>
      <c r="AC690" s="1436"/>
      <c r="AD690" s="1436"/>
      <c r="AE690" s="1436"/>
      <c r="AF690" s="1436"/>
    </row>
    <row r="691" spans="1:32">
      <c r="A691" s="1436"/>
      <c r="B691" s="1436"/>
      <c r="C691" s="1436"/>
      <c r="D691" s="1436"/>
      <c r="E691" s="1436"/>
      <c r="F691" s="1436"/>
      <c r="G691" s="1436"/>
      <c r="H691" s="1436"/>
      <c r="I691" s="1436"/>
      <c r="J691" s="1436"/>
      <c r="K691" s="1436"/>
      <c r="L691" s="1436"/>
      <c r="M691" s="1436"/>
      <c r="N691" s="1436"/>
      <c r="O691" s="1436"/>
      <c r="P691" s="1436"/>
      <c r="Q691" s="1436"/>
      <c r="R691" s="1436"/>
      <c r="S691" s="1436"/>
      <c r="T691" s="1436"/>
      <c r="U691" s="1436"/>
      <c r="V691" s="1436"/>
      <c r="W691" s="1436"/>
      <c r="X691" s="1436"/>
      <c r="Y691" s="1436"/>
      <c r="Z691" s="1436"/>
      <c r="AA691" s="1436"/>
      <c r="AB691" s="1436"/>
      <c r="AC691" s="1436"/>
      <c r="AD691" s="1436"/>
      <c r="AE691" s="1436"/>
      <c r="AF691" s="1436"/>
    </row>
    <row r="692" spans="1:32">
      <c r="A692" s="1436"/>
      <c r="B692" s="1436"/>
      <c r="C692" s="1436"/>
      <c r="D692" s="1436"/>
      <c r="E692" s="1436"/>
      <c r="F692" s="1436"/>
      <c r="G692" s="1436"/>
      <c r="H692" s="1436"/>
      <c r="I692" s="1436"/>
      <c r="J692" s="1436"/>
      <c r="K692" s="1436"/>
      <c r="L692" s="1436"/>
      <c r="M692" s="1436"/>
      <c r="N692" s="1436"/>
      <c r="O692" s="1436"/>
      <c r="P692" s="1436"/>
      <c r="Q692" s="1436"/>
      <c r="R692" s="1436"/>
      <c r="S692" s="1436"/>
      <c r="T692" s="1436"/>
      <c r="U692" s="1436"/>
      <c r="V692" s="1436"/>
      <c r="W692" s="1436"/>
      <c r="X692" s="1436"/>
      <c r="Y692" s="1436"/>
      <c r="Z692" s="1436"/>
      <c r="AA692" s="1436"/>
      <c r="AB692" s="1436"/>
      <c r="AC692" s="1436"/>
      <c r="AD692" s="1436"/>
      <c r="AE692" s="1436"/>
      <c r="AF692" s="1436"/>
    </row>
    <row r="693" spans="1:32">
      <c r="A693" s="1436"/>
      <c r="B693" s="1436"/>
      <c r="C693" s="1436"/>
      <c r="D693" s="1436"/>
      <c r="E693" s="1436"/>
      <c r="F693" s="1436"/>
      <c r="G693" s="1436"/>
      <c r="H693" s="1436"/>
      <c r="I693" s="1436"/>
      <c r="J693" s="1436"/>
      <c r="K693" s="1436"/>
      <c r="L693" s="1436"/>
      <c r="M693" s="1436"/>
      <c r="N693" s="1436"/>
      <c r="O693" s="1436"/>
      <c r="P693" s="1436"/>
      <c r="Q693" s="1436"/>
      <c r="R693" s="1436"/>
      <c r="S693" s="1436"/>
      <c r="T693" s="1436"/>
      <c r="U693" s="1436"/>
      <c r="V693" s="1436"/>
      <c r="W693" s="1436"/>
      <c r="X693" s="1436"/>
      <c r="Y693" s="1436"/>
      <c r="Z693" s="1436"/>
      <c r="AA693" s="1436"/>
      <c r="AB693" s="1436"/>
      <c r="AC693" s="1436"/>
      <c r="AD693" s="1436"/>
      <c r="AE693" s="1436"/>
      <c r="AF693" s="1436"/>
    </row>
    <row r="694" spans="1:32">
      <c r="A694" s="1436"/>
      <c r="B694" s="1436"/>
      <c r="C694" s="1436"/>
      <c r="D694" s="1436"/>
      <c r="E694" s="1436"/>
      <c r="F694" s="1436"/>
      <c r="G694" s="1436"/>
      <c r="H694" s="1436"/>
      <c r="I694" s="1436"/>
      <c r="J694" s="1436"/>
      <c r="K694" s="1436"/>
      <c r="L694" s="1436"/>
      <c r="M694" s="1436"/>
      <c r="N694" s="1436"/>
      <c r="O694" s="1436"/>
      <c r="P694" s="1436"/>
      <c r="Q694" s="1436"/>
      <c r="R694" s="1436"/>
      <c r="S694" s="1436"/>
      <c r="T694" s="1436"/>
      <c r="U694" s="1436"/>
      <c r="V694" s="1436"/>
      <c r="W694" s="1436"/>
      <c r="X694" s="1436"/>
      <c r="Y694" s="1436"/>
      <c r="Z694" s="1436"/>
      <c r="AA694" s="1436"/>
      <c r="AB694" s="1436"/>
      <c r="AC694" s="1436"/>
      <c r="AD694" s="1436"/>
      <c r="AE694" s="1436"/>
      <c r="AF694" s="1436"/>
    </row>
    <row r="695" spans="1:32">
      <c r="A695" s="1436"/>
      <c r="B695" s="1436"/>
      <c r="C695" s="1436"/>
      <c r="D695" s="1436"/>
      <c r="E695" s="1436"/>
      <c r="F695" s="1436"/>
      <c r="G695" s="1436"/>
      <c r="H695" s="1436"/>
      <c r="I695" s="1436"/>
      <c r="J695" s="1436"/>
      <c r="K695" s="1436"/>
      <c r="L695" s="1436"/>
      <c r="M695" s="1436"/>
      <c r="N695" s="1436"/>
      <c r="O695" s="1436"/>
      <c r="P695" s="1436"/>
      <c r="Q695" s="1436"/>
      <c r="R695" s="1436"/>
      <c r="S695" s="1436"/>
      <c r="T695" s="1436"/>
      <c r="U695" s="1436"/>
      <c r="V695" s="1436"/>
      <c r="W695" s="1436"/>
      <c r="X695" s="1436"/>
      <c r="Y695" s="1436"/>
      <c r="Z695" s="1436"/>
      <c r="AA695" s="1436"/>
      <c r="AB695" s="1436"/>
      <c r="AC695" s="1436"/>
      <c r="AD695" s="1436"/>
      <c r="AE695" s="1436"/>
      <c r="AF695" s="1436"/>
    </row>
    <row r="696" spans="1:32">
      <c r="A696" s="1436"/>
      <c r="B696" s="1436"/>
      <c r="C696" s="1436"/>
      <c r="D696" s="1436"/>
      <c r="E696" s="1436"/>
      <c r="F696" s="1436"/>
      <c r="G696" s="1436"/>
      <c r="H696" s="1436"/>
      <c r="I696" s="1436"/>
      <c r="J696" s="1436"/>
      <c r="K696" s="1436"/>
      <c r="L696" s="1436"/>
      <c r="M696" s="1436"/>
      <c r="N696" s="1436"/>
      <c r="O696" s="1436"/>
      <c r="P696" s="1436"/>
      <c r="Q696" s="1436"/>
      <c r="R696" s="1436"/>
      <c r="S696" s="1436"/>
      <c r="T696" s="1436"/>
      <c r="U696" s="1436"/>
      <c r="V696" s="1436"/>
      <c r="W696" s="1436"/>
      <c r="X696" s="1436"/>
      <c r="Y696" s="1436"/>
      <c r="Z696" s="1436"/>
      <c r="AA696" s="1436"/>
      <c r="AB696" s="1436"/>
      <c r="AC696" s="1436"/>
      <c r="AD696" s="1436"/>
      <c r="AE696" s="1436"/>
      <c r="AF696" s="1436"/>
    </row>
    <row r="697" spans="1:32">
      <c r="A697" s="1436"/>
      <c r="B697" s="1436"/>
      <c r="C697" s="1436"/>
      <c r="D697" s="1436"/>
      <c r="E697" s="1436"/>
      <c r="F697" s="1436"/>
      <c r="G697" s="1436"/>
      <c r="H697" s="1436"/>
      <c r="I697" s="1436"/>
      <c r="J697" s="1436"/>
      <c r="K697" s="1436"/>
      <c r="L697" s="1436"/>
      <c r="M697" s="1436"/>
      <c r="N697" s="1436"/>
      <c r="O697" s="1436"/>
      <c r="P697" s="1436"/>
      <c r="Q697" s="1436"/>
      <c r="R697" s="1436"/>
      <c r="S697" s="1436"/>
      <c r="T697" s="1436"/>
      <c r="U697" s="1436"/>
      <c r="V697" s="1436"/>
      <c r="W697" s="1436"/>
      <c r="X697" s="1436"/>
      <c r="Y697" s="1436"/>
      <c r="Z697" s="1436"/>
      <c r="AA697" s="1436"/>
      <c r="AB697" s="1436"/>
      <c r="AC697" s="1436"/>
      <c r="AD697" s="1436"/>
      <c r="AE697" s="1436"/>
      <c r="AF697" s="1436"/>
    </row>
    <row r="698" spans="1:32">
      <c r="A698" s="1436"/>
      <c r="B698" s="1436"/>
      <c r="C698" s="1436"/>
      <c r="D698" s="1436"/>
      <c r="E698" s="1436"/>
      <c r="F698" s="1436"/>
      <c r="G698" s="1436"/>
      <c r="H698" s="1436"/>
      <c r="I698" s="1436"/>
      <c r="J698" s="1436"/>
      <c r="K698" s="1436"/>
      <c r="L698" s="1436"/>
      <c r="M698" s="1436"/>
      <c r="N698" s="1436"/>
      <c r="O698" s="1436"/>
      <c r="P698" s="1436"/>
      <c r="Q698" s="1436"/>
      <c r="R698" s="1436"/>
      <c r="S698" s="1436"/>
      <c r="T698" s="1436"/>
      <c r="U698" s="1436"/>
      <c r="V698" s="1436"/>
      <c r="W698" s="1436"/>
      <c r="X698" s="1436"/>
      <c r="Y698" s="1436"/>
      <c r="Z698" s="1436"/>
      <c r="AA698" s="1436"/>
      <c r="AB698" s="1436"/>
      <c r="AC698" s="1436"/>
      <c r="AD698" s="1436"/>
      <c r="AE698" s="1436"/>
      <c r="AF698" s="1436"/>
    </row>
    <row r="699" spans="1:32">
      <c r="A699" s="1436"/>
      <c r="B699" s="1436"/>
      <c r="C699" s="1436"/>
      <c r="D699" s="1436"/>
      <c r="E699" s="1436"/>
      <c r="F699" s="1436"/>
      <c r="G699" s="1436"/>
      <c r="H699" s="1436"/>
      <c r="I699" s="1436"/>
      <c r="J699" s="1436"/>
      <c r="K699" s="1436"/>
      <c r="L699" s="1436"/>
      <c r="M699" s="1436"/>
      <c r="N699" s="1436"/>
      <c r="O699" s="1436"/>
      <c r="P699" s="1436"/>
      <c r="Q699" s="1436"/>
      <c r="R699" s="1436"/>
      <c r="S699" s="1436"/>
      <c r="T699" s="1436"/>
      <c r="U699" s="1436"/>
      <c r="V699" s="1436"/>
      <c r="W699" s="1436"/>
      <c r="X699" s="1436"/>
      <c r="Y699" s="1436"/>
      <c r="Z699" s="1436"/>
      <c r="AA699" s="1436"/>
      <c r="AB699" s="1436"/>
      <c r="AC699" s="1436"/>
      <c r="AD699" s="1436"/>
      <c r="AE699" s="1436"/>
      <c r="AF699" s="1436"/>
    </row>
    <row r="700" spans="1:32">
      <c r="A700" s="1436"/>
      <c r="B700" s="1436"/>
      <c r="C700" s="1436"/>
      <c r="D700" s="1436"/>
      <c r="E700" s="1436"/>
      <c r="F700" s="1436"/>
      <c r="G700" s="1436"/>
      <c r="H700" s="1436"/>
      <c r="I700" s="1436"/>
      <c r="J700" s="1436"/>
      <c r="K700" s="1436"/>
      <c r="L700" s="1436"/>
      <c r="M700" s="1436"/>
      <c r="N700" s="1436"/>
      <c r="O700" s="1436"/>
      <c r="P700" s="1436"/>
      <c r="Q700" s="1436"/>
      <c r="R700" s="1436"/>
      <c r="S700" s="1436"/>
      <c r="T700" s="1436"/>
      <c r="U700" s="1436"/>
      <c r="V700" s="1436"/>
      <c r="W700" s="1436"/>
      <c r="X700" s="1436"/>
      <c r="Y700" s="1436"/>
      <c r="Z700" s="1436"/>
      <c r="AA700" s="1436"/>
      <c r="AB700" s="1436"/>
      <c r="AC700" s="1436"/>
      <c r="AD700" s="1436"/>
      <c r="AE700" s="1436"/>
      <c r="AF700" s="1436"/>
    </row>
    <row r="701" spans="1:32">
      <c r="A701" s="1436"/>
      <c r="B701" s="1436"/>
      <c r="C701" s="1436"/>
      <c r="D701" s="1436"/>
      <c r="E701" s="1436"/>
      <c r="F701" s="1436"/>
      <c r="G701" s="1436"/>
      <c r="H701" s="1436"/>
      <c r="I701" s="1436"/>
      <c r="J701" s="1436"/>
      <c r="K701" s="1436"/>
      <c r="L701" s="1436"/>
      <c r="M701" s="1436"/>
      <c r="N701" s="1436"/>
      <c r="O701" s="1436"/>
      <c r="P701" s="1436"/>
      <c r="Q701" s="1436"/>
      <c r="R701" s="1436"/>
      <c r="S701" s="1436"/>
      <c r="T701" s="1436"/>
      <c r="U701" s="1436"/>
      <c r="V701" s="1436"/>
      <c r="W701" s="1436"/>
      <c r="X701" s="1436"/>
      <c r="Y701" s="1436"/>
      <c r="Z701" s="1436"/>
      <c r="AA701" s="1436"/>
      <c r="AB701" s="1436"/>
      <c r="AC701" s="1436"/>
      <c r="AD701" s="1436"/>
      <c r="AE701" s="1436"/>
      <c r="AF701" s="1436"/>
    </row>
    <row r="702" spans="1:32">
      <c r="A702" s="1436"/>
      <c r="B702" s="1436"/>
      <c r="C702" s="1436"/>
      <c r="D702" s="1436"/>
      <c r="E702" s="1436"/>
      <c r="F702" s="1436"/>
      <c r="G702" s="1436"/>
      <c r="H702" s="1436"/>
      <c r="I702" s="1436"/>
      <c r="J702" s="1436"/>
      <c r="K702" s="1436"/>
      <c r="L702" s="1436"/>
      <c r="M702" s="1436"/>
      <c r="N702" s="1436"/>
      <c r="O702" s="1436"/>
      <c r="P702" s="1436"/>
      <c r="Q702" s="1436"/>
      <c r="R702" s="1436"/>
      <c r="S702" s="1436"/>
      <c r="T702" s="1436"/>
      <c r="U702" s="1436"/>
      <c r="V702" s="1436"/>
      <c r="W702" s="1436"/>
      <c r="X702" s="1436"/>
      <c r="Y702" s="1436"/>
      <c r="Z702" s="1436"/>
      <c r="AA702" s="1436"/>
      <c r="AB702" s="1436"/>
      <c r="AC702" s="1436"/>
      <c r="AD702" s="1436"/>
      <c r="AE702" s="1436"/>
      <c r="AF702" s="1436"/>
    </row>
    <row r="703" spans="1:32">
      <c r="A703" s="1436"/>
      <c r="B703" s="1436"/>
      <c r="C703" s="1436"/>
      <c r="D703" s="1436"/>
      <c r="E703" s="1436"/>
      <c r="F703" s="1436"/>
      <c r="G703" s="1436"/>
      <c r="H703" s="1436"/>
      <c r="I703" s="1436"/>
      <c r="J703" s="1436"/>
      <c r="K703" s="1436"/>
      <c r="L703" s="1436"/>
      <c r="M703" s="1436"/>
      <c r="N703" s="1436"/>
      <c r="O703" s="1436"/>
      <c r="P703" s="1436"/>
      <c r="Q703" s="1436"/>
      <c r="R703" s="1436"/>
      <c r="S703" s="1436"/>
      <c r="T703" s="1436"/>
      <c r="U703" s="1436"/>
      <c r="V703" s="1436"/>
      <c r="W703" s="1436"/>
      <c r="X703" s="1436"/>
      <c r="Y703" s="1436"/>
      <c r="Z703" s="1436"/>
      <c r="AA703" s="1436"/>
      <c r="AB703" s="1436"/>
      <c r="AC703" s="1436"/>
      <c r="AD703" s="1436"/>
      <c r="AE703" s="1436"/>
      <c r="AF703" s="1436"/>
    </row>
    <row r="704" spans="1:32">
      <c r="A704" s="1436"/>
      <c r="B704" s="1436"/>
      <c r="C704" s="1436"/>
      <c r="D704" s="1436"/>
      <c r="E704" s="1436"/>
      <c r="F704" s="1436"/>
      <c r="G704" s="1436"/>
      <c r="H704" s="1436"/>
      <c r="I704" s="1436"/>
      <c r="J704" s="1436"/>
      <c r="K704" s="1436"/>
      <c r="L704" s="1436"/>
      <c r="M704" s="1436"/>
      <c r="N704" s="1436"/>
      <c r="O704" s="1436"/>
      <c r="P704" s="1436"/>
      <c r="Q704" s="1436"/>
      <c r="R704" s="1436"/>
      <c r="S704" s="1436"/>
      <c r="T704" s="1436"/>
      <c r="U704" s="1436"/>
      <c r="V704" s="1436"/>
      <c r="W704" s="1436"/>
      <c r="X704" s="1436"/>
      <c r="Y704" s="1436"/>
      <c r="Z704" s="1436"/>
      <c r="AA704" s="1436"/>
      <c r="AB704" s="1436"/>
      <c r="AC704" s="1436"/>
      <c r="AD704" s="1436"/>
      <c r="AE704" s="1436"/>
      <c r="AF704" s="1436"/>
    </row>
    <row r="705" spans="1:32">
      <c r="A705" s="1436"/>
      <c r="B705" s="1436"/>
      <c r="C705" s="1436"/>
      <c r="D705" s="1436"/>
      <c r="E705" s="1436"/>
      <c r="F705" s="1436"/>
      <c r="G705" s="1436"/>
      <c r="H705" s="1436"/>
      <c r="I705" s="1436"/>
      <c r="J705" s="1436"/>
      <c r="K705" s="1436"/>
      <c r="L705" s="1436"/>
      <c r="M705" s="1436"/>
      <c r="N705" s="1436"/>
      <c r="O705" s="1436"/>
      <c r="P705" s="1436"/>
      <c r="Q705" s="1436"/>
      <c r="R705" s="1436"/>
      <c r="S705" s="1436"/>
      <c r="T705" s="1436"/>
      <c r="U705" s="1436"/>
      <c r="V705" s="1436"/>
      <c r="W705" s="1436"/>
      <c r="X705" s="1436"/>
      <c r="Y705" s="1436"/>
      <c r="Z705" s="1436"/>
      <c r="AA705" s="1436"/>
      <c r="AB705" s="1436"/>
      <c r="AC705" s="1436"/>
      <c r="AD705" s="1436"/>
      <c r="AE705" s="1436"/>
      <c r="AF705" s="1436"/>
    </row>
    <row r="706" spans="1:32">
      <c r="A706" s="1436"/>
      <c r="B706" s="1436"/>
      <c r="C706" s="1436"/>
      <c r="D706" s="1436"/>
      <c r="E706" s="1436"/>
      <c r="F706" s="1436"/>
      <c r="G706" s="1436"/>
      <c r="H706" s="1436"/>
      <c r="I706" s="1436"/>
      <c r="J706" s="1436"/>
      <c r="K706" s="1436"/>
      <c r="L706" s="1436"/>
      <c r="M706" s="1436"/>
      <c r="N706" s="1436"/>
      <c r="O706" s="1436"/>
      <c r="P706" s="1436"/>
      <c r="Q706" s="1436"/>
      <c r="R706" s="1436"/>
      <c r="S706" s="1436"/>
      <c r="T706" s="1436"/>
      <c r="U706" s="1436"/>
      <c r="V706" s="1436"/>
      <c r="W706" s="1436"/>
      <c r="X706" s="1436"/>
      <c r="Y706" s="1436"/>
      <c r="Z706" s="1436"/>
      <c r="AA706" s="1436"/>
      <c r="AB706" s="1436"/>
      <c r="AC706" s="1436"/>
      <c r="AD706" s="1436"/>
      <c r="AE706" s="1436"/>
      <c r="AF706" s="1436"/>
    </row>
    <row r="707" spans="1:32">
      <c r="A707" s="1436"/>
      <c r="B707" s="1436"/>
      <c r="C707" s="1436"/>
      <c r="D707" s="1436"/>
      <c r="E707" s="1436"/>
      <c r="F707" s="1436"/>
      <c r="G707" s="1436"/>
      <c r="H707" s="1436"/>
      <c r="I707" s="1436"/>
      <c r="J707" s="1436"/>
      <c r="K707" s="1436"/>
      <c r="L707" s="1436"/>
      <c r="M707" s="1436"/>
      <c r="N707" s="1436"/>
      <c r="O707" s="1436"/>
      <c r="P707" s="1436"/>
      <c r="Q707" s="1436"/>
      <c r="R707" s="1436"/>
      <c r="S707" s="1436"/>
      <c r="T707" s="1436"/>
      <c r="U707" s="1436"/>
      <c r="V707" s="1436"/>
      <c r="W707" s="1436"/>
      <c r="X707" s="1436"/>
      <c r="Y707" s="1436"/>
      <c r="Z707" s="1436"/>
      <c r="AA707" s="1436"/>
      <c r="AB707" s="1436"/>
      <c r="AC707" s="1436"/>
      <c r="AD707" s="1436"/>
      <c r="AE707" s="1436"/>
      <c r="AF707" s="1436"/>
    </row>
    <row r="708" spans="1:32">
      <c r="A708" s="1436"/>
      <c r="B708" s="1436"/>
      <c r="C708" s="1436"/>
      <c r="D708" s="1436"/>
      <c r="E708" s="1436"/>
      <c r="F708" s="1436"/>
      <c r="G708" s="1436"/>
      <c r="H708" s="1436"/>
      <c r="I708" s="1436"/>
      <c r="J708" s="1436"/>
      <c r="K708" s="1436"/>
      <c r="L708" s="1436"/>
      <c r="M708" s="1436"/>
      <c r="N708" s="1436"/>
      <c r="O708" s="1436"/>
      <c r="P708" s="1436"/>
      <c r="Q708" s="1436"/>
      <c r="R708" s="1436"/>
      <c r="S708" s="1436"/>
      <c r="T708" s="1436"/>
      <c r="U708" s="1436"/>
      <c r="V708" s="1436"/>
      <c r="W708" s="1436"/>
      <c r="X708" s="1436"/>
      <c r="Y708" s="1436"/>
      <c r="Z708" s="1436"/>
      <c r="AA708" s="1436"/>
      <c r="AB708" s="1436"/>
      <c r="AC708" s="1436"/>
      <c r="AD708" s="1436"/>
      <c r="AE708" s="1436"/>
      <c r="AF708" s="1436"/>
    </row>
    <row r="709" spans="1:32">
      <c r="A709" s="1436"/>
      <c r="B709" s="1436"/>
      <c r="C709" s="1436"/>
      <c r="D709" s="1436"/>
      <c r="E709" s="1436"/>
      <c r="F709" s="1436"/>
      <c r="G709" s="1436"/>
      <c r="H709" s="1436"/>
      <c r="I709" s="1436"/>
      <c r="J709" s="1436"/>
      <c r="K709" s="1436"/>
      <c r="L709" s="1436"/>
      <c r="M709" s="1436"/>
      <c r="N709" s="1436"/>
      <c r="O709" s="1436"/>
      <c r="P709" s="1436"/>
      <c r="Q709" s="1436"/>
      <c r="R709" s="1436"/>
      <c r="S709" s="1436"/>
      <c r="T709" s="1436"/>
      <c r="U709" s="1436"/>
      <c r="V709" s="1436"/>
      <c r="W709" s="1436"/>
      <c r="X709" s="1436"/>
      <c r="Y709" s="1436"/>
      <c r="Z709" s="1436"/>
      <c r="AA709" s="1436"/>
      <c r="AB709" s="1436"/>
      <c r="AC709" s="1436"/>
      <c r="AD709" s="1436"/>
      <c r="AE709" s="1436"/>
      <c r="AF709" s="1436"/>
    </row>
    <row r="710" spans="1:32">
      <c r="A710" s="1436"/>
      <c r="B710" s="1436"/>
      <c r="C710" s="1436"/>
      <c r="D710" s="1436"/>
      <c r="E710" s="1436"/>
      <c r="F710" s="1436"/>
      <c r="G710" s="1436"/>
      <c r="H710" s="1436"/>
      <c r="I710" s="1436"/>
      <c r="J710" s="1436"/>
      <c r="K710" s="1436"/>
      <c r="L710" s="1436"/>
      <c r="M710" s="1436"/>
      <c r="N710" s="1436"/>
      <c r="O710" s="1436"/>
      <c r="P710" s="1436"/>
      <c r="Q710" s="1436"/>
      <c r="R710" s="1436"/>
      <c r="S710" s="1436"/>
      <c r="T710" s="1436"/>
      <c r="U710" s="1436"/>
      <c r="V710" s="1436"/>
      <c r="W710" s="1436"/>
      <c r="X710" s="1436"/>
      <c r="Y710" s="1436"/>
      <c r="Z710" s="1436"/>
      <c r="AA710" s="1436"/>
      <c r="AB710" s="1436"/>
      <c r="AC710" s="1436"/>
      <c r="AD710" s="1436"/>
      <c r="AE710" s="1436"/>
      <c r="AF710" s="1436"/>
    </row>
    <row r="711" spans="1:32">
      <c r="A711" s="1436"/>
      <c r="B711" s="1436"/>
      <c r="C711" s="1436"/>
      <c r="D711" s="1436"/>
      <c r="E711" s="1436"/>
      <c r="F711" s="1436"/>
      <c r="G711" s="1436"/>
      <c r="H711" s="1436"/>
      <c r="I711" s="1436"/>
      <c r="J711" s="1436"/>
      <c r="K711" s="1436"/>
      <c r="L711" s="1436"/>
      <c r="M711" s="1436"/>
      <c r="N711" s="1436"/>
      <c r="O711" s="1436"/>
      <c r="P711" s="1436"/>
      <c r="Q711" s="1436"/>
      <c r="R711" s="1436"/>
      <c r="S711" s="1436"/>
      <c r="T711" s="1436"/>
      <c r="U711" s="1436"/>
      <c r="V711" s="1436"/>
      <c r="W711" s="1436"/>
      <c r="X711" s="1436"/>
      <c r="Y711" s="1436"/>
      <c r="Z711" s="1436"/>
      <c r="AA711" s="1436"/>
      <c r="AB711" s="1436"/>
      <c r="AC711" s="1436"/>
      <c r="AD711" s="1436"/>
      <c r="AE711" s="1436"/>
      <c r="AF711" s="1436"/>
    </row>
    <row r="712" spans="1:32">
      <c r="A712" s="1436"/>
      <c r="B712" s="1436"/>
      <c r="C712" s="1436"/>
      <c r="D712" s="1436"/>
      <c r="E712" s="1436"/>
      <c r="F712" s="1436"/>
      <c r="G712" s="1436"/>
      <c r="H712" s="1436"/>
      <c r="I712" s="1436"/>
      <c r="J712" s="1436"/>
      <c r="K712" s="1436"/>
      <c r="L712" s="1436"/>
      <c r="M712" s="1436"/>
      <c r="N712" s="1436"/>
      <c r="O712" s="1436"/>
      <c r="P712" s="1436"/>
      <c r="Q712" s="1436"/>
      <c r="R712" s="1436"/>
      <c r="S712" s="1436"/>
      <c r="T712" s="1436"/>
      <c r="U712" s="1436"/>
      <c r="V712" s="1436"/>
      <c r="W712" s="1436"/>
      <c r="X712" s="1436"/>
      <c r="Y712" s="1436"/>
      <c r="Z712" s="1436"/>
      <c r="AA712" s="1436"/>
      <c r="AB712" s="1436"/>
      <c r="AC712" s="1436"/>
      <c r="AD712" s="1436"/>
      <c r="AE712" s="1436"/>
      <c r="AF712" s="1436"/>
    </row>
    <row r="713" spans="1:32">
      <c r="A713" s="1436"/>
      <c r="B713" s="1436"/>
      <c r="C713" s="1436"/>
      <c r="D713" s="1436"/>
      <c r="E713" s="1436"/>
      <c r="F713" s="1436"/>
      <c r="G713" s="1436"/>
      <c r="H713" s="1436"/>
      <c r="I713" s="1436"/>
      <c r="J713" s="1436"/>
      <c r="K713" s="1436"/>
      <c r="L713" s="1436"/>
      <c r="M713" s="1436"/>
      <c r="N713" s="1436"/>
      <c r="O713" s="1436"/>
      <c r="P713" s="1436"/>
      <c r="Q713" s="1436"/>
      <c r="R713" s="1436"/>
      <c r="S713" s="1436"/>
      <c r="T713" s="1436"/>
      <c r="U713" s="1436"/>
      <c r="V713" s="1436"/>
      <c r="W713" s="1436"/>
      <c r="X713" s="1436"/>
      <c r="Y713" s="1436"/>
      <c r="Z713" s="1436"/>
      <c r="AA713" s="1436"/>
      <c r="AB713" s="1436"/>
      <c r="AC713" s="1436"/>
      <c r="AD713" s="1436"/>
      <c r="AE713" s="1436"/>
      <c r="AF713" s="1436"/>
    </row>
    <row r="714" spans="1:32">
      <c r="A714" s="1436"/>
      <c r="B714" s="1436"/>
      <c r="C714" s="1436"/>
      <c r="D714" s="1436"/>
      <c r="E714" s="1436"/>
      <c r="F714" s="1436"/>
      <c r="G714" s="1436"/>
      <c r="H714" s="1436"/>
      <c r="I714" s="1436"/>
      <c r="J714" s="1436"/>
      <c r="K714" s="1436"/>
      <c r="L714" s="1436"/>
      <c r="M714" s="1436"/>
      <c r="N714" s="1436"/>
      <c r="O714" s="1436"/>
      <c r="P714" s="1436"/>
      <c r="Q714" s="1436"/>
      <c r="R714" s="1436"/>
      <c r="S714" s="1436"/>
      <c r="T714" s="1436"/>
      <c r="U714" s="1436"/>
      <c r="V714" s="1436"/>
      <c r="W714" s="1436"/>
      <c r="X714" s="1436"/>
      <c r="Y714" s="1436"/>
      <c r="Z714" s="1436"/>
      <c r="AA714" s="1436"/>
      <c r="AB714" s="1436"/>
      <c r="AC714" s="1436"/>
      <c r="AD714" s="1436"/>
      <c r="AE714" s="1436"/>
      <c r="AF714" s="1436"/>
    </row>
    <row r="715" spans="1:32">
      <c r="A715" s="1436"/>
      <c r="B715" s="1436"/>
      <c r="C715" s="1436"/>
      <c r="D715" s="1436"/>
      <c r="E715" s="1436"/>
      <c r="F715" s="1436"/>
      <c r="G715" s="1436"/>
      <c r="H715" s="1436"/>
      <c r="I715" s="1436"/>
      <c r="J715" s="1436"/>
      <c r="K715" s="1436"/>
      <c r="L715" s="1436"/>
      <c r="M715" s="1436"/>
      <c r="N715" s="1436"/>
      <c r="O715" s="1436"/>
      <c r="P715" s="1436"/>
      <c r="Q715" s="1436"/>
      <c r="R715" s="1436"/>
      <c r="S715" s="1436"/>
      <c r="T715" s="1436"/>
      <c r="U715" s="1436"/>
      <c r="V715" s="1436"/>
      <c r="W715" s="1436"/>
      <c r="X715" s="1436"/>
      <c r="Y715" s="1436"/>
      <c r="Z715" s="1436"/>
      <c r="AA715" s="1436"/>
      <c r="AB715" s="1436"/>
      <c r="AC715" s="1436"/>
      <c r="AD715" s="1436"/>
      <c r="AE715" s="1436"/>
      <c r="AF715" s="1436"/>
    </row>
    <row r="716" spans="1:32">
      <c r="A716" s="1436"/>
      <c r="B716" s="1436"/>
      <c r="C716" s="1436"/>
      <c r="D716" s="1436"/>
      <c r="E716" s="1436"/>
      <c r="F716" s="1436"/>
      <c r="G716" s="1436"/>
      <c r="H716" s="1436"/>
      <c r="I716" s="1436"/>
      <c r="J716" s="1436"/>
      <c r="K716" s="1436"/>
      <c r="L716" s="1436"/>
      <c r="M716" s="1436"/>
      <c r="N716" s="1436"/>
      <c r="O716" s="1436"/>
      <c r="P716" s="1436"/>
      <c r="Q716" s="1436"/>
      <c r="R716" s="1436"/>
      <c r="S716" s="1436"/>
      <c r="T716" s="1436"/>
      <c r="U716" s="1436"/>
      <c r="V716" s="1436"/>
      <c r="W716" s="1436"/>
      <c r="X716" s="1436"/>
      <c r="Y716" s="1436"/>
      <c r="Z716" s="1436"/>
      <c r="AA716" s="1436"/>
      <c r="AB716" s="1436"/>
      <c r="AC716" s="1436"/>
      <c r="AD716" s="1436"/>
      <c r="AE716" s="1436"/>
      <c r="AF716" s="1436"/>
    </row>
    <row r="717" spans="1:32">
      <c r="A717" s="1436"/>
      <c r="B717" s="1436"/>
      <c r="C717" s="1436"/>
      <c r="D717" s="1436"/>
      <c r="E717" s="1436"/>
      <c r="F717" s="1436"/>
      <c r="G717" s="1436"/>
      <c r="H717" s="1436"/>
      <c r="I717" s="1436"/>
      <c r="J717" s="1436"/>
      <c r="K717" s="1436"/>
      <c r="L717" s="1436"/>
      <c r="M717" s="1436"/>
      <c r="N717" s="1436"/>
      <c r="O717" s="1436"/>
      <c r="P717" s="1436"/>
      <c r="Q717" s="1436"/>
      <c r="R717" s="1436"/>
      <c r="S717" s="1436"/>
      <c r="T717" s="1436"/>
      <c r="U717" s="1436"/>
      <c r="V717" s="1436"/>
      <c r="W717" s="1436"/>
      <c r="X717" s="1436"/>
      <c r="Y717" s="1436"/>
      <c r="Z717" s="1436"/>
      <c r="AA717" s="1436"/>
      <c r="AB717" s="1436"/>
      <c r="AC717" s="1436"/>
      <c r="AD717" s="1436"/>
      <c r="AE717" s="1436"/>
      <c r="AF717" s="1436"/>
    </row>
    <row r="718" spans="1:32">
      <c r="A718" s="1436"/>
      <c r="B718" s="1436"/>
      <c r="C718" s="1436"/>
      <c r="D718" s="1436"/>
      <c r="E718" s="1436"/>
      <c r="F718" s="1436"/>
      <c r="G718" s="1436"/>
      <c r="H718" s="1436"/>
      <c r="I718" s="1436"/>
      <c r="J718" s="1436"/>
      <c r="K718" s="1436"/>
      <c r="L718" s="1436"/>
      <c r="M718" s="1436"/>
      <c r="N718" s="1436"/>
      <c r="O718" s="1436"/>
      <c r="P718" s="1436"/>
      <c r="Q718" s="1436"/>
      <c r="R718" s="1436"/>
      <c r="S718" s="1436"/>
      <c r="T718" s="1436"/>
      <c r="U718" s="1436"/>
      <c r="V718" s="1436"/>
      <c r="W718" s="1436"/>
      <c r="X718" s="1436"/>
      <c r="Y718" s="1436"/>
      <c r="Z718" s="1436"/>
      <c r="AA718" s="1436"/>
      <c r="AB718" s="1436"/>
      <c r="AC718" s="1436"/>
      <c r="AD718" s="1436"/>
      <c r="AE718" s="1436"/>
      <c r="AF718" s="1436"/>
    </row>
    <row r="719" spans="1:32">
      <c r="A719" s="1436"/>
      <c r="B719" s="1436"/>
      <c r="C719" s="1436"/>
      <c r="D719" s="1436"/>
      <c r="E719" s="1436"/>
      <c r="F719" s="1436"/>
      <c r="G719" s="1436"/>
      <c r="H719" s="1436"/>
      <c r="I719" s="1436"/>
      <c r="J719" s="1436"/>
      <c r="K719" s="1436"/>
      <c r="L719" s="1436"/>
      <c r="M719" s="1436"/>
      <c r="N719" s="1436"/>
      <c r="O719" s="1436"/>
      <c r="P719" s="1436"/>
      <c r="Q719" s="1436"/>
      <c r="R719" s="1436"/>
      <c r="S719" s="1436"/>
      <c r="T719" s="1436"/>
      <c r="U719" s="1436"/>
      <c r="V719" s="1436"/>
      <c r="W719" s="1436"/>
      <c r="X719" s="1436"/>
      <c r="Y719" s="1436"/>
      <c r="Z719" s="1436"/>
      <c r="AA719" s="1436"/>
      <c r="AB719" s="1436"/>
      <c r="AC719" s="1436"/>
      <c r="AD719" s="1436"/>
      <c r="AE719" s="1436"/>
      <c r="AF719" s="1436"/>
    </row>
    <row r="720" spans="1:32">
      <c r="A720" s="1436"/>
      <c r="B720" s="1436"/>
      <c r="C720" s="1436"/>
      <c r="D720" s="1436"/>
      <c r="E720" s="1436"/>
      <c r="F720" s="1436"/>
      <c r="G720" s="1436"/>
      <c r="H720" s="1436"/>
      <c r="I720" s="1436"/>
      <c r="J720" s="1436"/>
      <c r="K720" s="1436"/>
      <c r="L720" s="1436"/>
      <c r="M720" s="1436"/>
      <c r="N720" s="1436"/>
      <c r="O720" s="1436"/>
      <c r="P720" s="1436"/>
      <c r="Q720" s="1436"/>
      <c r="R720" s="1436"/>
      <c r="S720" s="1436"/>
      <c r="T720" s="1436"/>
      <c r="U720" s="1436"/>
      <c r="V720" s="1436"/>
      <c r="W720" s="1436"/>
      <c r="X720" s="1436"/>
      <c r="Y720" s="1436"/>
      <c r="Z720" s="1436"/>
      <c r="AA720" s="1436"/>
      <c r="AB720" s="1436"/>
      <c r="AC720" s="1436"/>
      <c r="AD720" s="1436"/>
      <c r="AE720" s="1436"/>
      <c r="AF720" s="1436"/>
    </row>
    <row r="721" spans="1:32">
      <c r="A721" s="1436"/>
      <c r="B721" s="1436"/>
      <c r="C721" s="1436"/>
      <c r="D721" s="1436"/>
      <c r="E721" s="1436"/>
      <c r="F721" s="1436"/>
      <c r="G721" s="1436"/>
      <c r="H721" s="1436"/>
      <c r="I721" s="1436"/>
      <c r="J721" s="1436"/>
      <c r="K721" s="1436"/>
      <c r="L721" s="1436"/>
      <c r="M721" s="1436"/>
      <c r="N721" s="1436"/>
      <c r="O721" s="1436"/>
      <c r="P721" s="1436"/>
      <c r="Q721" s="1436"/>
      <c r="R721" s="1436"/>
      <c r="S721" s="1436"/>
      <c r="T721" s="1436"/>
      <c r="U721" s="1436"/>
      <c r="V721" s="1436"/>
      <c r="W721" s="1436"/>
      <c r="X721" s="1436"/>
      <c r="Y721" s="1436"/>
      <c r="Z721" s="1436"/>
      <c r="AA721" s="1436"/>
      <c r="AB721" s="1436"/>
      <c r="AC721" s="1436"/>
      <c r="AD721" s="1436"/>
      <c r="AE721" s="1436"/>
      <c r="AF721" s="1436"/>
    </row>
    <row r="722" spans="1:32">
      <c r="A722" s="1436"/>
      <c r="B722" s="1436"/>
      <c r="C722" s="1436"/>
      <c r="D722" s="1436"/>
      <c r="E722" s="1436"/>
      <c r="F722" s="1436"/>
      <c r="G722" s="1436"/>
      <c r="H722" s="1436"/>
      <c r="I722" s="1436"/>
      <c r="J722" s="1436"/>
      <c r="K722" s="1436"/>
      <c r="L722" s="1436"/>
      <c r="M722" s="1436"/>
      <c r="N722" s="1436"/>
      <c r="O722" s="1436"/>
      <c r="P722" s="1436"/>
      <c r="Q722" s="1436"/>
      <c r="R722" s="1436"/>
      <c r="S722" s="1436"/>
      <c r="T722" s="1436"/>
      <c r="U722" s="1436"/>
      <c r="V722" s="1436"/>
      <c r="W722" s="1436"/>
      <c r="X722" s="1436"/>
      <c r="Y722" s="1436"/>
      <c r="Z722" s="1436"/>
      <c r="AA722" s="1436"/>
      <c r="AB722" s="1436"/>
      <c r="AC722" s="1436"/>
      <c r="AD722" s="1436"/>
      <c r="AE722" s="1436"/>
      <c r="AF722" s="1436"/>
    </row>
    <row r="723" spans="1:32">
      <c r="A723" s="1436"/>
      <c r="B723" s="1436"/>
      <c r="C723" s="1436"/>
      <c r="D723" s="1436"/>
      <c r="E723" s="1436"/>
      <c r="F723" s="1436"/>
      <c r="G723" s="1436"/>
      <c r="H723" s="1436"/>
      <c r="I723" s="1436"/>
      <c r="J723" s="1436"/>
      <c r="K723" s="1436"/>
      <c r="L723" s="1436"/>
      <c r="M723" s="1436"/>
      <c r="N723" s="1436"/>
      <c r="O723" s="1436"/>
      <c r="P723" s="1436"/>
      <c r="Q723" s="1436"/>
      <c r="R723" s="1436"/>
      <c r="S723" s="1436"/>
      <c r="T723" s="1436"/>
      <c r="U723" s="1436"/>
      <c r="V723" s="1436"/>
      <c r="W723" s="1436"/>
      <c r="X723" s="1436"/>
      <c r="Y723" s="1436"/>
      <c r="Z723" s="1436"/>
      <c r="AA723" s="1436"/>
      <c r="AB723" s="1436"/>
      <c r="AC723" s="1436"/>
      <c r="AD723" s="1436"/>
      <c r="AE723" s="1436"/>
      <c r="AF723" s="1436"/>
    </row>
    <row r="724" spans="1:32">
      <c r="A724" s="1436"/>
      <c r="B724" s="1436"/>
      <c r="C724" s="1436"/>
      <c r="D724" s="1436"/>
      <c r="E724" s="1436"/>
      <c r="F724" s="1436"/>
      <c r="G724" s="1436"/>
      <c r="H724" s="1436"/>
      <c r="I724" s="1436"/>
      <c r="J724" s="1436"/>
      <c r="K724" s="1436"/>
      <c r="L724" s="1436"/>
      <c r="M724" s="1436"/>
      <c r="N724" s="1436"/>
      <c r="O724" s="1436"/>
      <c r="P724" s="1436"/>
      <c r="Q724" s="1436"/>
      <c r="R724" s="1436"/>
      <c r="S724" s="1436"/>
      <c r="T724" s="1436"/>
      <c r="U724" s="1436"/>
      <c r="V724" s="1436"/>
      <c r="W724" s="1436"/>
      <c r="X724" s="1436"/>
      <c r="Y724" s="1436"/>
      <c r="Z724" s="1436"/>
      <c r="AA724" s="1436"/>
      <c r="AB724" s="1436"/>
      <c r="AC724" s="1436"/>
      <c r="AD724" s="1436"/>
      <c r="AE724" s="1436"/>
      <c r="AF724" s="1436"/>
    </row>
    <row r="725" spans="1:32">
      <c r="A725" s="1436"/>
      <c r="B725" s="1436"/>
      <c r="C725" s="1436"/>
      <c r="D725" s="1436"/>
      <c r="E725" s="1436"/>
      <c r="F725" s="1436"/>
      <c r="G725" s="1436"/>
      <c r="H725" s="1436"/>
      <c r="I725" s="1436"/>
      <c r="J725" s="1436"/>
      <c r="K725" s="1436"/>
      <c r="L725" s="1436"/>
      <c r="M725" s="1436"/>
      <c r="N725" s="1436"/>
      <c r="O725" s="1436"/>
      <c r="P725" s="1436"/>
      <c r="Q725" s="1436"/>
      <c r="R725" s="1436"/>
      <c r="S725" s="1436"/>
      <c r="T725" s="1436"/>
      <c r="U725" s="1436"/>
      <c r="V725" s="1436"/>
      <c r="W725" s="1436"/>
      <c r="X725" s="1436"/>
      <c r="Y725" s="1436"/>
      <c r="Z725" s="1436"/>
      <c r="AA725" s="1436"/>
      <c r="AB725" s="1436"/>
      <c r="AC725" s="1436"/>
      <c r="AD725" s="1436"/>
      <c r="AE725" s="1436"/>
      <c r="AF725" s="1436"/>
    </row>
    <row r="726" spans="1:32">
      <c r="A726" s="1436"/>
      <c r="B726" s="1436"/>
      <c r="C726" s="1436"/>
      <c r="D726" s="1436"/>
      <c r="E726" s="1436"/>
      <c r="F726" s="1436"/>
      <c r="G726" s="1436"/>
      <c r="H726" s="1436"/>
      <c r="I726" s="1436"/>
      <c r="J726" s="1436"/>
      <c r="K726" s="1436"/>
      <c r="L726" s="1436"/>
      <c r="M726" s="1436"/>
      <c r="N726" s="1436"/>
      <c r="O726" s="1436"/>
      <c r="P726" s="1436"/>
      <c r="Q726" s="1436"/>
      <c r="R726" s="1436"/>
      <c r="S726" s="1436"/>
      <c r="T726" s="1436"/>
      <c r="U726" s="1436"/>
      <c r="V726" s="1436"/>
      <c r="W726" s="1436"/>
      <c r="X726" s="1436"/>
      <c r="Y726" s="1436"/>
      <c r="Z726" s="1436"/>
      <c r="AA726" s="1436"/>
      <c r="AB726" s="1436"/>
      <c r="AC726" s="1436"/>
      <c r="AD726" s="1436"/>
      <c r="AE726" s="1436"/>
      <c r="AF726" s="1436"/>
    </row>
    <row r="727" spans="1:32">
      <c r="A727" s="1436"/>
      <c r="B727" s="1436"/>
      <c r="C727" s="1436"/>
      <c r="D727" s="1436"/>
      <c r="E727" s="1436"/>
      <c r="F727" s="1436"/>
      <c r="G727" s="1436"/>
      <c r="H727" s="1436"/>
      <c r="I727" s="1436"/>
      <c r="J727" s="1436"/>
      <c r="K727" s="1436"/>
      <c r="L727" s="1436"/>
      <c r="M727" s="1436"/>
      <c r="N727" s="1436"/>
      <c r="O727" s="1436"/>
      <c r="P727" s="1436"/>
      <c r="Q727" s="1436"/>
      <c r="R727" s="1436"/>
      <c r="S727" s="1436"/>
      <c r="T727" s="1436"/>
      <c r="U727" s="1436"/>
      <c r="V727" s="1436"/>
      <c r="W727" s="1436"/>
      <c r="X727" s="1436"/>
      <c r="Y727" s="1436"/>
      <c r="Z727" s="1436"/>
      <c r="AA727" s="1436"/>
      <c r="AB727" s="1436"/>
      <c r="AC727" s="1436"/>
      <c r="AD727" s="1436"/>
      <c r="AE727" s="1436"/>
      <c r="AF727" s="1436"/>
    </row>
    <row r="728" spans="1:32">
      <c r="A728" s="1436"/>
      <c r="B728" s="1436"/>
      <c r="C728" s="1436"/>
      <c r="D728" s="1436"/>
      <c r="E728" s="1436"/>
      <c r="F728" s="1436"/>
      <c r="G728" s="1436"/>
      <c r="H728" s="1436"/>
      <c r="I728" s="1436"/>
      <c r="J728" s="1436"/>
      <c r="K728" s="1436"/>
      <c r="L728" s="1436"/>
      <c r="M728" s="1436"/>
      <c r="N728" s="1436"/>
      <c r="O728" s="1436"/>
      <c r="P728" s="1436"/>
      <c r="Q728" s="1436"/>
      <c r="R728" s="1436"/>
      <c r="S728" s="1436"/>
      <c r="T728" s="1436"/>
      <c r="U728" s="1436"/>
      <c r="V728" s="1436"/>
      <c r="W728" s="1436"/>
      <c r="X728" s="1436"/>
      <c r="Y728" s="1436"/>
      <c r="Z728" s="1436"/>
      <c r="AA728" s="1436"/>
      <c r="AB728" s="1436"/>
      <c r="AC728" s="1436"/>
      <c r="AD728" s="1436"/>
      <c r="AE728" s="1436"/>
      <c r="AF728" s="1436"/>
    </row>
    <row r="729" spans="1:32">
      <c r="A729" s="1436"/>
      <c r="B729" s="1436"/>
      <c r="C729" s="1436"/>
      <c r="D729" s="1436"/>
      <c r="E729" s="1436"/>
      <c r="F729" s="1436"/>
      <c r="G729" s="1436"/>
      <c r="H729" s="1436"/>
      <c r="I729" s="1436"/>
      <c r="J729" s="1436"/>
      <c r="K729" s="1436"/>
      <c r="L729" s="1436"/>
      <c r="M729" s="1436"/>
      <c r="N729" s="1436"/>
      <c r="O729" s="1436"/>
      <c r="P729" s="1436"/>
      <c r="Q729" s="1436"/>
      <c r="R729" s="1436"/>
      <c r="S729" s="1436"/>
      <c r="T729" s="1436"/>
      <c r="U729" s="1436"/>
      <c r="V729" s="1436"/>
      <c r="W729" s="1436"/>
      <c r="X729" s="1436"/>
      <c r="Y729" s="1436"/>
      <c r="Z729" s="1436"/>
      <c r="AA729" s="1436"/>
      <c r="AB729" s="1436"/>
      <c r="AC729" s="1436"/>
      <c r="AD729" s="1436"/>
      <c r="AE729" s="1436"/>
      <c r="AF729" s="1436"/>
    </row>
    <row r="730" spans="1:32">
      <c r="A730" s="1436"/>
      <c r="B730" s="1436"/>
      <c r="C730" s="1436"/>
      <c r="D730" s="1436"/>
      <c r="E730" s="1436"/>
      <c r="F730" s="1436"/>
      <c r="G730" s="1436"/>
      <c r="H730" s="1436"/>
      <c r="I730" s="1436"/>
      <c r="J730" s="1436"/>
      <c r="K730" s="1436"/>
      <c r="L730" s="1436"/>
      <c r="M730" s="1436"/>
      <c r="N730" s="1436"/>
      <c r="O730" s="1436"/>
      <c r="P730" s="1436"/>
      <c r="Q730" s="1436"/>
      <c r="R730" s="1436"/>
      <c r="S730" s="1436"/>
      <c r="T730" s="1436"/>
      <c r="U730" s="1436"/>
      <c r="V730" s="1436"/>
      <c r="W730" s="1436"/>
      <c r="X730" s="1436"/>
      <c r="Y730" s="1436"/>
      <c r="Z730" s="1436"/>
      <c r="AA730" s="1436"/>
      <c r="AB730" s="1436"/>
      <c r="AC730" s="1436"/>
      <c r="AD730" s="1436"/>
      <c r="AE730" s="1436"/>
      <c r="AF730" s="1436"/>
    </row>
    <row r="731" spans="1:32">
      <c r="A731" s="1436"/>
      <c r="B731" s="1436"/>
      <c r="C731" s="1436"/>
      <c r="D731" s="1436"/>
      <c r="E731" s="1436"/>
      <c r="F731" s="1436"/>
      <c r="G731" s="1436"/>
      <c r="H731" s="1436"/>
      <c r="I731" s="1436"/>
      <c r="J731" s="1436"/>
      <c r="K731" s="1436"/>
      <c r="L731" s="1436"/>
      <c r="M731" s="1436"/>
      <c r="N731" s="1436"/>
      <c r="O731" s="1436"/>
      <c r="P731" s="1436"/>
      <c r="Q731" s="1436"/>
      <c r="R731" s="1436"/>
      <c r="S731" s="1436"/>
      <c r="T731" s="1436"/>
      <c r="U731" s="1436"/>
      <c r="V731" s="1436"/>
      <c r="W731" s="1436"/>
      <c r="X731" s="1436"/>
      <c r="Y731" s="1436"/>
      <c r="Z731" s="1436"/>
      <c r="AA731" s="1436"/>
      <c r="AB731" s="1436"/>
      <c r="AC731" s="1436"/>
      <c r="AD731" s="1436"/>
      <c r="AE731" s="1436"/>
      <c r="AF731" s="1436"/>
    </row>
    <row r="732" spans="1:32">
      <c r="A732" s="1436"/>
      <c r="B732" s="1436"/>
      <c r="C732" s="1436"/>
      <c r="D732" s="1436"/>
      <c r="E732" s="1436"/>
      <c r="F732" s="1436"/>
      <c r="G732" s="1436"/>
      <c r="H732" s="1436"/>
      <c r="I732" s="1436"/>
      <c r="J732" s="1436"/>
      <c r="K732" s="1436"/>
      <c r="L732" s="1436"/>
      <c r="M732" s="1436"/>
      <c r="N732" s="1436"/>
      <c r="O732" s="1436"/>
      <c r="P732" s="1436"/>
      <c r="Q732" s="1436"/>
      <c r="R732" s="1436"/>
      <c r="S732" s="1436"/>
      <c r="T732" s="1436"/>
      <c r="U732" s="1436"/>
      <c r="V732" s="1436"/>
      <c r="W732" s="1436"/>
      <c r="X732" s="1436"/>
      <c r="Y732" s="1436"/>
      <c r="Z732" s="1436"/>
      <c r="AA732" s="1436"/>
      <c r="AB732" s="1436"/>
      <c r="AC732" s="1436"/>
      <c r="AD732" s="1436"/>
      <c r="AE732" s="1436"/>
      <c r="AF732" s="1436"/>
    </row>
    <row r="733" spans="1:32">
      <c r="A733" s="1436"/>
      <c r="B733" s="1436"/>
      <c r="C733" s="1436"/>
      <c r="D733" s="1436"/>
      <c r="E733" s="1436"/>
      <c r="F733" s="1436"/>
      <c r="G733" s="1436"/>
      <c r="H733" s="1436"/>
      <c r="I733" s="1436"/>
      <c r="J733" s="1436"/>
      <c r="K733" s="1436"/>
      <c r="L733" s="1436"/>
      <c r="M733" s="1436"/>
      <c r="N733" s="1436"/>
      <c r="O733" s="1436"/>
      <c r="P733" s="1436"/>
      <c r="Q733" s="1436"/>
      <c r="R733" s="1436"/>
      <c r="S733" s="1436"/>
      <c r="T733" s="1436"/>
      <c r="U733" s="1436"/>
      <c r="V733" s="1436"/>
      <c r="W733" s="1436"/>
      <c r="X733" s="1436"/>
      <c r="Y733" s="1436"/>
      <c r="Z733" s="1436"/>
      <c r="AA733" s="1436"/>
      <c r="AB733" s="1436"/>
      <c r="AC733" s="1436"/>
      <c r="AD733" s="1436"/>
      <c r="AE733" s="1436"/>
      <c r="AF733" s="1436"/>
    </row>
    <row r="734" spans="1:32">
      <c r="A734" s="1436"/>
      <c r="B734" s="1436"/>
      <c r="C734" s="1436"/>
      <c r="D734" s="1436"/>
      <c r="E734" s="1436"/>
      <c r="F734" s="1436"/>
      <c r="G734" s="1436"/>
      <c r="H734" s="1436"/>
      <c r="I734" s="1436"/>
      <c r="J734" s="1436"/>
      <c r="K734" s="1436"/>
      <c r="L734" s="1436"/>
      <c r="M734" s="1436"/>
      <c r="N734" s="1436"/>
      <c r="O734" s="1436"/>
      <c r="P734" s="1436"/>
      <c r="Q734" s="1436"/>
      <c r="R734" s="1436"/>
      <c r="S734" s="1436"/>
      <c r="T734" s="1436"/>
      <c r="U734" s="1436"/>
      <c r="V734" s="1436"/>
      <c r="W734" s="1436"/>
      <c r="X734" s="1436"/>
      <c r="Y734" s="1436"/>
      <c r="Z734" s="1436"/>
      <c r="AA734" s="1436"/>
      <c r="AB734" s="1436"/>
      <c r="AC734" s="1436"/>
      <c r="AD734" s="1436"/>
      <c r="AE734" s="1436"/>
      <c r="AF734" s="1436"/>
    </row>
    <row r="735" spans="1:32">
      <c r="A735" s="1436"/>
      <c r="B735" s="1436"/>
      <c r="C735" s="1436"/>
      <c r="D735" s="1436"/>
      <c r="E735" s="1436"/>
      <c r="F735" s="1436"/>
      <c r="G735" s="1436"/>
      <c r="H735" s="1436"/>
      <c r="I735" s="1436"/>
      <c r="J735" s="1436"/>
      <c r="K735" s="1436"/>
      <c r="L735" s="1436"/>
      <c r="M735" s="1436"/>
      <c r="N735" s="1436"/>
      <c r="O735" s="1436"/>
      <c r="P735" s="1436"/>
      <c r="Q735" s="1436"/>
      <c r="R735" s="1436"/>
      <c r="S735" s="1436"/>
      <c r="T735" s="1436"/>
      <c r="U735" s="1436"/>
      <c r="V735" s="1436"/>
      <c r="W735" s="1436"/>
      <c r="X735" s="1436"/>
      <c r="Y735" s="1436"/>
      <c r="Z735" s="1436"/>
      <c r="AA735" s="1436"/>
      <c r="AB735" s="1436"/>
      <c r="AC735" s="1436"/>
      <c r="AD735" s="1436"/>
      <c r="AE735" s="1436"/>
      <c r="AF735" s="1436"/>
    </row>
    <row r="736" spans="1:32">
      <c r="A736" s="1436"/>
      <c r="B736" s="1436"/>
      <c r="C736" s="1436"/>
      <c r="D736" s="1436"/>
      <c r="E736" s="1436"/>
      <c r="F736" s="1436"/>
      <c r="G736" s="1436"/>
      <c r="H736" s="1436"/>
      <c r="I736" s="1436"/>
      <c r="J736" s="1436"/>
      <c r="K736" s="1436"/>
      <c r="L736" s="1436"/>
      <c r="M736" s="1436"/>
      <c r="N736" s="1436"/>
      <c r="O736" s="1436"/>
      <c r="P736" s="1436"/>
      <c r="Q736" s="1436"/>
      <c r="R736" s="1436"/>
      <c r="S736" s="1436"/>
      <c r="T736" s="1436"/>
      <c r="U736" s="1436"/>
      <c r="V736" s="1436"/>
      <c r="W736" s="1436"/>
      <c r="X736" s="1436"/>
      <c r="Y736" s="1436"/>
      <c r="Z736" s="1436"/>
      <c r="AA736" s="1436"/>
      <c r="AB736" s="1436"/>
      <c r="AC736" s="1436"/>
      <c r="AD736" s="1436"/>
      <c r="AE736" s="1436"/>
      <c r="AF736" s="1436"/>
    </row>
    <row r="737" spans="1:32">
      <c r="A737" s="1436"/>
      <c r="B737" s="1436"/>
      <c r="C737" s="1436"/>
      <c r="D737" s="1436"/>
      <c r="E737" s="1436"/>
      <c r="F737" s="1436"/>
      <c r="G737" s="1436"/>
      <c r="H737" s="1436"/>
      <c r="I737" s="1436"/>
      <c r="J737" s="1436"/>
      <c r="K737" s="1436"/>
      <c r="L737" s="1436"/>
      <c r="M737" s="1436"/>
      <c r="N737" s="1436"/>
      <c r="O737" s="1436"/>
      <c r="P737" s="1436"/>
      <c r="Q737" s="1436"/>
      <c r="R737" s="1436"/>
      <c r="S737" s="1436"/>
      <c r="T737" s="1436"/>
      <c r="U737" s="1436"/>
      <c r="V737" s="1436"/>
      <c r="W737" s="1436"/>
      <c r="X737" s="1436"/>
      <c r="Y737" s="1436"/>
      <c r="Z737" s="1436"/>
      <c r="AA737" s="1436"/>
      <c r="AB737" s="1436"/>
      <c r="AC737" s="1436"/>
      <c r="AD737" s="1436"/>
      <c r="AE737" s="1436"/>
      <c r="AF737" s="1436"/>
    </row>
    <row r="738" spans="1:32">
      <c r="A738" s="1436"/>
      <c r="B738" s="1436"/>
      <c r="C738" s="1436"/>
      <c r="D738" s="1436"/>
      <c r="E738" s="1436"/>
      <c r="F738" s="1436"/>
      <c r="G738" s="1436"/>
      <c r="H738" s="1436"/>
      <c r="I738" s="1436"/>
      <c r="J738" s="1436"/>
      <c r="K738" s="1436"/>
      <c r="L738" s="1436"/>
      <c r="M738" s="1436"/>
      <c r="N738" s="1436"/>
      <c r="O738" s="1436"/>
      <c r="P738" s="1436"/>
      <c r="Q738" s="1436"/>
      <c r="R738" s="1436"/>
      <c r="S738" s="1436"/>
      <c r="T738" s="1436"/>
      <c r="U738" s="1436"/>
      <c r="V738" s="1436"/>
      <c r="W738" s="1436"/>
      <c r="X738" s="1436"/>
      <c r="Y738" s="1436"/>
      <c r="Z738" s="1436"/>
      <c r="AA738" s="1436"/>
      <c r="AB738" s="1436"/>
      <c r="AC738" s="1436"/>
      <c r="AD738" s="1436"/>
      <c r="AE738" s="1436"/>
      <c r="AF738" s="1436"/>
    </row>
    <row r="739" spans="1:32">
      <c r="A739" s="1436"/>
      <c r="B739" s="1436"/>
      <c r="C739" s="1436"/>
      <c r="D739" s="1436"/>
      <c r="E739" s="1436"/>
      <c r="F739" s="1436"/>
      <c r="G739" s="1436"/>
      <c r="H739" s="1436"/>
      <c r="I739" s="1436"/>
      <c r="J739" s="1436"/>
      <c r="K739" s="1436"/>
      <c r="L739" s="1436"/>
      <c r="M739" s="1436"/>
      <c r="N739" s="1436"/>
      <c r="O739" s="1436"/>
      <c r="P739" s="1436"/>
      <c r="Q739" s="1436"/>
      <c r="R739" s="1436"/>
      <c r="S739" s="1436"/>
      <c r="T739" s="1436"/>
      <c r="U739" s="1436"/>
      <c r="V739" s="1436"/>
      <c r="W739" s="1436"/>
      <c r="X739" s="1436"/>
      <c r="Y739" s="1436"/>
      <c r="Z739" s="1436"/>
      <c r="AA739" s="1436"/>
      <c r="AB739" s="1436"/>
      <c r="AC739" s="1436"/>
      <c r="AD739" s="1436"/>
      <c r="AE739" s="1436"/>
      <c r="AF739" s="1436"/>
    </row>
    <row r="740" spans="1:32">
      <c r="A740" s="1436"/>
      <c r="B740" s="1436"/>
      <c r="C740" s="1436"/>
      <c r="D740" s="1436"/>
      <c r="E740" s="1436"/>
      <c r="F740" s="1436"/>
      <c r="G740" s="1436"/>
      <c r="H740" s="1436"/>
      <c r="I740" s="1436"/>
      <c r="J740" s="1436"/>
      <c r="K740" s="1436"/>
      <c r="L740" s="1436"/>
      <c r="M740" s="1436"/>
      <c r="N740" s="1436"/>
      <c r="O740" s="1436"/>
      <c r="P740" s="1436"/>
      <c r="Q740" s="1436"/>
      <c r="R740" s="1436"/>
      <c r="S740" s="1436"/>
      <c r="T740" s="1436"/>
      <c r="U740" s="1436"/>
      <c r="V740" s="1436"/>
      <c r="W740" s="1436"/>
      <c r="X740" s="1436"/>
      <c r="Y740" s="1436"/>
      <c r="Z740" s="1436"/>
      <c r="AA740" s="1436"/>
      <c r="AB740" s="1436"/>
      <c r="AC740" s="1436"/>
      <c r="AD740" s="1436"/>
      <c r="AE740" s="1436"/>
      <c r="AF740" s="1436"/>
    </row>
    <row r="741" spans="1:32">
      <c r="A741" s="1436"/>
      <c r="B741" s="1436"/>
      <c r="C741" s="1436"/>
      <c r="D741" s="1436"/>
      <c r="E741" s="1436"/>
      <c r="F741" s="1436"/>
      <c r="G741" s="1436"/>
      <c r="H741" s="1436"/>
      <c r="I741" s="1436"/>
      <c r="J741" s="1436"/>
      <c r="K741" s="1436"/>
      <c r="L741" s="1436"/>
      <c r="M741" s="1436"/>
      <c r="N741" s="1436"/>
      <c r="O741" s="1436"/>
      <c r="P741" s="1436"/>
      <c r="Q741" s="1436"/>
      <c r="R741" s="1436"/>
      <c r="S741" s="1436"/>
      <c r="T741" s="1436"/>
      <c r="U741" s="1436"/>
      <c r="V741" s="1436"/>
      <c r="W741" s="1436"/>
      <c r="X741" s="1436"/>
      <c r="Y741" s="1436"/>
      <c r="Z741" s="1436"/>
      <c r="AA741" s="1436"/>
      <c r="AB741" s="1436"/>
      <c r="AC741" s="1436"/>
      <c r="AD741" s="1436"/>
      <c r="AE741" s="1436"/>
      <c r="AF741" s="1436"/>
    </row>
    <row r="742" spans="1:32">
      <c r="A742" s="1436"/>
      <c r="B742" s="1436"/>
      <c r="C742" s="1436"/>
      <c r="D742" s="1436"/>
      <c r="E742" s="1436"/>
      <c r="F742" s="1436"/>
      <c r="G742" s="1436"/>
      <c r="H742" s="1436"/>
      <c r="I742" s="1436"/>
      <c r="J742" s="1436"/>
      <c r="K742" s="1436"/>
      <c r="L742" s="1436"/>
      <c r="M742" s="1436"/>
      <c r="N742" s="1436"/>
      <c r="O742" s="1436"/>
      <c r="P742" s="1436"/>
      <c r="Q742" s="1436"/>
      <c r="R742" s="1436"/>
      <c r="S742" s="1436"/>
      <c r="T742" s="1436"/>
      <c r="U742" s="1436"/>
      <c r="V742" s="1436"/>
      <c r="W742" s="1436"/>
      <c r="X742" s="1436"/>
      <c r="Y742" s="1436"/>
      <c r="Z742" s="1436"/>
      <c r="AA742" s="1436"/>
      <c r="AB742" s="1436"/>
      <c r="AC742" s="1436"/>
      <c r="AD742" s="1436"/>
      <c r="AE742" s="1436"/>
      <c r="AF742" s="1436"/>
    </row>
    <row r="743" spans="1:32">
      <c r="A743" s="1436"/>
      <c r="B743" s="1436"/>
      <c r="C743" s="1436"/>
      <c r="D743" s="1436"/>
      <c r="E743" s="1436"/>
      <c r="F743" s="1436"/>
      <c r="G743" s="1436"/>
      <c r="H743" s="1436"/>
      <c r="I743" s="1436"/>
      <c r="J743" s="1436"/>
      <c r="K743" s="1436"/>
      <c r="L743" s="1436"/>
      <c r="M743" s="1436"/>
      <c r="N743" s="1436"/>
      <c r="O743" s="1436"/>
      <c r="P743" s="1436"/>
      <c r="Q743" s="1436"/>
      <c r="R743" s="1436"/>
      <c r="S743" s="1436"/>
      <c r="T743" s="1436"/>
      <c r="U743" s="1436"/>
      <c r="V743" s="1436"/>
      <c r="W743" s="1436"/>
      <c r="X743" s="1436"/>
      <c r="Y743" s="1436"/>
      <c r="Z743" s="1436"/>
      <c r="AA743" s="1436"/>
      <c r="AB743" s="1436"/>
      <c r="AC743" s="1436"/>
      <c r="AD743" s="1436"/>
      <c r="AE743" s="1436"/>
      <c r="AF743" s="1436"/>
    </row>
    <row r="744" spans="1:32">
      <c r="A744" s="1436"/>
      <c r="B744" s="1436"/>
      <c r="C744" s="1436"/>
      <c r="D744" s="1436"/>
      <c r="E744" s="1436"/>
      <c r="F744" s="1436"/>
      <c r="G744" s="1436"/>
      <c r="H744" s="1436"/>
      <c r="I744" s="1436"/>
      <c r="J744" s="1436"/>
      <c r="K744" s="1436"/>
      <c r="L744" s="1436"/>
      <c r="M744" s="1436"/>
      <c r="N744" s="1436"/>
      <c r="O744" s="1436"/>
      <c r="P744" s="1436"/>
      <c r="Q744" s="1436"/>
      <c r="R744" s="1436"/>
      <c r="S744" s="1436"/>
      <c r="T744" s="1436"/>
      <c r="U744" s="1436"/>
      <c r="V744" s="1436"/>
      <c r="W744" s="1436"/>
      <c r="X744" s="1436"/>
      <c r="Y744" s="1436"/>
      <c r="Z744" s="1436"/>
      <c r="AA744" s="1436"/>
      <c r="AB744" s="1436"/>
      <c r="AC744" s="1436"/>
      <c r="AD744" s="1436"/>
      <c r="AE744" s="1436"/>
      <c r="AF744" s="1436"/>
    </row>
    <row r="745" spans="1:32">
      <c r="A745" s="1436"/>
      <c r="B745" s="1436"/>
      <c r="C745" s="1436"/>
      <c r="D745" s="1436"/>
      <c r="E745" s="1436"/>
      <c r="F745" s="1436"/>
      <c r="G745" s="1436"/>
      <c r="H745" s="1436"/>
      <c r="I745" s="1436"/>
      <c r="J745" s="1436"/>
      <c r="K745" s="1436"/>
      <c r="L745" s="1436"/>
      <c r="M745" s="1436"/>
      <c r="N745" s="1436"/>
      <c r="O745" s="1436"/>
      <c r="P745" s="1436"/>
      <c r="Q745" s="1436"/>
      <c r="R745" s="1436"/>
      <c r="S745" s="1436"/>
      <c r="T745" s="1436"/>
      <c r="U745" s="1436"/>
      <c r="V745" s="1436"/>
      <c r="W745" s="1436"/>
      <c r="X745" s="1436"/>
      <c r="Y745" s="1436"/>
      <c r="Z745" s="1436"/>
      <c r="AA745" s="1436"/>
      <c r="AB745" s="1436"/>
      <c r="AC745" s="1436"/>
      <c r="AD745" s="1436"/>
      <c r="AE745" s="1436"/>
      <c r="AF745" s="1436"/>
    </row>
    <row r="746" spans="1:32">
      <c r="A746" s="1436"/>
      <c r="B746" s="1436"/>
      <c r="C746" s="1436"/>
      <c r="D746" s="1436"/>
      <c r="E746" s="1436"/>
      <c r="F746" s="1436"/>
      <c r="G746" s="1436"/>
      <c r="H746" s="1436"/>
      <c r="I746" s="1436"/>
      <c r="J746" s="1436"/>
      <c r="K746" s="1436"/>
      <c r="L746" s="1436"/>
      <c r="M746" s="1436"/>
      <c r="N746" s="1436"/>
      <c r="O746" s="1436"/>
      <c r="P746" s="1436"/>
      <c r="Q746" s="1436"/>
      <c r="R746" s="1436"/>
      <c r="S746" s="1436"/>
      <c r="T746" s="1436"/>
      <c r="U746" s="1436"/>
      <c r="V746" s="1436"/>
      <c r="W746" s="1436"/>
      <c r="X746" s="1436"/>
      <c r="Y746" s="1436"/>
      <c r="Z746" s="1436"/>
      <c r="AA746" s="1436"/>
      <c r="AB746" s="1436"/>
      <c r="AC746" s="1436"/>
      <c r="AD746" s="1436"/>
      <c r="AE746" s="1436"/>
      <c r="AF746" s="1436"/>
    </row>
    <row r="747" spans="1:32">
      <c r="A747" s="1436"/>
      <c r="B747" s="1436"/>
      <c r="C747" s="1436"/>
      <c r="D747" s="1436"/>
      <c r="E747" s="1436"/>
      <c r="F747" s="1436"/>
      <c r="G747" s="1436"/>
      <c r="H747" s="1436"/>
      <c r="I747" s="1436"/>
      <c r="J747" s="1436"/>
      <c r="K747" s="1436"/>
      <c r="L747" s="1436"/>
      <c r="M747" s="1436"/>
      <c r="N747" s="1436"/>
      <c r="O747" s="1436"/>
      <c r="P747" s="1436"/>
      <c r="Q747" s="1436"/>
      <c r="R747" s="1436"/>
      <c r="S747" s="1436"/>
      <c r="T747" s="1436"/>
      <c r="U747" s="1436"/>
      <c r="V747" s="1436"/>
      <c r="W747" s="1436"/>
      <c r="X747" s="1436"/>
      <c r="Y747" s="1436"/>
      <c r="Z747" s="1436"/>
      <c r="AA747" s="1436"/>
      <c r="AB747" s="1436"/>
      <c r="AC747" s="1436"/>
      <c r="AD747" s="1436"/>
      <c r="AE747" s="1436"/>
      <c r="AF747" s="1436"/>
    </row>
    <row r="748" spans="1:32">
      <c r="A748" s="1436"/>
      <c r="B748" s="1436"/>
      <c r="C748" s="1436"/>
      <c r="D748" s="1436"/>
      <c r="E748" s="1436"/>
      <c r="F748" s="1436"/>
      <c r="G748" s="1436"/>
      <c r="H748" s="1436"/>
      <c r="I748" s="1436"/>
      <c r="J748" s="1436"/>
      <c r="K748" s="1436"/>
      <c r="L748" s="1436"/>
      <c r="M748" s="1436"/>
      <c r="N748" s="1436"/>
      <c r="O748" s="1436"/>
      <c r="P748" s="1436"/>
      <c r="Q748" s="1436"/>
      <c r="R748" s="1436"/>
      <c r="S748" s="1436"/>
      <c r="T748" s="1436"/>
      <c r="U748" s="1436"/>
      <c r="V748" s="1436"/>
      <c r="W748" s="1436"/>
      <c r="X748" s="1436"/>
      <c r="Y748" s="1436"/>
      <c r="Z748" s="1436"/>
      <c r="AA748" s="1436"/>
      <c r="AB748" s="1436"/>
      <c r="AC748" s="1436"/>
      <c r="AD748" s="1436"/>
      <c r="AE748" s="1436"/>
      <c r="AF748" s="1436"/>
    </row>
    <row r="749" spans="1:32">
      <c r="A749" s="1436"/>
      <c r="B749" s="1436"/>
      <c r="C749" s="1436"/>
      <c r="D749" s="1436"/>
      <c r="E749" s="1436"/>
      <c r="F749" s="1436"/>
      <c r="G749" s="1436"/>
      <c r="H749" s="1436"/>
      <c r="I749" s="1436"/>
      <c r="J749" s="1436"/>
      <c r="K749" s="1436"/>
      <c r="L749" s="1436"/>
      <c r="M749" s="1436"/>
      <c r="N749" s="1436"/>
      <c r="O749" s="1436"/>
      <c r="P749" s="1436"/>
      <c r="Q749" s="1436"/>
      <c r="R749" s="1436"/>
      <c r="S749" s="1436"/>
      <c r="T749" s="1436"/>
      <c r="U749" s="1436"/>
      <c r="V749" s="1436"/>
      <c r="W749" s="1436"/>
      <c r="X749" s="1436"/>
      <c r="Y749" s="1436"/>
      <c r="Z749" s="1436"/>
      <c r="AA749" s="1436"/>
      <c r="AB749" s="1436"/>
      <c r="AC749" s="1436"/>
      <c r="AD749" s="1436"/>
      <c r="AE749" s="1436"/>
      <c r="AF749" s="1436"/>
    </row>
    <row r="750" spans="1:32">
      <c r="A750" s="1436"/>
      <c r="B750" s="1436"/>
      <c r="C750" s="1436"/>
      <c r="D750" s="1436"/>
      <c r="E750" s="1436"/>
      <c r="F750" s="1436"/>
      <c r="G750" s="1436"/>
      <c r="H750" s="1436"/>
      <c r="I750" s="1436"/>
      <c r="J750" s="1436"/>
      <c r="K750" s="1436"/>
      <c r="L750" s="1436"/>
      <c r="M750" s="1436"/>
      <c r="N750" s="1436"/>
      <c r="O750" s="1436"/>
      <c r="P750" s="1436"/>
      <c r="Q750" s="1436"/>
      <c r="R750" s="1436"/>
      <c r="S750" s="1436"/>
      <c r="T750" s="1436"/>
      <c r="U750" s="1436"/>
      <c r="V750" s="1436"/>
      <c r="W750" s="1436"/>
      <c r="X750" s="1436"/>
      <c r="Y750" s="1436"/>
      <c r="Z750" s="1436"/>
      <c r="AA750" s="1436"/>
      <c r="AB750" s="1436"/>
      <c r="AC750" s="1436"/>
      <c r="AD750" s="1436"/>
      <c r="AE750" s="1436"/>
      <c r="AF750" s="1436"/>
    </row>
    <row r="751" spans="1:32">
      <c r="A751" s="1436"/>
      <c r="B751" s="1436"/>
      <c r="C751" s="1436"/>
      <c r="D751" s="1436"/>
      <c r="E751" s="1436"/>
      <c r="F751" s="1436"/>
      <c r="G751" s="1436"/>
      <c r="H751" s="1436"/>
      <c r="I751" s="1436"/>
      <c r="J751" s="1436"/>
      <c r="K751" s="1436"/>
      <c r="L751" s="1436"/>
      <c r="M751" s="1436"/>
      <c r="N751" s="1436"/>
      <c r="O751" s="1436"/>
      <c r="P751" s="1436"/>
      <c r="Q751" s="1436"/>
      <c r="R751" s="1436"/>
      <c r="S751" s="1436"/>
      <c r="T751" s="1436"/>
      <c r="U751" s="1436"/>
      <c r="V751" s="1436"/>
      <c r="W751" s="1436"/>
      <c r="X751" s="1436"/>
      <c r="Y751" s="1436"/>
      <c r="Z751" s="1436"/>
      <c r="AA751" s="1436"/>
      <c r="AB751" s="1436"/>
      <c r="AC751" s="1436"/>
      <c r="AD751" s="1436"/>
      <c r="AE751" s="1436"/>
      <c r="AF751" s="1436"/>
    </row>
    <row r="752" spans="1:32">
      <c r="A752" s="1436"/>
      <c r="B752" s="1436"/>
      <c r="C752" s="1436"/>
      <c r="D752" s="1436"/>
      <c r="E752" s="1436"/>
      <c r="F752" s="1436"/>
      <c r="G752" s="1436"/>
      <c r="H752" s="1436"/>
      <c r="I752" s="1436"/>
      <c r="J752" s="1436"/>
      <c r="K752" s="1436"/>
      <c r="L752" s="1436"/>
      <c r="M752" s="1436"/>
      <c r="N752" s="1436"/>
      <c r="O752" s="1436"/>
      <c r="P752" s="1436"/>
      <c r="Q752" s="1436"/>
      <c r="R752" s="1436"/>
      <c r="S752" s="1436"/>
      <c r="T752" s="1436"/>
      <c r="U752" s="1436"/>
      <c r="V752" s="1436"/>
      <c r="W752" s="1436"/>
      <c r="X752" s="1436"/>
      <c r="Y752" s="1436"/>
      <c r="Z752" s="1436"/>
      <c r="AA752" s="1436"/>
      <c r="AB752" s="1436"/>
      <c r="AC752" s="1436"/>
      <c r="AD752" s="1436"/>
      <c r="AE752" s="1436"/>
      <c r="AF752" s="1436"/>
    </row>
    <row r="753" spans="1:32">
      <c r="A753" s="1436"/>
      <c r="B753" s="1436"/>
      <c r="C753" s="1436"/>
      <c r="D753" s="1436"/>
      <c r="E753" s="1436"/>
      <c r="F753" s="1436"/>
      <c r="G753" s="1436"/>
      <c r="H753" s="1436"/>
      <c r="I753" s="1436"/>
      <c r="J753" s="1436"/>
      <c r="K753" s="1436"/>
      <c r="L753" s="1436"/>
      <c r="M753" s="1436"/>
      <c r="N753" s="1436"/>
      <c r="O753" s="1436"/>
      <c r="P753" s="1436"/>
      <c r="Q753" s="1436"/>
      <c r="R753" s="1436"/>
      <c r="S753" s="1436"/>
      <c r="T753" s="1436"/>
      <c r="U753" s="1436"/>
      <c r="V753" s="1436"/>
      <c r="W753" s="1436"/>
      <c r="X753" s="1436"/>
      <c r="Y753" s="1436"/>
      <c r="Z753" s="1436"/>
      <c r="AA753" s="1436"/>
      <c r="AB753" s="1436"/>
      <c r="AC753" s="1436"/>
      <c r="AD753" s="1436"/>
      <c r="AE753" s="1436"/>
      <c r="AF753" s="1436"/>
    </row>
    <row r="754" spans="1:32">
      <c r="A754" s="1436"/>
      <c r="B754" s="1436"/>
      <c r="C754" s="1436"/>
      <c r="D754" s="1436"/>
      <c r="E754" s="1436"/>
      <c r="F754" s="1436"/>
      <c r="G754" s="1436"/>
      <c r="H754" s="1436"/>
      <c r="I754" s="1436"/>
      <c r="J754" s="1436"/>
      <c r="K754" s="1436"/>
      <c r="L754" s="1436"/>
      <c r="M754" s="1436"/>
      <c r="N754" s="1436"/>
      <c r="O754" s="1436"/>
      <c r="P754" s="1436"/>
      <c r="Q754" s="1436"/>
      <c r="R754" s="1436"/>
      <c r="S754" s="1436"/>
      <c r="T754" s="1436"/>
      <c r="U754" s="1436"/>
      <c r="V754" s="1436"/>
      <c r="W754" s="1436"/>
      <c r="X754" s="1436"/>
      <c r="Y754" s="1436"/>
      <c r="Z754" s="1436"/>
      <c r="AA754" s="1436"/>
      <c r="AB754" s="1436"/>
      <c r="AC754" s="1436"/>
      <c r="AD754" s="1436"/>
      <c r="AE754" s="1436"/>
      <c r="AF754" s="1436"/>
    </row>
    <row r="755" spans="1:32">
      <c r="A755" s="1436"/>
      <c r="B755" s="1436"/>
      <c r="C755" s="1436"/>
      <c r="D755" s="1436"/>
      <c r="E755" s="1436"/>
      <c r="F755" s="1436"/>
      <c r="G755" s="1436"/>
      <c r="H755" s="1436"/>
      <c r="I755" s="1436"/>
      <c r="J755" s="1436"/>
      <c r="K755" s="1436"/>
      <c r="L755" s="1436"/>
      <c r="M755" s="1436"/>
      <c r="N755" s="1436"/>
      <c r="O755" s="1436"/>
      <c r="P755" s="1436"/>
      <c r="Q755" s="1436"/>
      <c r="R755" s="1436"/>
      <c r="S755" s="1436"/>
      <c r="T755" s="1436"/>
      <c r="U755" s="1436"/>
      <c r="V755" s="1436"/>
      <c r="W755" s="1436"/>
      <c r="X755" s="1436"/>
      <c r="Y755" s="1436"/>
      <c r="Z755" s="1436"/>
      <c r="AA755" s="1436"/>
      <c r="AB755" s="1436"/>
      <c r="AC755" s="1436"/>
      <c r="AD755" s="1436"/>
      <c r="AE755" s="1436"/>
      <c r="AF755" s="1436"/>
    </row>
    <row r="756" spans="1:32">
      <c r="A756" s="1436"/>
      <c r="B756" s="1436"/>
      <c r="C756" s="1436"/>
      <c r="D756" s="1436"/>
      <c r="E756" s="1436"/>
      <c r="F756" s="1436"/>
      <c r="G756" s="1436"/>
      <c r="H756" s="1436"/>
      <c r="I756" s="1436"/>
      <c r="J756" s="1436"/>
      <c r="K756" s="1436"/>
      <c r="L756" s="1436"/>
      <c r="M756" s="1436"/>
      <c r="N756" s="1436"/>
      <c r="O756" s="1436"/>
      <c r="P756" s="1436"/>
      <c r="Q756" s="1436"/>
      <c r="R756" s="1436"/>
      <c r="S756" s="1436"/>
      <c r="T756" s="1436"/>
      <c r="U756" s="1436"/>
      <c r="V756" s="1436"/>
      <c r="W756" s="1436"/>
      <c r="X756" s="1436"/>
      <c r="Y756" s="1436"/>
      <c r="Z756" s="1436"/>
      <c r="AA756" s="1436"/>
      <c r="AB756" s="1436"/>
      <c r="AC756" s="1436"/>
      <c r="AD756" s="1436"/>
      <c r="AE756" s="1436"/>
      <c r="AF756" s="1436"/>
    </row>
    <row r="757" spans="1:32">
      <c r="A757" s="1436"/>
      <c r="B757" s="1436"/>
      <c r="C757" s="1436"/>
      <c r="D757" s="1436"/>
      <c r="E757" s="1436"/>
      <c r="F757" s="1436"/>
      <c r="G757" s="1436"/>
      <c r="H757" s="1436"/>
      <c r="I757" s="1436"/>
      <c r="J757" s="1436"/>
      <c r="K757" s="1436"/>
      <c r="L757" s="1436"/>
      <c r="M757" s="1436"/>
      <c r="N757" s="1436"/>
      <c r="O757" s="1436"/>
      <c r="P757" s="1436"/>
      <c r="Q757" s="1436"/>
      <c r="R757" s="1436"/>
      <c r="S757" s="1436"/>
      <c r="T757" s="1436"/>
      <c r="U757" s="1436"/>
      <c r="V757" s="1436"/>
      <c r="W757" s="1436"/>
      <c r="X757" s="1436"/>
      <c r="Y757" s="1436"/>
      <c r="Z757" s="1436"/>
      <c r="AA757" s="1436"/>
      <c r="AB757" s="1436"/>
      <c r="AC757" s="1436"/>
      <c r="AD757" s="1436"/>
      <c r="AE757" s="1436"/>
      <c r="AF757" s="1436"/>
    </row>
    <row r="758" spans="1:32">
      <c r="A758" s="1436"/>
      <c r="B758" s="1436"/>
      <c r="C758" s="1436"/>
      <c r="D758" s="1436"/>
      <c r="E758" s="1436"/>
      <c r="F758" s="1436"/>
      <c r="G758" s="1436"/>
      <c r="H758" s="1436"/>
      <c r="I758" s="1436"/>
      <c r="J758" s="1436"/>
      <c r="K758" s="1436"/>
      <c r="L758" s="1436"/>
      <c r="M758" s="1436"/>
      <c r="N758" s="1436"/>
      <c r="O758" s="1436"/>
      <c r="P758" s="1436"/>
      <c r="Q758" s="1436"/>
      <c r="R758" s="1436"/>
      <c r="S758" s="1436"/>
      <c r="T758" s="1436"/>
      <c r="U758" s="1436"/>
      <c r="V758" s="1436"/>
      <c r="W758" s="1436"/>
      <c r="X758" s="1436"/>
      <c r="Y758" s="1436"/>
      <c r="Z758" s="1436"/>
      <c r="AA758" s="1436"/>
      <c r="AB758" s="1436"/>
      <c r="AC758" s="1436"/>
      <c r="AD758" s="1436"/>
      <c r="AE758" s="1436"/>
      <c r="AF758" s="1436"/>
    </row>
    <row r="759" spans="1:32">
      <c r="A759" s="1436"/>
      <c r="B759" s="1436"/>
      <c r="C759" s="1436"/>
      <c r="D759" s="1436"/>
      <c r="E759" s="1436"/>
      <c r="F759" s="1436"/>
      <c r="G759" s="1436"/>
      <c r="H759" s="1436"/>
      <c r="I759" s="1436"/>
      <c r="J759" s="1436"/>
      <c r="K759" s="1436"/>
      <c r="L759" s="1436"/>
      <c r="M759" s="1436"/>
      <c r="N759" s="1436"/>
      <c r="O759" s="1436"/>
      <c r="P759" s="1436"/>
      <c r="Q759" s="1436"/>
      <c r="R759" s="1436"/>
      <c r="S759" s="1436"/>
      <c r="T759" s="1436"/>
      <c r="U759" s="1436"/>
      <c r="V759" s="1436"/>
      <c r="W759" s="1436"/>
      <c r="X759" s="1436"/>
      <c r="Y759" s="1436"/>
      <c r="Z759" s="1436"/>
      <c r="AA759" s="1436"/>
      <c r="AB759" s="1436"/>
      <c r="AC759" s="1436"/>
      <c r="AD759" s="1436"/>
      <c r="AE759" s="1436"/>
      <c r="AF759" s="1436"/>
    </row>
    <row r="760" spans="1:32">
      <c r="A760" s="1436"/>
      <c r="B760" s="1436"/>
      <c r="C760" s="1436"/>
      <c r="D760" s="1436"/>
      <c r="E760" s="1436"/>
      <c r="F760" s="1436"/>
      <c r="G760" s="1436"/>
      <c r="H760" s="1436"/>
      <c r="I760" s="1436"/>
      <c r="J760" s="1436"/>
      <c r="K760" s="1436"/>
      <c r="L760" s="1436"/>
      <c r="M760" s="1436"/>
      <c r="N760" s="1436"/>
      <c r="O760" s="1436"/>
      <c r="P760" s="1436"/>
      <c r="Q760" s="1436"/>
      <c r="R760" s="1436"/>
      <c r="S760" s="1436"/>
      <c r="T760" s="1436"/>
      <c r="U760" s="1436"/>
      <c r="V760" s="1436"/>
      <c r="W760" s="1436"/>
      <c r="X760" s="1436"/>
      <c r="Y760" s="1436"/>
      <c r="Z760" s="1436"/>
      <c r="AA760" s="1436"/>
      <c r="AB760" s="1436"/>
      <c r="AC760" s="1436"/>
      <c r="AD760" s="1436"/>
      <c r="AE760" s="1436"/>
      <c r="AF760" s="1436"/>
    </row>
    <row r="761" spans="1:32">
      <c r="A761" s="1436"/>
      <c r="B761" s="1436"/>
      <c r="C761" s="1436"/>
      <c r="D761" s="1436"/>
      <c r="E761" s="1436"/>
      <c r="F761" s="1436"/>
      <c r="G761" s="1436"/>
      <c r="H761" s="1436"/>
      <c r="I761" s="1436"/>
      <c r="J761" s="1436"/>
      <c r="K761" s="1436"/>
      <c r="L761" s="1436"/>
      <c r="M761" s="1436"/>
      <c r="N761" s="1436"/>
      <c r="O761" s="1436"/>
      <c r="P761" s="1436"/>
      <c r="Q761" s="1436"/>
      <c r="R761" s="1436"/>
      <c r="S761" s="1436"/>
      <c r="T761" s="1436"/>
      <c r="U761" s="1436"/>
      <c r="V761" s="1436"/>
      <c r="W761" s="1436"/>
      <c r="X761" s="1436"/>
      <c r="Y761" s="1436"/>
      <c r="Z761" s="1436"/>
      <c r="AA761" s="1436"/>
      <c r="AB761" s="1436"/>
      <c r="AC761" s="1436"/>
      <c r="AD761" s="1436"/>
      <c r="AE761" s="1436"/>
      <c r="AF761" s="1436"/>
    </row>
    <row r="762" spans="1:32">
      <c r="A762" s="1436"/>
      <c r="B762" s="1436"/>
      <c r="C762" s="1436"/>
      <c r="D762" s="1436"/>
      <c r="E762" s="1436"/>
      <c r="F762" s="1436"/>
      <c r="G762" s="1436"/>
      <c r="H762" s="1436"/>
      <c r="I762" s="1436"/>
      <c r="J762" s="1436"/>
      <c r="K762" s="1436"/>
      <c r="L762" s="1436"/>
      <c r="M762" s="1436"/>
      <c r="N762" s="1436"/>
      <c r="O762" s="1436"/>
      <c r="P762" s="1436"/>
      <c r="Q762" s="1436"/>
      <c r="R762" s="1436"/>
      <c r="S762" s="1436"/>
      <c r="T762" s="1436"/>
      <c r="U762" s="1436"/>
      <c r="V762" s="1436"/>
      <c r="W762" s="1436"/>
      <c r="X762" s="1436"/>
      <c r="Y762" s="1436"/>
      <c r="Z762" s="1436"/>
      <c r="AA762" s="1436"/>
      <c r="AB762" s="1436"/>
      <c r="AC762" s="1436"/>
      <c r="AD762" s="1436"/>
      <c r="AE762" s="1436"/>
      <c r="AF762" s="1436"/>
    </row>
    <row r="763" spans="1:32">
      <c r="A763" s="1436"/>
      <c r="B763" s="1436"/>
      <c r="C763" s="1436"/>
      <c r="D763" s="1436"/>
      <c r="E763" s="1436"/>
      <c r="F763" s="1436"/>
      <c r="G763" s="1436"/>
      <c r="H763" s="1436"/>
      <c r="I763" s="1436"/>
      <c r="J763" s="1436"/>
      <c r="K763" s="1436"/>
      <c r="L763" s="1436"/>
      <c r="M763" s="1436"/>
      <c r="N763" s="1436"/>
      <c r="O763" s="1436"/>
      <c r="P763" s="1436"/>
      <c r="Q763" s="1436"/>
      <c r="R763" s="1436"/>
      <c r="S763" s="1436"/>
      <c r="T763" s="1436"/>
      <c r="U763" s="1436"/>
      <c r="V763" s="1436"/>
      <c r="W763" s="1436"/>
      <c r="X763" s="1436"/>
      <c r="Y763" s="1436"/>
      <c r="Z763" s="1436"/>
      <c r="AA763" s="1436"/>
      <c r="AB763" s="1436"/>
      <c r="AC763" s="1436"/>
      <c r="AD763" s="1436"/>
      <c r="AE763" s="1436"/>
      <c r="AF763" s="1436"/>
    </row>
    <row r="764" spans="1:32">
      <c r="A764" s="1436"/>
      <c r="B764" s="1436"/>
      <c r="C764" s="1436"/>
      <c r="D764" s="1436"/>
      <c r="E764" s="1436"/>
      <c r="F764" s="1436"/>
      <c r="G764" s="1436"/>
      <c r="H764" s="1436"/>
      <c r="I764" s="1436"/>
      <c r="J764" s="1436"/>
      <c r="K764" s="1436"/>
      <c r="L764" s="1436"/>
      <c r="M764" s="1436"/>
      <c r="N764" s="1436"/>
      <c r="O764" s="1436"/>
      <c r="P764" s="1436"/>
      <c r="Q764" s="1436"/>
      <c r="R764" s="1436"/>
      <c r="S764" s="1436"/>
      <c r="T764" s="1436"/>
      <c r="U764" s="1436"/>
      <c r="V764" s="1436"/>
      <c r="W764" s="1436"/>
      <c r="X764" s="1436"/>
      <c r="Y764" s="1436"/>
      <c r="Z764" s="1436"/>
      <c r="AA764" s="1436"/>
      <c r="AB764" s="1436"/>
      <c r="AC764" s="1436"/>
      <c r="AD764" s="1436"/>
      <c r="AE764" s="1436"/>
      <c r="AF764" s="1436"/>
    </row>
    <row r="765" spans="1:32">
      <c r="A765" s="1436"/>
      <c r="B765" s="1436"/>
      <c r="C765" s="1436"/>
      <c r="D765" s="1436"/>
      <c r="E765" s="1436"/>
      <c r="F765" s="1436"/>
      <c r="G765" s="1436"/>
      <c r="H765" s="1436"/>
      <c r="I765" s="1436"/>
      <c r="J765" s="1436"/>
      <c r="K765" s="1436"/>
      <c r="L765" s="1436"/>
      <c r="M765" s="1436"/>
      <c r="N765" s="1436"/>
      <c r="O765" s="1436"/>
      <c r="P765" s="1436"/>
      <c r="Q765" s="1436"/>
      <c r="R765" s="1436"/>
      <c r="S765" s="1436"/>
      <c r="T765" s="1436"/>
      <c r="U765" s="1436"/>
      <c r="V765" s="1436"/>
      <c r="W765" s="1436"/>
      <c r="X765" s="1436"/>
      <c r="Y765" s="1436"/>
      <c r="Z765" s="1436"/>
      <c r="AA765" s="1436"/>
      <c r="AB765" s="1436"/>
      <c r="AC765" s="1436"/>
      <c r="AD765" s="1436"/>
      <c r="AE765" s="1436"/>
      <c r="AF765" s="1436"/>
    </row>
    <row r="766" spans="1:32">
      <c r="A766" s="1436"/>
      <c r="B766" s="1436"/>
      <c r="C766" s="1436"/>
      <c r="D766" s="1436"/>
      <c r="E766" s="1436"/>
      <c r="F766" s="1436"/>
      <c r="G766" s="1436"/>
      <c r="H766" s="1436"/>
      <c r="I766" s="1436"/>
      <c r="J766" s="1436"/>
      <c r="K766" s="1436"/>
      <c r="L766" s="1436"/>
      <c r="M766" s="1436"/>
      <c r="N766" s="1436"/>
      <c r="O766" s="1436"/>
      <c r="P766" s="1436"/>
      <c r="Q766" s="1436"/>
      <c r="R766" s="1436"/>
      <c r="S766" s="1436"/>
      <c r="T766" s="1436"/>
      <c r="U766" s="1436"/>
      <c r="V766" s="1436"/>
      <c r="W766" s="1436"/>
      <c r="X766" s="1436"/>
      <c r="Y766" s="1436"/>
      <c r="Z766" s="1436"/>
      <c r="AA766" s="1436"/>
      <c r="AB766" s="1436"/>
      <c r="AC766" s="1436"/>
      <c r="AD766" s="1436"/>
      <c r="AE766" s="1436"/>
      <c r="AF766" s="1436"/>
    </row>
    <row r="767" spans="1:32">
      <c r="A767" s="1436"/>
      <c r="B767" s="1436"/>
      <c r="C767" s="1436"/>
      <c r="D767" s="1436"/>
      <c r="E767" s="1436"/>
      <c r="F767" s="1436"/>
      <c r="G767" s="1436"/>
      <c r="H767" s="1436"/>
      <c r="I767" s="1436"/>
      <c r="J767" s="1436"/>
      <c r="K767" s="1436"/>
      <c r="L767" s="1436"/>
      <c r="M767" s="1436"/>
      <c r="N767" s="1436"/>
      <c r="O767" s="1436"/>
      <c r="P767" s="1436"/>
      <c r="Q767" s="1436"/>
      <c r="R767" s="1436"/>
      <c r="S767" s="1436"/>
      <c r="T767" s="1436"/>
      <c r="U767" s="1436"/>
      <c r="V767" s="1436"/>
      <c r="W767" s="1436"/>
      <c r="X767" s="1436"/>
      <c r="Y767" s="1436"/>
      <c r="Z767" s="1436"/>
      <c r="AA767" s="1436"/>
      <c r="AB767" s="1436"/>
      <c r="AC767" s="1436"/>
      <c r="AD767" s="1436"/>
      <c r="AE767" s="1436"/>
      <c r="AF767" s="1436"/>
    </row>
    <row r="768" spans="1:32">
      <c r="A768" s="1436"/>
      <c r="B768" s="1436"/>
      <c r="C768" s="1436"/>
      <c r="D768" s="1436"/>
      <c r="E768" s="1436"/>
      <c r="F768" s="1436"/>
      <c r="G768" s="1436"/>
      <c r="H768" s="1436"/>
      <c r="I768" s="1436"/>
      <c r="J768" s="1436"/>
      <c r="K768" s="1436"/>
      <c r="L768" s="1436"/>
      <c r="M768" s="1436"/>
      <c r="N768" s="1436"/>
      <c r="O768" s="1436"/>
      <c r="P768" s="1436"/>
      <c r="Q768" s="1436"/>
      <c r="R768" s="1436"/>
      <c r="S768" s="1436"/>
      <c r="T768" s="1436"/>
      <c r="U768" s="1436"/>
      <c r="V768" s="1436"/>
      <c r="W768" s="1436"/>
      <c r="X768" s="1436"/>
      <c r="Y768" s="1436"/>
      <c r="Z768" s="1436"/>
      <c r="AA768" s="1436"/>
      <c r="AB768" s="1436"/>
      <c r="AC768" s="1436"/>
      <c r="AD768" s="1436"/>
      <c r="AE768" s="1436"/>
      <c r="AF768" s="1436"/>
    </row>
    <row r="769" spans="1:32">
      <c r="A769" s="1436"/>
      <c r="B769" s="1436"/>
      <c r="C769" s="1436"/>
      <c r="D769" s="1436"/>
      <c r="E769" s="1436"/>
      <c r="F769" s="1436"/>
      <c r="G769" s="1436"/>
      <c r="H769" s="1436"/>
      <c r="I769" s="1436"/>
      <c r="J769" s="1436"/>
      <c r="K769" s="1436"/>
      <c r="L769" s="1436"/>
      <c r="M769" s="1436"/>
      <c r="N769" s="1436"/>
      <c r="O769" s="1436"/>
      <c r="P769" s="1436"/>
      <c r="Q769" s="1436"/>
      <c r="R769" s="1436"/>
      <c r="S769" s="1436"/>
      <c r="T769" s="1436"/>
      <c r="U769" s="1436"/>
      <c r="V769" s="1436"/>
      <c r="W769" s="1436"/>
      <c r="X769" s="1436"/>
      <c r="Y769" s="1436"/>
      <c r="Z769" s="1436"/>
      <c r="AA769" s="1436"/>
      <c r="AB769" s="1436"/>
      <c r="AC769" s="1436"/>
      <c r="AD769" s="1436"/>
      <c r="AE769" s="1436"/>
      <c r="AF769" s="1436"/>
    </row>
    <row r="770" spans="1:32">
      <c r="A770" s="1436"/>
      <c r="B770" s="1436"/>
      <c r="C770" s="1436"/>
      <c r="D770" s="1436"/>
      <c r="E770" s="1436"/>
      <c r="F770" s="1436"/>
      <c r="G770" s="1436"/>
      <c r="H770" s="1436"/>
      <c r="I770" s="1436"/>
      <c r="J770" s="1436"/>
      <c r="K770" s="1436"/>
      <c r="L770" s="1436"/>
      <c r="M770" s="1436"/>
      <c r="N770" s="1436"/>
      <c r="O770" s="1436"/>
      <c r="P770" s="1436"/>
      <c r="Q770" s="1436"/>
      <c r="R770" s="1436"/>
      <c r="S770" s="1436"/>
      <c r="T770" s="1436"/>
      <c r="U770" s="1436"/>
      <c r="V770" s="1436"/>
      <c r="W770" s="1436"/>
      <c r="X770" s="1436"/>
      <c r="Y770" s="1436"/>
      <c r="Z770" s="1436"/>
      <c r="AA770" s="1436"/>
      <c r="AB770" s="1436"/>
      <c r="AC770" s="1436"/>
      <c r="AD770" s="1436"/>
      <c r="AE770" s="1436"/>
      <c r="AF770" s="1436"/>
    </row>
    <row r="771" spans="1:32">
      <c r="A771" s="1436"/>
      <c r="B771" s="1436"/>
      <c r="C771" s="1436"/>
      <c r="D771" s="1436"/>
      <c r="E771" s="1436"/>
      <c r="F771" s="1436"/>
      <c r="G771" s="1436"/>
      <c r="H771" s="1436"/>
      <c r="I771" s="1436"/>
      <c r="J771" s="1436"/>
      <c r="K771" s="1436"/>
      <c r="L771" s="1436"/>
      <c r="M771" s="1436"/>
      <c r="N771" s="1436"/>
      <c r="O771" s="1436"/>
      <c r="P771" s="1436"/>
      <c r="Q771" s="1436"/>
      <c r="R771" s="1436"/>
      <c r="S771" s="1436"/>
      <c r="T771" s="1436"/>
      <c r="U771" s="1436"/>
      <c r="V771" s="1436"/>
      <c r="W771" s="1436"/>
      <c r="X771" s="1436"/>
      <c r="Y771" s="1436"/>
      <c r="Z771" s="1436"/>
      <c r="AA771" s="1436"/>
      <c r="AB771" s="1436"/>
      <c r="AC771" s="1436"/>
      <c r="AD771" s="1436"/>
      <c r="AE771" s="1436"/>
      <c r="AF771" s="1436"/>
    </row>
    <row r="772" spans="1:32">
      <c r="A772" s="1436"/>
      <c r="B772" s="1436"/>
      <c r="C772" s="1436"/>
      <c r="D772" s="1436"/>
      <c r="E772" s="1436"/>
      <c r="F772" s="1436"/>
      <c r="G772" s="1436"/>
      <c r="H772" s="1436"/>
      <c r="I772" s="1436"/>
      <c r="J772" s="1436"/>
      <c r="K772" s="1436"/>
      <c r="L772" s="1436"/>
      <c r="M772" s="1436"/>
      <c r="N772" s="1436"/>
      <c r="O772" s="1436"/>
      <c r="P772" s="1436"/>
      <c r="Q772" s="1436"/>
      <c r="R772" s="1436"/>
      <c r="S772" s="1436"/>
      <c r="T772" s="1436"/>
      <c r="U772" s="1436"/>
      <c r="V772" s="1436"/>
      <c r="W772" s="1436"/>
      <c r="X772" s="1436"/>
      <c r="Y772" s="1436"/>
      <c r="Z772" s="1436"/>
      <c r="AA772" s="1436"/>
      <c r="AB772" s="1436"/>
      <c r="AC772" s="1436"/>
      <c r="AD772" s="1436"/>
      <c r="AE772" s="1436"/>
      <c r="AF772" s="1436"/>
    </row>
    <row r="773" spans="1:32">
      <c r="A773" s="1436"/>
      <c r="B773" s="1436"/>
      <c r="C773" s="1436"/>
      <c r="D773" s="1436"/>
      <c r="E773" s="1436"/>
      <c r="F773" s="1436"/>
      <c r="G773" s="1436"/>
      <c r="H773" s="1436"/>
      <c r="I773" s="1436"/>
      <c r="J773" s="1436"/>
      <c r="K773" s="1436"/>
      <c r="L773" s="1436"/>
      <c r="M773" s="1436"/>
      <c r="N773" s="1436"/>
      <c r="O773" s="1436"/>
      <c r="P773" s="1436"/>
      <c r="Q773" s="1436"/>
      <c r="R773" s="1436"/>
      <c r="S773" s="1436"/>
      <c r="T773" s="1436"/>
      <c r="U773" s="1436"/>
      <c r="V773" s="1436"/>
      <c r="W773" s="1436"/>
      <c r="X773" s="1436"/>
      <c r="Y773" s="1436"/>
      <c r="Z773" s="1436"/>
      <c r="AA773" s="1436"/>
      <c r="AB773" s="1436"/>
      <c r="AC773" s="1436"/>
      <c r="AD773" s="1436"/>
      <c r="AE773" s="1436"/>
      <c r="AF773" s="1436"/>
    </row>
    <row r="774" spans="1:32">
      <c r="A774" s="1436"/>
      <c r="B774" s="1436"/>
      <c r="C774" s="1436"/>
      <c r="D774" s="1436"/>
      <c r="E774" s="1436"/>
      <c r="F774" s="1436"/>
      <c r="G774" s="1436"/>
      <c r="H774" s="1436"/>
      <c r="I774" s="1436"/>
      <c r="J774" s="1436"/>
      <c r="K774" s="1436"/>
      <c r="L774" s="1436"/>
      <c r="M774" s="1436"/>
      <c r="N774" s="1436"/>
      <c r="O774" s="1436"/>
      <c r="P774" s="1436"/>
      <c r="Q774" s="1436"/>
      <c r="R774" s="1436"/>
      <c r="S774" s="1436"/>
      <c r="T774" s="1436"/>
      <c r="U774" s="1436"/>
      <c r="V774" s="1436"/>
      <c r="W774" s="1436"/>
      <c r="X774" s="1436"/>
      <c r="Y774" s="1436"/>
      <c r="Z774" s="1436"/>
      <c r="AA774" s="1436"/>
      <c r="AB774" s="1436"/>
      <c r="AC774" s="1436"/>
      <c r="AD774" s="1436"/>
      <c r="AE774" s="1436"/>
      <c r="AF774" s="1436"/>
    </row>
    <row r="775" spans="1:32">
      <c r="A775" s="1436"/>
      <c r="B775" s="1436"/>
      <c r="C775" s="1436"/>
      <c r="D775" s="1436"/>
      <c r="E775" s="1436"/>
      <c r="F775" s="1436"/>
      <c r="G775" s="1436"/>
      <c r="H775" s="1436"/>
      <c r="I775" s="1436"/>
      <c r="J775" s="1436"/>
      <c r="K775" s="1436"/>
      <c r="L775" s="1436"/>
      <c r="M775" s="1436"/>
      <c r="N775" s="1436"/>
      <c r="O775" s="1436"/>
      <c r="P775" s="1436"/>
      <c r="Q775" s="1436"/>
      <c r="R775" s="1436"/>
      <c r="S775" s="1436"/>
      <c r="T775" s="1436"/>
      <c r="U775" s="1436"/>
      <c r="V775" s="1436"/>
      <c r="W775" s="1436"/>
      <c r="X775" s="1436"/>
      <c r="Y775" s="1436"/>
      <c r="Z775" s="1436"/>
      <c r="AA775" s="1436"/>
      <c r="AB775" s="1436"/>
      <c r="AC775" s="1436"/>
      <c r="AD775" s="1436"/>
      <c r="AE775" s="1436"/>
      <c r="AF775" s="1436"/>
    </row>
    <row r="776" spans="1:32">
      <c r="A776" s="1436"/>
      <c r="B776" s="1436"/>
      <c r="C776" s="1436"/>
      <c r="D776" s="1436"/>
      <c r="E776" s="1436"/>
      <c r="F776" s="1436"/>
      <c r="G776" s="1436"/>
      <c r="H776" s="1436"/>
      <c r="I776" s="1436"/>
      <c r="J776" s="1436"/>
      <c r="K776" s="1436"/>
      <c r="L776" s="1436"/>
      <c r="M776" s="1436"/>
      <c r="N776" s="1436"/>
      <c r="O776" s="1436"/>
      <c r="P776" s="1436"/>
      <c r="Q776" s="1436"/>
      <c r="R776" s="1436"/>
      <c r="S776" s="1436"/>
      <c r="T776" s="1436"/>
      <c r="U776" s="1436"/>
      <c r="V776" s="1436"/>
      <c r="W776" s="1436"/>
      <c r="X776" s="1436"/>
      <c r="Y776" s="1436"/>
      <c r="Z776" s="1436"/>
      <c r="AA776" s="1436"/>
      <c r="AB776" s="1436"/>
      <c r="AC776" s="1436"/>
      <c r="AD776" s="1436"/>
      <c r="AE776" s="1436"/>
      <c r="AF776" s="1436"/>
    </row>
    <row r="777" spans="1:32">
      <c r="A777" s="1436"/>
      <c r="B777" s="1436"/>
      <c r="C777" s="1436"/>
      <c r="D777" s="1436"/>
      <c r="E777" s="1436"/>
      <c r="F777" s="1436"/>
      <c r="G777" s="1436"/>
      <c r="H777" s="1436"/>
      <c r="I777" s="1436"/>
      <c r="J777" s="1436"/>
      <c r="K777" s="1436"/>
      <c r="L777" s="1436"/>
      <c r="M777" s="1436"/>
      <c r="N777" s="1436"/>
      <c r="O777" s="1436"/>
      <c r="P777" s="1436"/>
      <c r="Q777" s="1436"/>
      <c r="R777" s="1436"/>
      <c r="S777" s="1436"/>
      <c r="T777" s="1436"/>
      <c r="U777" s="1436"/>
      <c r="V777" s="1436"/>
      <c r="W777" s="1436"/>
      <c r="X777" s="1436"/>
      <c r="Y777" s="1436"/>
      <c r="Z777" s="1436"/>
      <c r="AA777" s="1436"/>
      <c r="AB777" s="1436"/>
      <c r="AC777" s="1436"/>
      <c r="AD777" s="1436"/>
      <c r="AE777" s="1436"/>
      <c r="AF777" s="1436"/>
    </row>
    <row r="778" spans="1:32">
      <c r="A778" s="1436"/>
      <c r="B778" s="1436"/>
      <c r="C778" s="1436"/>
      <c r="D778" s="1436"/>
      <c r="E778" s="1436"/>
      <c r="F778" s="1436"/>
      <c r="G778" s="1436"/>
      <c r="H778" s="1436"/>
      <c r="I778" s="1436"/>
      <c r="J778" s="1436"/>
      <c r="K778" s="1436"/>
      <c r="L778" s="1436"/>
      <c r="M778" s="1436"/>
      <c r="N778" s="1436"/>
      <c r="O778" s="1436"/>
      <c r="P778" s="1436"/>
      <c r="Q778" s="1436"/>
      <c r="R778" s="1436"/>
      <c r="S778" s="1436"/>
      <c r="T778" s="1436"/>
      <c r="U778" s="1436"/>
      <c r="V778" s="1436"/>
      <c r="W778" s="1436"/>
      <c r="X778" s="1436"/>
      <c r="Y778" s="1436"/>
      <c r="Z778" s="1436"/>
      <c r="AA778" s="1436"/>
      <c r="AB778" s="1436"/>
      <c r="AC778" s="1436"/>
      <c r="AD778" s="1436"/>
      <c r="AE778" s="1436"/>
      <c r="AF778" s="1436"/>
    </row>
    <row r="779" spans="1:32">
      <c r="A779" s="1436"/>
      <c r="B779" s="1436"/>
      <c r="C779" s="1436"/>
      <c r="D779" s="1436"/>
      <c r="E779" s="1436"/>
      <c r="F779" s="1436"/>
      <c r="G779" s="1436"/>
      <c r="H779" s="1436"/>
      <c r="I779" s="1436"/>
      <c r="J779" s="1436"/>
      <c r="K779" s="1436"/>
      <c r="L779" s="1436"/>
      <c r="M779" s="1436"/>
      <c r="N779" s="1436"/>
      <c r="O779" s="1436"/>
      <c r="P779" s="1436"/>
      <c r="Q779" s="1436"/>
      <c r="R779" s="1436"/>
      <c r="S779" s="1436"/>
      <c r="T779" s="1436"/>
      <c r="U779" s="1436"/>
      <c r="V779" s="1436"/>
      <c r="W779" s="1436"/>
      <c r="X779" s="1436"/>
      <c r="Y779" s="1436"/>
      <c r="Z779" s="1436"/>
      <c r="AA779" s="1436"/>
      <c r="AB779" s="1436"/>
      <c r="AC779" s="1436"/>
      <c r="AD779" s="1436"/>
      <c r="AE779" s="1436"/>
      <c r="AF779" s="1436"/>
    </row>
    <row r="780" spans="1:32">
      <c r="A780" s="1436"/>
      <c r="B780" s="1436"/>
      <c r="C780" s="1436"/>
      <c r="D780" s="1436"/>
      <c r="E780" s="1436"/>
      <c r="F780" s="1436"/>
      <c r="G780" s="1436"/>
      <c r="H780" s="1436"/>
      <c r="I780" s="1436"/>
      <c r="J780" s="1436"/>
      <c r="K780" s="1436"/>
      <c r="L780" s="1436"/>
      <c r="M780" s="1436"/>
      <c r="N780" s="1436"/>
      <c r="O780" s="1436"/>
      <c r="P780" s="1436"/>
      <c r="Q780" s="1436"/>
      <c r="R780" s="1436"/>
      <c r="S780" s="1436"/>
      <c r="T780" s="1436"/>
      <c r="U780" s="1436"/>
      <c r="V780" s="1436"/>
      <c r="W780" s="1436"/>
      <c r="X780" s="1436"/>
      <c r="Y780" s="1436"/>
      <c r="Z780" s="1436"/>
      <c r="AA780" s="1436"/>
      <c r="AB780" s="1436"/>
      <c r="AC780" s="1436"/>
      <c r="AD780" s="1436"/>
      <c r="AE780" s="1436"/>
      <c r="AF780" s="1436"/>
    </row>
    <row r="781" spans="1:32">
      <c r="A781" s="1436"/>
      <c r="B781" s="1436"/>
      <c r="C781" s="1436"/>
      <c r="D781" s="1436"/>
      <c r="E781" s="1436"/>
      <c r="F781" s="1436"/>
      <c r="G781" s="1436"/>
      <c r="H781" s="1436"/>
      <c r="I781" s="1436"/>
      <c r="J781" s="1436"/>
      <c r="K781" s="1436"/>
      <c r="L781" s="1436"/>
      <c r="M781" s="1436"/>
      <c r="N781" s="1436"/>
      <c r="O781" s="1436"/>
      <c r="P781" s="1436"/>
      <c r="Q781" s="1436"/>
      <c r="R781" s="1436"/>
      <c r="S781" s="1436"/>
      <c r="T781" s="1436"/>
      <c r="U781" s="1436"/>
      <c r="V781" s="1436"/>
      <c r="W781" s="1436"/>
      <c r="X781" s="1436"/>
      <c r="Y781" s="1436"/>
      <c r="Z781" s="1436"/>
      <c r="AA781" s="1436"/>
      <c r="AB781" s="1436"/>
      <c r="AC781" s="1436"/>
      <c r="AD781" s="1436"/>
      <c r="AE781" s="1436"/>
      <c r="AF781" s="1436"/>
    </row>
    <row r="782" spans="1:32">
      <c r="A782" s="1436"/>
      <c r="B782" s="1436"/>
      <c r="C782" s="1436"/>
      <c r="D782" s="1436"/>
      <c r="E782" s="1436"/>
      <c r="F782" s="1436"/>
      <c r="G782" s="1436"/>
      <c r="H782" s="1436"/>
      <c r="I782" s="1436"/>
      <c r="J782" s="1436"/>
      <c r="K782" s="1436"/>
      <c r="L782" s="1436"/>
      <c r="M782" s="1436"/>
      <c r="N782" s="1436"/>
      <c r="O782" s="1436"/>
      <c r="P782" s="1436"/>
      <c r="Q782" s="1436"/>
      <c r="R782" s="1436"/>
      <c r="S782" s="1436"/>
      <c r="T782" s="1436"/>
      <c r="U782" s="1436"/>
      <c r="V782" s="1436"/>
      <c r="W782" s="1436"/>
      <c r="X782" s="1436"/>
      <c r="Y782" s="1436"/>
      <c r="Z782" s="1436"/>
      <c r="AA782" s="1436"/>
      <c r="AB782" s="1436"/>
      <c r="AC782" s="1436"/>
      <c r="AD782" s="1436"/>
      <c r="AE782" s="1436"/>
      <c r="AF782" s="1436"/>
    </row>
    <row r="783" spans="1:32">
      <c r="A783" s="1436"/>
      <c r="B783" s="1436"/>
      <c r="C783" s="1436"/>
      <c r="D783" s="1436"/>
      <c r="E783" s="1436"/>
      <c r="F783" s="1436"/>
      <c r="G783" s="1436"/>
      <c r="H783" s="1436"/>
      <c r="I783" s="1436"/>
      <c r="J783" s="1436"/>
      <c r="K783" s="1436"/>
      <c r="L783" s="1436"/>
      <c r="M783" s="1436"/>
      <c r="N783" s="1436"/>
      <c r="O783" s="1436"/>
      <c r="P783" s="1436"/>
      <c r="Q783" s="1436"/>
      <c r="R783" s="1436"/>
      <c r="S783" s="1436"/>
      <c r="T783" s="1436"/>
      <c r="U783" s="1436"/>
      <c r="V783" s="1436"/>
      <c r="W783" s="1436"/>
      <c r="X783" s="1436"/>
      <c r="Y783" s="1436"/>
      <c r="Z783" s="1436"/>
      <c r="AA783" s="1436"/>
      <c r="AB783" s="1436"/>
      <c r="AC783" s="1436"/>
      <c r="AD783" s="1436"/>
      <c r="AE783" s="1436"/>
      <c r="AF783" s="1436"/>
    </row>
    <row r="784" spans="1:32">
      <c r="A784" s="1436"/>
      <c r="B784" s="1436"/>
      <c r="C784" s="1436"/>
      <c r="D784" s="1436"/>
      <c r="E784" s="1436"/>
      <c r="F784" s="1436"/>
      <c r="G784" s="1436"/>
      <c r="H784" s="1436"/>
      <c r="I784" s="1436"/>
      <c r="J784" s="1436"/>
      <c r="K784" s="1436"/>
      <c r="L784" s="1436"/>
      <c r="M784" s="1436"/>
      <c r="N784" s="1436"/>
      <c r="O784" s="1436"/>
      <c r="P784" s="1436"/>
      <c r="Q784" s="1436"/>
      <c r="R784" s="1436"/>
      <c r="S784" s="1436"/>
      <c r="T784" s="1436"/>
      <c r="U784" s="1436"/>
      <c r="V784" s="1436"/>
      <c r="W784" s="1436"/>
      <c r="X784" s="1436"/>
      <c r="Y784" s="1436"/>
      <c r="Z784" s="1436"/>
      <c r="AA784" s="1436"/>
      <c r="AB784" s="1436"/>
      <c r="AC784" s="1436"/>
      <c r="AD784" s="1436"/>
      <c r="AE784" s="1436"/>
      <c r="AF784" s="1436"/>
    </row>
    <row r="785" spans="1:32">
      <c r="A785" s="1436"/>
      <c r="B785" s="1436"/>
      <c r="C785" s="1436"/>
      <c r="D785" s="1436"/>
      <c r="E785" s="1436"/>
      <c r="F785" s="1436"/>
      <c r="G785" s="1436"/>
      <c r="H785" s="1436"/>
      <c r="I785" s="1436"/>
      <c r="J785" s="1436"/>
      <c r="K785" s="1436"/>
      <c r="L785" s="1436"/>
      <c r="M785" s="1436"/>
      <c r="N785" s="1436"/>
      <c r="O785" s="1436"/>
      <c r="P785" s="1436"/>
      <c r="Q785" s="1436"/>
      <c r="R785" s="1436"/>
      <c r="S785" s="1436"/>
      <c r="T785" s="1436"/>
      <c r="U785" s="1436"/>
      <c r="V785" s="1436"/>
      <c r="W785" s="1436"/>
      <c r="X785" s="1436"/>
      <c r="Y785" s="1436"/>
      <c r="Z785" s="1436"/>
      <c r="AA785" s="1436"/>
      <c r="AB785" s="1436"/>
      <c r="AC785" s="1436"/>
      <c r="AD785" s="1436"/>
      <c r="AE785" s="1436"/>
      <c r="AF785" s="1436"/>
    </row>
    <row r="786" spans="1:32">
      <c r="A786" s="1436"/>
      <c r="B786" s="1436"/>
      <c r="C786" s="1436"/>
      <c r="D786" s="1436"/>
      <c r="E786" s="1436"/>
      <c r="F786" s="1436"/>
      <c r="G786" s="1436"/>
      <c r="H786" s="1436"/>
      <c r="I786" s="1436"/>
      <c r="J786" s="1436"/>
      <c r="K786" s="1436"/>
      <c r="L786" s="1436"/>
      <c r="M786" s="1436"/>
      <c r="N786" s="1436"/>
      <c r="O786" s="1436"/>
      <c r="P786" s="1436"/>
      <c r="Q786" s="1436"/>
      <c r="R786" s="1436"/>
      <c r="S786" s="1436"/>
      <c r="T786" s="1436"/>
      <c r="U786" s="1436"/>
      <c r="V786" s="1436"/>
      <c r="W786" s="1436"/>
      <c r="X786" s="1436"/>
      <c r="Y786" s="1436"/>
      <c r="Z786" s="1436"/>
      <c r="AA786" s="1436"/>
      <c r="AB786" s="1436"/>
      <c r="AC786" s="1436"/>
      <c r="AD786" s="1436"/>
      <c r="AE786" s="1436"/>
      <c r="AF786" s="1436"/>
    </row>
    <row r="787" spans="1:32">
      <c r="A787" s="1436"/>
      <c r="B787" s="1436"/>
      <c r="C787" s="1436"/>
      <c r="D787" s="1436"/>
      <c r="E787" s="1436"/>
      <c r="F787" s="1436"/>
      <c r="G787" s="1436"/>
      <c r="H787" s="1436"/>
      <c r="I787" s="1436"/>
      <c r="J787" s="1436"/>
      <c r="K787" s="1436"/>
      <c r="L787" s="1436"/>
      <c r="M787" s="1436"/>
      <c r="N787" s="1436"/>
      <c r="O787" s="1436"/>
      <c r="P787" s="1436"/>
      <c r="Q787" s="1436"/>
      <c r="R787" s="1436"/>
      <c r="S787" s="1436"/>
      <c r="T787" s="1436"/>
      <c r="U787" s="1436"/>
      <c r="V787" s="1436"/>
      <c r="W787" s="1436"/>
      <c r="X787" s="1436"/>
      <c r="Y787" s="1436"/>
      <c r="Z787" s="1436"/>
      <c r="AA787" s="1436"/>
      <c r="AB787" s="1436"/>
      <c r="AC787" s="1436"/>
      <c r="AD787" s="1436"/>
      <c r="AE787" s="1436"/>
      <c r="AF787" s="1436"/>
    </row>
    <row r="788" spans="1:32">
      <c r="A788" s="1436"/>
      <c r="B788" s="1436"/>
      <c r="C788" s="1436"/>
      <c r="D788" s="1436"/>
      <c r="E788" s="1436"/>
      <c r="F788" s="1436"/>
      <c r="G788" s="1436"/>
      <c r="H788" s="1436"/>
      <c r="I788" s="1436"/>
      <c r="J788" s="1436"/>
      <c r="K788" s="1436"/>
      <c r="L788" s="1436"/>
      <c r="M788" s="1436"/>
      <c r="N788" s="1436"/>
      <c r="O788" s="1436"/>
      <c r="P788" s="1436"/>
      <c r="Q788" s="1436"/>
      <c r="R788" s="1436"/>
      <c r="S788" s="1436"/>
      <c r="T788" s="1436"/>
      <c r="U788" s="1436"/>
      <c r="V788" s="1436"/>
      <c r="W788" s="1436"/>
      <c r="X788" s="1436"/>
      <c r="Y788" s="1436"/>
      <c r="Z788" s="1436"/>
      <c r="AA788" s="1436"/>
      <c r="AB788" s="1436"/>
      <c r="AC788" s="1436"/>
      <c r="AD788" s="1436"/>
      <c r="AE788" s="1436"/>
      <c r="AF788" s="1436"/>
    </row>
    <row r="789" spans="1:32">
      <c r="A789" s="1436"/>
      <c r="B789" s="1436"/>
      <c r="C789" s="1436"/>
      <c r="D789" s="1436"/>
      <c r="E789" s="1436"/>
      <c r="F789" s="1436"/>
      <c r="G789" s="1436"/>
      <c r="H789" s="1436"/>
      <c r="I789" s="1436"/>
      <c r="J789" s="1436"/>
      <c r="K789" s="1436"/>
      <c r="L789" s="1436"/>
      <c r="M789" s="1436"/>
      <c r="N789" s="1436"/>
      <c r="O789" s="1436"/>
      <c r="P789" s="1436"/>
      <c r="Q789" s="1436"/>
      <c r="R789" s="1436"/>
      <c r="S789" s="1436"/>
      <c r="T789" s="1436"/>
      <c r="U789" s="1436"/>
      <c r="V789" s="1436"/>
      <c r="W789" s="1436"/>
      <c r="X789" s="1436"/>
      <c r="Y789" s="1436"/>
      <c r="Z789" s="1436"/>
      <c r="AA789" s="1436"/>
      <c r="AB789" s="1436"/>
      <c r="AC789" s="1436"/>
      <c r="AD789" s="1436"/>
      <c r="AE789" s="1436"/>
      <c r="AF789" s="1436"/>
    </row>
    <row r="790" spans="1:32">
      <c r="A790" s="1436"/>
      <c r="B790" s="1436"/>
      <c r="C790" s="1436"/>
      <c r="D790" s="1436"/>
      <c r="E790" s="1436"/>
      <c r="F790" s="1436"/>
      <c r="G790" s="1436"/>
      <c r="H790" s="1436"/>
      <c r="I790" s="1436"/>
      <c r="J790" s="1436"/>
      <c r="K790" s="1436"/>
      <c r="L790" s="1436"/>
      <c r="M790" s="1436"/>
      <c r="N790" s="1436"/>
      <c r="O790" s="1436"/>
      <c r="P790" s="1436"/>
      <c r="Q790" s="1436"/>
      <c r="R790" s="1436"/>
      <c r="S790" s="1436"/>
      <c r="T790" s="1436"/>
      <c r="U790" s="1436"/>
      <c r="V790" s="1436"/>
      <c r="W790" s="1436"/>
      <c r="X790" s="1436"/>
      <c r="Y790" s="1436"/>
      <c r="Z790" s="1436"/>
      <c r="AA790" s="1436"/>
      <c r="AB790" s="1436"/>
      <c r="AC790" s="1436"/>
      <c r="AD790" s="1436"/>
      <c r="AE790" s="1436"/>
      <c r="AF790" s="1436"/>
    </row>
    <row r="791" spans="1:32">
      <c r="A791" s="1436"/>
      <c r="B791" s="1436"/>
      <c r="C791" s="1436"/>
      <c r="D791" s="1436"/>
      <c r="E791" s="1436"/>
      <c r="F791" s="1436"/>
      <c r="G791" s="1436"/>
      <c r="H791" s="1436"/>
      <c r="I791" s="1436"/>
      <c r="J791" s="1436"/>
      <c r="K791" s="1436"/>
      <c r="L791" s="1436"/>
      <c r="M791" s="1436"/>
      <c r="N791" s="1436"/>
      <c r="O791" s="1436"/>
      <c r="P791" s="1436"/>
      <c r="Q791" s="1436"/>
      <c r="R791" s="1436"/>
      <c r="S791" s="1436"/>
      <c r="T791" s="1436"/>
      <c r="U791" s="1436"/>
      <c r="V791" s="1436"/>
      <c r="W791" s="1436"/>
      <c r="X791" s="1436"/>
      <c r="Y791" s="1436"/>
      <c r="Z791" s="1436"/>
      <c r="AA791" s="1436"/>
      <c r="AB791" s="1436"/>
      <c r="AC791" s="1436"/>
      <c r="AD791" s="1436"/>
      <c r="AE791" s="1436"/>
      <c r="AF791" s="1436"/>
    </row>
    <row r="792" spans="1:32">
      <c r="A792" s="1436"/>
      <c r="B792" s="1436"/>
      <c r="C792" s="1436"/>
      <c r="D792" s="1436"/>
      <c r="E792" s="1436"/>
      <c r="F792" s="1436"/>
      <c r="G792" s="1436"/>
      <c r="H792" s="1436"/>
      <c r="I792" s="1436"/>
      <c r="J792" s="1436"/>
      <c r="K792" s="1436"/>
      <c r="L792" s="1436"/>
      <c r="M792" s="1436"/>
      <c r="N792" s="1436"/>
      <c r="O792" s="1436"/>
      <c r="P792" s="1436"/>
      <c r="Q792" s="1436"/>
      <c r="R792" s="1436"/>
      <c r="S792" s="1436"/>
      <c r="T792" s="1436"/>
      <c r="U792" s="1436"/>
      <c r="V792" s="1436"/>
      <c r="W792" s="1436"/>
      <c r="X792" s="1436"/>
      <c r="Y792" s="1436"/>
      <c r="Z792" s="1436"/>
      <c r="AA792" s="1436"/>
      <c r="AB792" s="1436"/>
      <c r="AC792" s="1436"/>
      <c r="AD792" s="1436"/>
      <c r="AE792" s="1436"/>
      <c r="AF792" s="1436"/>
    </row>
    <row r="793" spans="1:32">
      <c r="A793" s="1436"/>
      <c r="B793" s="1436"/>
      <c r="C793" s="1436"/>
      <c r="D793" s="1436"/>
      <c r="E793" s="1436"/>
      <c r="F793" s="1436"/>
      <c r="G793" s="1436"/>
      <c r="H793" s="1436"/>
      <c r="I793" s="1436"/>
      <c r="J793" s="1436"/>
      <c r="K793" s="1436"/>
      <c r="L793" s="1436"/>
      <c r="M793" s="1436"/>
      <c r="N793" s="1436"/>
      <c r="O793" s="1436"/>
      <c r="P793" s="1436"/>
      <c r="Q793" s="1436"/>
      <c r="R793" s="1436"/>
      <c r="S793" s="1436"/>
      <c r="T793" s="1436"/>
      <c r="U793" s="1436"/>
      <c r="V793" s="1436"/>
      <c r="W793" s="1436"/>
      <c r="X793" s="1436"/>
      <c r="Y793" s="1436"/>
      <c r="Z793" s="1436"/>
      <c r="AA793" s="1436"/>
      <c r="AB793" s="1436"/>
      <c r="AC793" s="1436"/>
      <c r="AD793" s="1436"/>
      <c r="AE793" s="1436"/>
      <c r="AF793" s="1436"/>
    </row>
    <row r="794" spans="1:32">
      <c r="A794" s="1436"/>
      <c r="B794" s="1436"/>
      <c r="C794" s="1436"/>
      <c r="D794" s="1436"/>
      <c r="E794" s="1436"/>
      <c r="F794" s="1436"/>
      <c r="G794" s="1436"/>
      <c r="H794" s="1436"/>
      <c r="I794" s="1436"/>
      <c r="J794" s="1436"/>
      <c r="K794" s="1436"/>
      <c r="L794" s="1436"/>
      <c r="M794" s="1436"/>
      <c r="N794" s="1436"/>
      <c r="O794" s="1436"/>
      <c r="P794" s="1436"/>
      <c r="Q794" s="1436"/>
      <c r="R794" s="1436"/>
      <c r="S794" s="1436"/>
      <c r="T794" s="1436"/>
      <c r="U794" s="1436"/>
      <c r="V794" s="1436"/>
      <c r="W794" s="1436"/>
      <c r="X794" s="1436"/>
      <c r="Y794" s="1436"/>
      <c r="Z794" s="1436"/>
      <c r="AA794" s="1436"/>
      <c r="AB794" s="1436"/>
      <c r="AC794" s="1436"/>
      <c r="AD794" s="1436"/>
      <c r="AE794" s="1436"/>
      <c r="AF794" s="1436"/>
    </row>
    <row r="795" spans="1:32">
      <c r="A795" s="1436"/>
      <c r="B795" s="1436"/>
      <c r="C795" s="1436"/>
      <c r="D795" s="1436"/>
      <c r="E795" s="1436"/>
      <c r="F795" s="1436"/>
      <c r="G795" s="1436"/>
      <c r="H795" s="1436"/>
      <c r="I795" s="1436"/>
      <c r="J795" s="1436"/>
      <c r="K795" s="1436"/>
      <c r="L795" s="1436"/>
      <c r="M795" s="1436"/>
      <c r="N795" s="1436"/>
      <c r="O795" s="1436"/>
      <c r="P795" s="1436"/>
      <c r="Q795" s="1436"/>
      <c r="R795" s="1436"/>
      <c r="S795" s="1436"/>
      <c r="T795" s="1436"/>
      <c r="U795" s="1436"/>
      <c r="V795" s="1436"/>
      <c r="W795" s="1436"/>
      <c r="X795" s="1436"/>
      <c r="Y795" s="1436"/>
      <c r="Z795" s="1436"/>
      <c r="AA795" s="1436"/>
      <c r="AB795" s="1436"/>
      <c r="AC795" s="1436"/>
      <c r="AD795" s="1436"/>
      <c r="AE795" s="1436"/>
      <c r="AF795" s="1436"/>
    </row>
    <row r="796" spans="1:32">
      <c r="A796" s="1436"/>
      <c r="B796" s="1436"/>
      <c r="C796" s="1436"/>
      <c r="D796" s="1436"/>
      <c r="E796" s="1436"/>
      <c r="F796" s="1436"/>
      <c r="G796" s="1436"/>
      <c r="H796" s="1436"/>
      <c r="I796" s="1436"/>
      <c r="J796" s="1436"/>
      <c r="K796" s="1436"/>
      <c r="L796" s="1436"/>
      <c r="M796" s="1436"/>
      <c r="N796" s="1436"/>
      <c r="O796" s="1436"/>
      <c r="P796" s="1436"/>
      <c r="Q796" s="1436"/>
      <c r="R796" s="1436"/>
      <c r="S796" s="1436"/>
      <c r="T796" s="1436"/>
      <c r="U796" s="1436"/>
      <c r="V796" s="1436"/>
      <c r="W796" s="1436"/>
      <c r="X796" s="1436"/>
      <c r="Y796" s="1436"/>
      <c r="Z796" s="1436"/>
      <c r="AA796" s="1436"/>
      <c r="AB796" s="1436"/>
      <c r="AC796" s="1436"/>
      <c r="AD796" s="1436"/>
      <c r="AE796" s="1436"/>
      <c r="AF796" s="1436"/>
    </row>
    <row r="797" spans="1:32">
      <c r="A797" s="1436"/>
      <c r="B797" s="1436"/>
      <c r="C797" s="1436"/>
      <c r="D797" s="1436"/>
      <c r="E797" s="1436"/>
      <c r="F797" s="1436"/>
      <c r="G797" s="1436"/>
      <c r="H797" s="1436"/>
      <c r="I797" s="1436"/>
      <c r="J797" s="1436"/>
      <c r="K797" s="1436"/>
      <c r="L797" s="1436"/>
      <c r="M797" s="1436"/>
      <c r="N797" s="1436"/>
      <c r="O797" s="1436"/>
      <c r="P797" s="1436"/>
      <c r="Q797" s="1436"/>
      <c r="R797" s="1436"/>
      <c r="S797" s="1436"/>
      <c r="T797" s="1436"/>
      <c r="U797" s="1436"/>
      <c r="V797" s="1436"/>
      <c r="W797" s="1436"/>
      <c r="X797" s="1436"/>
      <c r="Y797" s="1436"/>
      <c r="Z797" s="1436"/>
      <c r="AA797" s="1436"/>
      <c r="AB797" s="1436"/>
      <c r="AC797" s="1436"/>
      <c r="AD797" s="1436"/>
      <c r="AE797" s="1436"/>
      <c r="AF797" s="1436"/>
    </row>
    <row r="798" spans="1:32">
      <c r="A798" s="1436"/>
      <c r="B798" s="1436"/>
      <c r="C798" s="1436"/>
      <c r="D798" s="1436"/>
      <c r="E798" s="1436"/>
      <c r="F798" s="1436"/>
      <c r="G798" s="1436"/>
      <c r="H798" s="1436"/>
      <c r="I798" s="1436"/>
      <c r="J798" s="1436"/>
      <c r="K798" s="1436"/>
      <c r="L798" s="1436"/>
      <c r="M798" s="1436"/>
      <c r="N798" s="1436"/>
      <c r="O798" s="1436"/>
      <c r="P798" s="1436"/>
      <c r="Q798" s="1436"/>
      <c r="R798" s="1436"/>
      <c r="S798" s="1436"/>
      <c r="T798" s="1436"/>
      <c r="U798" s="1436"/>
      <c r="V798" s="1436"/>
      <c r="W798" s="1436"/>
      <c r="X798" s="1436"/>
      <c r="Y798" s="1436"/>
      <c r="Z798" s="1436"/>
      <c r="AA798" s="1436"/>
      <c r="AB798" s="1436"/>
      <c r="AC798" s="1436"/>
      <c r="AD798" s="1436"/>
      <c r="AE798" s="1436"/>
      <c r="AF798" s="1436"/>
    </row>
    <row r="799" spans="1:32">
      <c r="A799" s="1436"/>
      <c r="B799" s="1436"/>
      <c r="C799" s="1436"/>
      <c r="D799" s="1436"/>
      <c r="E799" s="1436"/>
      <c r="F799" s="1436"/>
      <c r="G799" s="1436"/>
      <c r="H799" s="1436"/>
      <c r="I799" s="1436"/>
      <c r="J799" s="1436"/>
      <c r="K799" s="1436"/>
      <c r="L799" s="1436"/>
      <c r="M799" s="1436"/>
      <c r="N799" s="1436"/>
      <c r="O799" s="1436"/>
      <c r="P799" s="1436"/>
      <c r="Q799" s="1436"/>
      <c r="R799" s="1436"/>
      <c r="S799" s="1436"/>
      <c r="T799" s="1436"/>
      <c r="U799" s="1436"/>
      <c r="V799" s="1436"/>
      <c r="W799" s="1436"/>
      <c r="X799" s="1436"/>
      <c r="Y799" s="1436"/>
      <c r="Z799" s="1436"/>
      <c r="AA799" s="1436"/>
      <c r="AB799" s="1436"/>
      <c r="AC799" s="1436"/>
      <c r="AD799" s="1436"/>
      <c r="AE799" s="1436"/>
      <c r="AF799" s="1436"/>
    </row>
    <row r="800" spans="1:32">
      <c r="A800" s="1436"/>
      <c r="B800" s="1436"/>
      <c r="C800" s="1436"/>
      <c r="D800" s="1436"/>
      <c r="E800" s="1436"/>
      <c r="F800" s="1436"/>
      <c r="G800" s="1436"/>
      <c r="H800" s="1436"/>
      <c r="I800" s="1436"/>
      <c r="J800" s="1436"/>
      <c r="K800" s="1436"/>
      <c r="L800" s="1436"/>
      <c r="M800" s="1436"/>
      <c r="N800" s="1436"/>
      <c r="O800" s="1436"/>
      <c r="P800" s="1436"/>
      <c r="Q800" s="1436"/>
      <c r="R800" s="1436"/>
      <c r="S800" s="1436"/>
      <c r="T800" s="1436"/>
      <c r="U800" s="1436"/>
      <c r="V800" s="1436"/>
      <c r="W800" s="1436"/>
      <c r="X800" s="1436"/>
      <c r="Y800" s="1436"/>
      <c r="Z800" s="1436"/>
      <c r="AA800" s="1436"/>
      <c r="AB800" s="1436"/>
      <c r="AC800" s="1436"/>
      <c r="AD800" s="1436"/>
      <c r="AE800" s="1436"/>
      <c r="AF800" s="1436"/>
    </row>
    <row r="801" spans="1:32">
      <c r="A801" s="1436"/>
      <c r="B801" s="1436"/>
      <c r="C801" s="1436"/>
      <c r="D801" s="1436"/>
      <c r="E801" s="1436"/>
      <c r="F801" s="1436"/>
      <c r="G801" s="1436"/>
      <c r="H801" s="1436"/>
      <c r="I801" s="1436"/>
      <c r="J801" s="1436"/>
      <c r="K801" s="1436"/>
      <c r="L801" s="1436"/>
      <c r="M801" s="1436"/>
      <c r="N801" s="1436"/>
      <c r="O801" s="1436"/>
      <c r="P801" s="1436"/>
      <c r="Q801" s="1436"/>
      <c r="R801" s="1436"/>
      <c r="S801" s="1436"/>
      <c r="T801" s="1436"/>
      <c r="U801" s="1436"/>
      <c r="V801" s="1436"/>
      <c r="W801" s="1436"/>
      <c r="X801" s="1436"/>
      <c r="Y801" s="1436"/>
      <c r="Z801" s="1436"/>
      <c r="AA801" s="1436"/>
      <c r="AB801" s="1436"/>
      <c r="AC801" s="1436"/>
      <c r="AD801" s="1436"/>
      <c r="AE801" s="1436"/>
      <c r="AF801" s="1436"/>
    </row>
    <row r="802" spans="1:32">
      <c r="A802" s="1436"/>
      <c r="B802" s="1436"/>
      <c r="C802" s="1436"/>
      <c r="D802" s="1436"/>
      <c r="E802" s="1436"/>
      <c r="F802" s="1436"/>
      <c r="G802" s="1436"/>
      <c r="H802" s="1436"/>
      <c r="I802" s="1436"/>
      <c r="J802" s="1436"/>
      <c r="K802" s="1436"/>
      <c r="L802" s="1436"/>
      <c r="M802" s="1436"/>
      <c r="N802" s="1436"/>
      <c r="O802" s="1436"/>
      <c r="P802" s="1436"/>
      <c r="Q802" s="1436"/>
      <c r="R802" s="1436"/>
      <c r="S802" s="1436"/>
      <c r="T802" s="1436"/>
      <c r="U802" s="1436"/>
      <c r="V802" s="1436"/>
      <c r="W802" s="1436"/>
      <c r="X802" s="1436"/>
      <c r="Y802" s="1436"/>
      <c r="Z802" s="1436"/>
      <c r="AA802" s="1436"/>
      <c r="AB802" s="1436"/>
      <c r="AC802" s="1436"/>
      <c r="AD802" s="1436"/>
      <c r="AE802" s="1436"/>
      <c r="AF802" s="1436"/>
    </row>
    <row r="803" spans="1:32">
      <c r="A803" s="1436"/>
      <c r="B803" s="1436"/>
      <c r="C803" s="1436"/>
      <c r="D803" s="1436"/>
      <c r="E803" s="1436"/>
      <c r="F803" s="1436"/>
      <c r="G803" s="1436"/>
      <c r="H803" s="1436"/>
      <c r="I803" s="1436"/>
      <c r="J803" s="1436"/>
      <c r="K803" s="1436"/>
      <c r="L803" s="1436"/>
      <c r="M803" s="1436"/>
      <c r="N803" s="1436"/>
      <c r="O803" s="1436"/>
      <c r="P803" s="1436"/>
      <c r="Q803" s="1436"/>
      <c r="R803" s="1436"/>
      <c r="S803" s="1436"/>
      <c r="T803" s="1436"/>
      <c r="U803" s="1436"/>
      <c r="V803" s="1436"/>
      <c r="W803" s="1436"/>
      <c r="X803" s="1436"/>
      <c r="Y803" s="1436"/>
      <c r="Z803" s="1436"/>
      <c r="AA803" s="1436"/>
      <c r="AB803" s="1436"/>
      <c r="AC803" s="1436"/>
      <c r="AD803" s="1436"/>
      <c r="AE803" s="1436"/>
      <c r="AF803" s="1436"/>
    </row>
    <row r="804" spans="1:32">
      <c r="A804" s="1436"/>
      <c r="B804" s="1436"/>
      <c r="C804" s="1436"/>
      <c r="D804" s="1436"/>
      <c r="E804" s="1436"/>
      <c r="F804" s="1436"/>
      <c r="G804" s="1436"/>
      <c r="H804" s="1436"/>
      <c r="I804" s="1436"/>
      <c r="J804" s="1436"/>
      <c r="K804" s="1436"/>
      <c r="L804" s="1436"/>
      <c r="M804" s="1436"/>
      <c r="N804" s="1436"/>
      <c r="O804" s="1436"/>
      <c r="P804" s="1436"/>
      <c r="Q804" s="1436"/>
      <c r="R804" s="1436"/>
      <c r="S804" s="1436"/>
      <c r="T804" s="1436"/>
      <c r="U804" s="1436"/>
      <c r="V804" s="1436"/>
      <c r="W804" s="1436"/>
      <c r="X804" s="1436"/>
      <c r="Y804" s="1436"/>
      <c r="Z804" s="1436"/>
      <c r="AA804" s="1436"/>
      <c r="AB804" s="1436"/>
      <c r="AC804" s="1436"/>
      <c r="AD804" s="1436"/>
      <c r="AE804" s="1436"/>
      <c r="AF804" s="1436"/>
    </row>
    <row r="805" spans="1:32">
      <c r="A805" s="1436"/>
      <c r="B805" s="1436"/>
      <c r="C805" s="1436"/>
      <c r="D805" s="1436"/>
      <c r="E805" s="1436"/>
      <c r="F805" s="1436"/>
      <c r="G805" s="1436"/>
      <c r="H805" s="1436"/>
      <c r="I805" s="1436"/>
      <c r="J805" s="1436"/>
      <c r="K805" s="1436"/>
      <c r="L805" s="1436"/>
      <c r="M805" s="1436"/>
      <c r="N805" s="1436"/>
      <c r="O805" s="1436"/>
      <c r="P805" s="1436"/>
      <c r="Q805" s="1436"/>
      <c r="R805" s="1436"/>
      <c r="S805" s="1436"/>
      <c r="T805" s="1436"/>
      <c r="U805" s="1436"/>
      <c r="V805" s="1436"/>
      <c r="W805" s="1436"/>
      <c r="X805" s="1436"/>
      <c r="Y805" s="1436"/>
      <c r="Z805" s="1436"/>
      <c r="AA805" s="1436"/>
      <c r="AB805" s="1436"/>
      <c r="AC805" s="1436"/>
      <c r="AD805" s="1436"/>
      <c r="AE805" s="1436"/>
      <c r="AF805" s="1436"/>
    </row>
    <row r="806" spans="1:32">
      <c r="A806" s="1436"/>
      <c r="B806" s="1436"/>
      <c r="C806" s="1436"/>
      <c r="D806" s="1436"/>
      <c r="E806" s="1436"/>
      <c r="F806" s="1436"/>
      <c r="G806" s="1436"/>
      <c r="H806" s="1436"/>
      <c r="I806" s="1436"/>
      <c r="J806" s="1436"/>
      <c r="K806" s="1436"/>
      <c r="L806" s="1436"/>
      <c r="M806" s="1436"/>
      <c r="N806" s="1436"/>
      <c r="O806" s="1436"/>
      <c r="P806" s="1436"/>
      <c r="Q806" s="1436"/>
      <c r="R806" s="1436"/>
      <c r="S806" s="1436"/>
      <c r="T806" s="1436"/>
      <c r="U806" s="1436"/>
      <c r="V806" s="1436"/>
      <c r="W806" s="1436"/>
      <c r="X806" s="1436"/>
      <c r="Y806" s="1436"/>
      <c r="Z806" s="1436"/>
      <c r="AA806" s="1436"/>
      <c r="AB806" s="1436"/>
      <c r="AC806" s="1436"/>
      <c r="AD806" s="1436"/>
      <c r="AE806" s="1436"/>
      <c r="AF806" s="1436"/>
    </row>
    <row r="807" spans="1:32">
      <c r="A807" s="1436"/>
      <c r="B807" s="1436"/>
      <c r="C807" s="1436"/>
      <c r="D807" s="1436"/>
      <c r="E807" s="1436"/>
      <c r="F807" s="1436"/>
      <c r="G807" s="1436"/>
      <c r="H807" s="1436"/>
      <c r="I807" s="1436"/>
      <c r="J807" s="1436"/>
      <c r="K807" s="1436"/>
      <c r="L807" s="1436"/>
      <c r="M807" s="1436"/>
      <c r="N807" s="1436"/>
      <c r="O807" s="1436"/>
      <c r="P807" s="1436"/>
      <c r="Q807" s="1436"/>
      <c r="R807" s="1436"/>
      <c r="S807" s="1436"/>
      <c r="T807" s="1436"/>
      <c r="U807" s="1436"/>
      <c r="V807" s="1436"/>
      <c r="W807" s="1436"/>
      <c r="X807" s="1436"/>
      <c r="Y807" s="1436"/>
      <c r="Z807" s="1436"/>
      <c r="AA807" s="1436"/>
      <c r="AB807" s="1436"/>
      <c r="AC807" s="1436"/>
      <c r="AD807" s="1436"/>
      <c r="AE807" s="1436"/>
      <c r="AF807" s="1436"/>
    </row>
    <row r="808" spans="1:32">
      <c r="A808" s="1436"/>
      <c r="B808" s="1436"/>
      <c r="C808" s="1436"/>
      <c r="D808" s="1436"/>
      <c r="E808" s="1436"/>
      <c r="F808" s="1436"/>
      <c r="G808" s="1436"/>
      <c r="H808" s="1436"/>
      <c r="I808" s="1436"/>
      <c r="J808" s="1436"/>
      <c r="K808" s="1436"/>
      <c r="L808" s="1436"/>
      <c r="M808" s="1436"/>
      <c r="N808" s="1436"/>
      <c r="O808" s="1436"/>
      <c r="P808" s="1436"/>
      <c r="Q808" s="1436"/>
      <c r="R808" s="1436"/>
      <c r="S808" s="1436"/>
      <c r="T808" s="1436"/>
      <c r="U808" s="1436"/>
      <c r="V808" s="1436"/>
      <c r="W808" s="1436"/>
      <c r="X808" s="1436"/>
      <c r="Y808" s="1436"/>
      <c r="Z808" s="1436"/>
      <c r="AA808" s="1436"/>
      <c r="AB808" s="1436"/>
      <c r="AC808" s="1436"/>
      <c r="AD808" s="1436"/>
      <c r="AE808" s="1436"/>
      <c r="AF808" s="1436"/>
    </row>
    <row r="809" spans="1:32">
      <c r="A809" s="1436"/>
      <c r="B809" s="1436"/>
      <c r="C809" s="1436"/>
      <c r="D809" s="1436"/>
      <c r="E809" s="1436"/>
      <c r="F809" s="1436"/>
      <c r="G809" s="1436"/>
      <c r="H809" s="1436"/>
      <c r="I809" s="1436"/>
      <c r="J809" s="1436"/>
      <c r="K809" s="1436"/>
      <c r="L809" s="1436"/>
      <c r="M809" s="1436"/>
      <c r="N809" s="1436"/>
      <c r="O809" s="1436"/>
      <c r="P809" s="1436"/>
      <c r="Q809" s="1436"/>
      <c r="R809" s="1436"/>
      <c r="S809" s="1436"/>
      <c r="T809" s="1436"/>
      <c r="U809" s="1436"/>
      <c r="V809" s="1436"/>
      <c r="W809" s="1436"/>
      <c r="X809" s="1436"/>
      <c r="Y809" s="1436"/>
      <c r="Z809" s="1436"/>
      <c r="AA809" s="1436"/>
      <c r="AB809" s="1436"/>
      <c r="AC809" s="1436"/>
      <c r="AD809" s="1436"/>
      <c r="AE809" s="1436"/>
      <c r="AF809" s="1436"/>
    </row>
    <row r="810" spans="1:32">
      <c r="A810" s="1436"/>
      <c r="B810" s="1436"/>
      <c r="C810" s="1436"/>
      <c r="D810" s="1436"/>
      <c r="E810" s="1436"/>
      <c r="F810" s="1436"/>
      <c r="G810" s="1436"/>
      <c r="H810" s="1436"/>
      <c r="I810" s="1436"/>
      <c r="J810" s="1436"/>
      <c r="K810" s="1436"/>
      <c r="L810" s="1436"/>
      <c r="M810" s="1436"/>
      <c r="N810" s="1436"/>
      <c r="O810" s="1436"/>
      <c r="P810" s="1436"/>
      <c r="Q810" s="1436"/>
      <c r="R810" s="1436"/>
      <c r="S810" s="1436"/>
      <c r="T810" s="1436"/>
      <c r="U810" s="1436"/>
      <c r="V810" s="1436"/>
      <c r="W810" s="1436"/>
      <c r="X810" s="1436"/>
      <c r="Y810" s="1436"/>
      <c r="Z810" s="1436"/>
      <c r="AA810" s="1436"/>
      <c r="AB810" s="1436"/>
      <c r="AC810" s="1436"/>
      <c r="AD810" s="1436"/>
      <c r="AE810" s="1436"/>
      <c r="AF810" s="1436"/>
    </row>
    <row r="811" spans="1:32">
      <c r="A811" s="1436"/>
      <c r="B811" s="1436"/>
      <c r="C811" s="1436"/>
      <c r="D811" s="1436"/>
      <c r="E811" s="1436"/>
      <c r="F811" s="1436"/>
      <c r="G811" s="1436"/>
      <c r="H811" s="1436"/>
      <c r="I811" s="1436"/>
      <c r="J811" s="1436"/>
      <c r="K811" s="1436"/>
      <c r="L811" s="1436"/>
      <c r="M811" s="1436"/>
      <c r="N811" s="1436"/>
      <c r="O811" s="1436"/>
      <c r="P811" s="1436"/>
      <c r="Q811" s="1436"/>
      <c r="R811" s="1436"/>
      <c r="S811" s="1436"/>
      <c r="T811" s="1436"/>
      <c r="U811" s="1436"/>
      <c r="V811" s="1436"/>
      <c r="W811" s="1436"/>
      <c r="X811" s="1436"/>
      <c r="Y811" s="1436"/>
      <c r="Z811" s="1436"/>
      <c r="AA811" s="1436"/>
      <c r="AB811" s="1436"/>
      <c r="AC811" s="1436"/>
      <c r="AD811" s="1436"/>
      <c r="AE811" s="1436"/>
      <c r="AF811" s="1436"/>
    </row>
    <row r="812" spans="1:32">
      <c r="A812" s="1436"/>
      <c r="B812" s="1436"/>
      <c r="C812" s="1436"/>
      <c r="D812" s="1436"/>
      <c r="E812" s="1436"/>
      <c r="F812" s="1436"/>
      <c r="G812" s="1436"/>
      <c r="H812" s="1436"/>
      <c r="I812" s="1436"/>
      <c r="J812" s="1436"/>
      <c r="K812" s="1436"/>
      <c r="L812" s="1436"/>
      <c r="M812" s="1436"/>
      <c r="N812" s="1436"/>
      <c r="O812" s="1436"/>
      <c r="P812" s="1436"/>
      <c r="Q812" s="1436"/>
      <c r="R812" s="1436"/>
      <c r="S812" s="1436"/>
      <c r="T812" s="1436"/>
      <c r="U812" s="1436"/>
      <c r="V812" s="1436"/>
      <c r="W812" s="1436"/>
      <c r="X812" s="1436"/>
      <c r="Y812" s="1436"/>
      <c r="Z812" s="1436"/>
      <c r="AA812" s="1436"/>
      <c r="AB812" s="1436"/>
      <c r="AC812" s="1436"/>
      <c r="AD812" s="1436"/>
      <c r="AE812" s="1436"/>
      <c r="AF812" s="1436"/>
    </row>
    <row r="813" spans="1:32">
      <c r="A813" s="1436"/>
      <c r="B813" s="1436"/>
      <c r="C813" s="1436"/>
      <c r="D813" s="1436"/>
      <c r="E813" s="1436"/>
      <c r="F813" s="1436"/>
      <c r="G813" s="1436"/>
      <c r="H813" s="1436"/>
      <c r="I813" s="1436"/>
      <c r="J813" s="1436"/>
      <c r="K813" s="1436"/>
      <c r="L813" s="1436"/>
      <c r="M813" s="1436"/>
      <c r="N813" s="1436"/>
      <c r="O813" s="1436"/>
      <c r="P813" s="1436"/>
      <c r="Q813" s="1436"/>
      <c r="R813" s="1436"/>
      <c r="S813" s="1436"/>
      <c r="T813" s="1436"/>
      <c r="U813" s="1436"/>
      <c r="V813" s="1436"/>
      <c r="W813" s="1436"/>
      <c r="X813" s="1436"/>
      <c r="Y813" s="1436"/>
      <c r="Z813" s="1436"/>
      <c r="AA813" s="1436"/>
      <c r="AB813" s="1436"/>
      <c r="AC813" s="1436"/>
      <c r="AD813" s="1436"/>
      <c r="AE813" s="1436"/>
      <c r="AF813" s="1436"/>
    </row>
    <row r="814" spans="1:32">
      <c r="A814" s="1436"/>
      <c r="B814" s="1436"/>
      <c r="C814" s="1436"/>
      <c r="D814" s="1436"/>
      <c r="E814" s="1436"/>
      <c r="F814" s="1436"/>
      <c r="G814" s="1436"/>
      <c r="H814" s="1436"/>
      <c r="I814" s="1436"/>
      <c r="J814" s="1436"/>
      <c r="K814" s="1436"/>
      <c r="L814" s="1436"/>
      <c r="M814" s="1436"/>
      <c r="N814" s="1436"/>
      <c r="O814" s="1436"/>
      <c r="P814" s="1436"/>
      <c r="Q814" s="1436"/>
      <c r="R814" s="1436"/>
      <c r="S814" s="1436"/>
      <c r="T814" s="1436"/>
      <c r="U814" s="1436"/>
      <c r="V814" s="1436"/>
      <c r="W814" s="1436"/>
      <c r="X814" s="1436"/>
      <c r="Y814" s="1436"/>
      <c r="Z814" s="1436"/>
      <c r="AA814" s="1436"/>
      <c r="AB814" s="1436"/>
      <c r="AC814" s="1436"/>
      <c r="AD814" s="1436"/>
      <c r="AE814" s="1436"/>
      <c r="AF814" s="1436"/>
    </row>
    <row r="815" spans="1:32">
      <c r="A815" s="1436"/>
      <c r="B815" s="1436"/>
      <c r="C815" s="1436"/>
      <c r="D815" s="1436"/>
      <c r="E815" s="1436"/>
      <c r="F815" s="1436"/>
      <c r="G815" s="1436"/>
      <c r="H815" s="1436"/>
      <c r="I815" s="1436"/>
      <c r="J815" s="1436"/>
      <c r="K815" s="1436"/>
      <c r="L815" s="1436"/>
      <c r="M815" s="1436"/>
      <c r="N815" s="1436"/>
      <c r="O815" s="1436"/>
      <c r="P815" s="1436"/>
      <c r="Q815" s="1436"/>
      <c r="R815" s="1436"/>
      <c r="S815" s="1436"/>
      <c r="T815" s="1436"/>
      <c r="U815" s="1436"/>
      <c r="V815" s="1436"/>
      <c r="W815" s="1436"/>
      <c r="X815" s="1436"/>
      <c r="Y815" s="1436"/>
      <c r="Z815" s="1436"/>
      <c r="AA815" s="1436"/>
      <c r="AB815" s="1436"/>
      <c r="AC815" s="1436"/>
      <c r="AD815" s="1436"/>
      <c r="AE815" s="1436"/>
      <c r="AF815" s="1436"/>
    </row>
    <row r="816" spans="1:32">
      <c r="A816" s="1436"/>
      <c r="B816" s="1436"/>
      <c r="C816" s="1436"/>
      <c r="D816" s="1436"/>
      <c r="E816" s="1436"/>
      <c r="F816" s="1436"/>
      <c r="G816" s="1436"/>
      <c r="H816" s="1436"/>
      <c r="I816" s="1436"/>
      <c r="J816" s="1436"/>
      <c r="K816" s="1436"/>
      <c r="L816" s="1436"/>
      <c r="M816" s="1436"/>
      <c r="N816" s="1436"/>
      <c r="O816" s="1436"/>
      <c r="P816" s="1436"/>
      <c r="Q816" s="1436"/>
      <c r="R816" s="1436"/>
      <c r="S816" s="1436"/>
      <c r="T816" s="1436"/>
      <c r="U816" s="1436"/>
      <c r="V816" s="1436"/>
      <c r="W816" s="1436"/>
      <c r="X816" s="1436"/>
      <c r="Y816" s="1436"/>
      <c r="Z816" s="1436"/>
      <c r="AA816" s="1436"/>
      <c r="AB816" s="1436"/>
      <c r="AC816" s="1436"/>
      <c r="AD816" s="1436"/>
      <c r="AE816" s="1436"/>
      <c r="AF816" s="1436"/>
    </row>
    <row r="817" spans="1:32">
      <c r="A817" s="1436"/>
      <c r="B817" s="1436"/>
      <c r="C817" s="1436"/>
      <c r="D817" s="1436"/>
      <c r="E817" s="1436"/>
      <c r="F817" s="1436"/>
      <c r="G817" s="1436"/>
      <c r="H817" s="1436"/>
      <c r="I817" s="1436"/>
      <c r="J817" s="1436"/>
      <c r="K817" s="1436"/>
      <c r="L817" s="1436"/>
      <c r="M817" s="1436"/>
      <c r="N817" s="1436"/>
      <c r="O817" s="1436"/>
      <c r="P817" s="1436"/>
      <c r="Q817" s="1436"/>
      <c r="R817" s="1436"/>
      <c r="S817" s="1436"/>
      <c r="T817" s="1436"/>
      <c r="U817" s="1436"/>
      <c r="V817" s="1436"/>
      <c r="W817" s="1436"/>
      <c r="X817" s="1436"/>
      <c r="Y817" s="1436"/>
      <c r="Z817" s="1436"/>
      <c r="AA817" s="1436"/>
      <c r="AB817" s="1436"/>
      <c r="AC817" s="1436"/>
      <c r="AD817" s="1436"/>
      <c r="AE817" s="1436"/>
      <c r="AF817" s="1436"/>
    </row>
    <row r="818" spans="1:32">
      <c r="A818" s="1436"/>
      <c r="B818" s="1436"/>
      <c r="C818" s="1436"/>
      <c r="D818" s="1436"/>
      <c r="E818" s="1436"/>
      <c r="F818" s="1436"/>
      <c r="G818" s="1436"/>
      <c r="H818" s="1436"/>
      <c r="I818" s="1436"/>
      <c r="J818" s="1436"/>
      <c r="K818" s="1436"/>
      <c r="L818" s="1436"/>
      <c r="M818" s="1436"/>
      <c r="N818" s="1436"/>
      <c r="O818" s="1436"/>
      <c r="P818" s="1436"/>
      <c r="Q818" s="1436"/>
      <c r="R818" s="1436"/>
      <c r="S818" s="1436"/>
      <c r="T818" s="1436"/>
      <c r="U818" s="1436"/>
      <c r="V818" s="1436"/>
      <c r="W818" s="1436"/>
      <c r="X818" s="1436"/>
      <c r="Y818" s="1436"/>
      <c r="Z818" s="1436"/>
      <c r="AA818" s="1436"/>
      <c r="AB818" s="1436"/>
      <c r="AC818" s="1436"/>
      <c r="AD818" s="1436"/>
      <c r="AE818" s="1436"/>
      <c r="AF818" s="1436"/>
    </row>
    <row r="819" spans="1:32">
      <c r="A819" s="1436"/>
      <c r="B819" s="1436"/>
      <c r="C819" s="1436"/>
      <c r="D819" s="1436"/>
      <c r="E819" s="1436"/>
      <c r="F819" s="1436"/>
      <c r="G819" s="1436"/>
      <c r="H819" s="1436"/>
      <c r="I819" s="1436"/>
      <c r="J819" s="1436"/>
      <c r="K819" s="1436"/>
      <c r="L819" s="1436"/>
      <c r="M819" s="1436"/>
      <c r="N819" s="1436"/>
      <c r="O819" s="1436"/>
      <c r="P819" s="1436"/>
      <c r="Q819" s="1436"/>
      <c r="R819" s="1436"/>
      <c r="S819" s="1436"/>
      <c r="T819" s="1436"/>
      <c r="U819" s="1436"/>
      <c r="V819" s="1436"/>
      <c r="W819" s="1436"/>
      <c r="X819" s="1436"/>
      <c r="Y819" s="1436"/>
      <c r="Z819" s="1436"/>
      <c r="AA819" s="1436"/>
      <c r="AB819" s="1436"/>
      <c r="AC819" s="1436"/>
      <c r="AD819" s="1436"/>
      <c r="AE819" s="1436"/>
      <c r="AF819" s="1436"/>
    </row>
    <row r="820" spans="1:32">
      <c r="A820" s="1436"/>
      <c r="B820" s="1436"/>
      <c r="C820" s="1436"/>
      <c r="D820" s="1436"/>
      <c r="E820" s="1436"/>
      <c r="F820" s="1436"/>
      <c r="G820" s="1436"/>
      <c r="H820" s="1436"/>
      <c r="I820" s="1436"/>
      <c r="J820" s="1436"/>
      <c r="K820" s="1436"/>
      <c r="L820" s="1436"/>
      <c r="M820" s="1436"/>
      <c r="N820" s="1436"/>
      <c r="O820" s="1436"/>
      <c r="P820" s="1436"/>
      <c r="Q820" s="1436"/>
      <c r="R820" s="1436"/>
      <c r="S820" s="1436"/>
      <c r="T820" s="1436"/>
      <c r="U820" s="1436"/>
      <c r="V820" s="1436"/>
      <c r="W820" s="1436"/>
      <c r="X820" s="1436"/>
      <c r="Y820" s="1436"/>
      <c r="Z820" s="1436"/>
      <c r="AA820" s="1436"/>
      <c r="AB820" s="1436"/>
      <c r="AC820" s="1436"/>
      <c r="AD820" s="1436"/>
      <c r="AE820" s="1436"/>
      <c r="AF820" s="1436"/>
    </row>
    <row r="821" spans="1:32">
      <c r="A821" s="1436"/>
      <c r="B821" s="1436"/>
      <c r="C821" s="1436"/>
      <c r="D821" s="1436"/>
      <c r="E821" s="1436"/>
      <c r="F821" s="1436"/>
      <c r="G821" s="1436"/>
      <c r="H821" s="1436"/>
      <c r="I821" s="1436"/>
      <c r="J821" s="1436"/>
      <c r="K821" s="1436"/>
      <c r="L821" s="1436"/>
      <c r="M821" s="1436"/>
      <c r="N821" s="1436"/>
      <c r="O821" s="1436"/>
      <c r="P821" s="1436"/>
      <c r="Q821" s="1436"/>
      <c r="R821" s="1436"/>
      <c r="S821" s="1436"/>
      <c r="T821" s="1436"/>
      <c r="U821" s="1436"/>
      <c r="V821" s="1436"/>
      <c r="W821" s="1436"/>
      <c r="X821" s="1436"/>
      <c r="Y821" s="1436"/>
      <c r="Z821" s="1436"/>
      <c r="AA821" s="1436"/>
      <c r="AB821" s="1436"/>
      <c r="AC821" s="1436"/>
      <c r="AD821" s="1436"/>
      <c r="AE821" s="1436"/>
      <c r="AF821" s="1436"/>
    </row>
    <row r="822" spans="1:32">
      <c r="A822" s="1436"/>
      <c r="B822" s="1436"/>
      <c r="C822" s="1436"/>
      <c r="D822" s="1436"/>
      <c r="E822" s="1436"/>
      <c r="F822" s="1436"/>
      <c r="G822" s="1436"/>
      <c r="H822" s="1436"/>
      <c r="I822" s="1436"/>
      <c r="J822" s="1436"/>
      <c r="K822" s="1436"/>
      <c r="L822" s="1436"/>
      <c r="M822" s="1436"/>
      <c r="N822" s="1436"/>
      <c r="O822" s="1436"/>
      <c r="P822" s="1436"/>
      <c r="Q822" s="1436"/>
      <c r="R822" s="1436"/>
      <c r="S822" s="1436"/>
      <c r="T822" s="1436"/>
      <c r="U822" s="1436"/>
      <c r="V822" s="1436"/>
      <c r="W822" s="1436"/>
      <c r="X822" s="1436"/>
      <c r="Y822" s="1436"/>
      <c r="Z822" s="1436"/>
      <c r="AA822" s="1436"/>
      <c r="AB822" s="1436"/>
      <c r="AC822" s="1436"/>
      <c r="AD822" s="1436"/>
      <c r="AE822" s="1436"/>
      <c r="AF822" s="1436"/>
    </row>
    <row r="823" spans="1:32">
      <c r="A823" s="1436"/>
      <c r="B823" s="1436"/>
      <c r="C823" s="1436"/>
      <c r="D823" s="1436"/>
      <c r="E823" s="1436"/>
      <c r="F823" s="1436"/>
      <c r="G823" s="1436"/>
      <c r="H823" s="1436"/>
      <c r="I823" s="1436"/>
      <c r="J823" s="1436"/>
      <c r="K823" s="1436"/>
      <c r="L823" s="1436"/>
      <c r="M823" s="1436"/>
      <c r="N823" s="1436"/>
      <c r="O823" s="1436"/>
      <c r="P823" s="1436"/>
      <c r="Q823" s="1436"/>
      <c r="R823" s="1436"/>
      <c r="S823" s="1436"/>
      <c r="T823" s="1436"/>
      <c r="U823" s="1436"/>
      <c r="V823" s="1436"/>
      <c r="W823" s="1436"/>
      <c r="X823" s="1436"/>
      <c r="Y823" s="1436"/>
      <c r="Z823" s="1436"/>
      <c r="AA823" s="1436"/>
      <c r="AB823" s="1436"/>
      <c r="AC823" s="1436"/>
      <c r="AD823" s="1436"/>
      <c r="AE823" s="1436"/>
      <c r="AF823" s="1436"/>
    </row>
    <row r="824" spans="1:32">
      <c r="A824" s="1436"/>
      <c r="B824" s="1436"/>
      <c r="C824" s="1436"/>
      <c r="D824" s="1436"/>
      <c r="E824" s="1436"/>
      <c r="F824" s="1436"/>
      <c r="G824" s="1436"/>
      <c r="H824" s="1436"/>
      <c r="I824" s="1436"/>
      <c r="J824" s="1436"/>
      <c r="K824" s="1436"/>
      <c r="L824" s="1436"/>
      <c r="M824" s="1436"/>
      <c r="N824" s="1436"/>
      <c r="O824" s="1436"/>
      <c r="P824" s="1436"/>
      <c r="Q824" s="1436"/>
      <c r="R824" s="1436"/>
      <c r="S824" s="1436"/>
      <c r="T824" s="1436"/>
      <c r="U824" s="1436"/>
      <c r="V824" s="1436"/>
      <c r="W824" s="1436"/>
      <c r="X824" s="1436"/>
      <c r="Y824" s="1436"/>
      <c r="Z824" s="1436"/>
      <c r="AA824" s="1436"/>
      <c r="AB824" s="1436"/>
      <c r="AC824" s="1436"/>
      <c r="AD824" s="1436"/>
      <c r="AE824" s="1436"/>
      <c r="AF824" s="1436"/>
    </row>
    <row r="825" spans="1:32">
      <c r="A825" s="1436"/>
      <c r="B825" s="1436"/>
      <c r="C825" s="1436"/>
      <c r="D825" s="1436"/>
      <c r="E825" s="1436"/>
      <c r="F825" s="1436"/>
      <c r="G825" s="1436"/>
      <c r="H825" s="1436"/>
      <c r="I825" s="1436"/>
      <c r="J825" s="1436"/>
      <c r="K825" s="1436"/>
      <c r="L825" s="1436"/>
      <c r="M825" s="1436"/>
      <c r="N825" s="1436"/>
      <c r="O825" s="1436"/>
      <c r="P825" s="1436"/>
      <c r="Q825" s="1436"/>
      <c r="R825" s="1436"/>
      <c r="S825" s="1436"/>
      <c r="T825" s="1436"/>
      <c r="U825" s="1436"/>
      <c r="V825" s="1436"/>
      <c r="W825" s="1436"/>
      <c r="X825" s="1436"/>
      <c r="Y825" s="1436"/>
      <c r="Z825" s="1436"/>
      <c r="AA825" s="1436"/>
      <c r="AB825" s="1436"/>
      <c r="AC825" s="1436"/>
      <c r="AD825" s="1436"/>
      <c r="AE825" s="1436"/>
      <c r="AF825" s="1436"/>
    </row>
    <row r="826" spans="1:32">
      <c r="A826" s="1436"/>
      <c r="B826" s="1436"/>
      <c r="C826" s="1436"/>
      <c r="D826" s="1436"/>
      <c r="E826" s="1436"/>
      <c r="F826" s="1436"/>
      <c r="G826" s="1436"/>
      <c r="H826" s="1436"/>
      <c r="I826" s="1436"/>
      <c r="J826" s="1436"/>
      <c r="K826" s="1436"/>
      <c r="L826" s="1436"/>
      <c r="M826" s="1436"/>
      <c r="N826" s="1436"/>
      <c r="O826" s="1436"/>
      <c r="P826" s="1436"/>
      <c r="Q826" s="1436"/>
      <c r="R826" s="1436"/>
      <c r="S826" s="1436"/>
      <c r="T826" s="1436"/>
      <c r="U826" s="1436"/>
      <c r="V826" s="1436"/>
      <c r="W826" s="1436"/>
      <c r="X826" s="1436"/>
      <c r="Y826" s="1436"/>
      <c r="Z826" s="1436"/>
      <c r="AA826" s="1436"/>
      <c r="AB826" s="1436"/>
      <c r="AC826" s="1436"/>
      <c r="AD826" s="1436"/>
      <c r="AE826" s="1436"/>
      <c r="AF826" s="1436"/>
    </row>
    <row r="827" spans="1:32">
      <c r="A827" s="1436"/>
      <c r="B827" s="1436"/>
      <c r="C827" s="1436"/>
      <c r="D827" s="1436"/>
      <c r="E827" s="1436"/>
      <c r="F827" s="1436"/>
      <c r="G827" s="1436"/>
      <c r="H827" s="1436"/>
      <c r="I827" s="1436"/>
      <c r="J827" s="1436"/>
      <c r="K827" s="1436"/>
      <c r="L827" s="1436"/>
      <c r="M827" s="1436"/>
      <c r="N827" s="1436"/>
      <c r="O827" s="1436"/>
      <c r="P827" s="1436"/>
      <c r="Q827" s="1436"/>
      <c r="R827" s="1436"/>
      <c r="S827" s="1436"/>
      <c r="T827" s="1436"/>
      <c r="U827" s="1436"/>
      <c r="V827" s="1436"/>
      <c r="W827" s="1436"/>
      <c r="X827" s="1436"/>
      <c r="Y827" s="1436"/>
      <c r="Z827" s="1436"/>
      <c r="AA827" s="1436"/>
      <c r="AB827" s="1436"/>
      <c r="AC827" s="1436"/>
      <c r="AD827" s="1436"/>
      <c r="AE827" s="1436"/>
      <c r="AF827" s="1436"/>
    </row>
    <row r="828" spans="1:32">
      <c r="A828" s="1436"/>
      <c r="B828" s="1436"/>
      <c r="C828" s="1436"/>
      <c r="D828" s="1436"/>
      <c r="E828" s="1436"/>
      <c r="F828" s="1436"/>
      <c r="G828" s="1436"/>
      <c r="H828" s="1436"/>
      <c r="I828" s="1436"/>
      <c r="J828" s="1436"/>
      <c r="K828" s="1436"/>
      <c r="L828" s="1436"/>
      <c r="M828" s="1436"/>
      <c r="N828" s="1436"/>
      <c r="O828" s="1436"/>
      <c r="P828" s="1436"/>
      <c r="Q828" s="1436"/>
      <c r="R828" s="1436"/>
      <c r="S828" s="1436"/>
      <c r="T828" s="1436"/>
      <c r="U828" s="1436"/>
      <c r="V828" s="1436"/>
      <c r="W828" s="1436"/>
      <c r="X828" s="1436"/>
      <c r="Y828" s="1436"/>
      <c r="Z828" s="1436"/>
      <c r="AA828" s="1436"/>
      <c r="AB828" s="1436"/>
      <c r="AC828" s="1436"/>
      <c r="AD828" s="1436"/>
      <c r="AE828" s="1436"/>
      <c r="AF828" s="1436"/>
    </row>
    <row r="829" spans="1:32">
      <c r="A829" s="1436"/>
      <c r="B829" s="1436"/>
      <c r="C829" s="1436"/>
      <c r="D829" s="1436"/>
      <c r="E829" s="1436"/>
      <c r="F829" s="1436"/>
      <c r="G829" s="1436"/>
      <c r="H829" s="1436"/>
      <c r="I829" s="1436"/>
      <c r="J829" s="1436"/>
      <c r="K829" s="1436"/>
      <c r="L829" s="1436"/>
      <c r="M829" s="1436"/>
      <c r="N829" s="1436"/>
      <c r="O829" s="1436"/>
      <c r="P829" s="1436"/>
      <c r="Q829" s="1436"/>
      <c r="R829" s="1436"/>
      <c r="S829" s="1436"/>
      <c r="T829" s="1436"/>
      <c r="U829" s="1436"/>
      <c r="V829" s="1436"/>
      <c r="W829" s="1436"/>
      <c r="X829" s="1436"/>
      <c r="Y829" s="1436"/>
      <c r="Z829" s="1436"/>
      <c r="AA829" s="1436"/>
      <c r="AB829" s="1436"/>
      <c r="AC829" s="1436"/>
      <c r="AD829" s="1436"/>
      <c r="AE829" s="1436"/>
      <c r="AF829" s="1436"/>
    </row>
    <row r="830" spans="1:32">
      <c r="A830" s="1436"/>
      <c r="B830" s="1436"/>
      <c r="C830" s="1436"/>
      <c r="D830" s="1436"/>
      <c r="E830" s="1436"/>
      <c r="F830" s="1436"/>
      <c r="G830" s="1436"/>
      <c r="H830" s="1436"/>
      <c r="I830" s="1436"/>
      <c r="J830" s="1436"/>
      <c r="K830" s="1436"/>
      <c r="L830" s="1436"/>
      <c r="M830" s="1436"/>
      <c r="N830" s="1436"/>
      <c r="O830" s="1436"/>
      <c r="P830" s="1436"/>
      <c r="Q830" s="1436"/>
      <c r="R830" s="1436"/>
      <c r="S830" s="1436"/>
      <c r="T830" s="1436"/>
      <c r="U830" s="1436"/>
      <c r="V830" s="1436"/>
      <c r="W830" s="1436"/>
      <c r="X830" s="1436"/>
      <c r="Y830" s="1436"/>
      <c r="Z830" s="1436"/>
      <c r="AA830" s="1436"/>
      <c r="AB830" s="1436"/>
      <c r="AC830" s="1436"/>
      <c r="AD830" s="1436"/>
      <c r="AE830" s="1436"/>
      <c r="AF830" s="1436"/>
    </row>
    <row r="831" spans="1:32">
      <c r="A831" s="1436"/>
      <c r="B831" s="1436"/>
      <c r="C831" s="1436"/>
      <c r="D831" s="1436"/>
      <c r="E831" s="1436"/>
      <c r="F831" s="1436"/>
      <c r="G831" s="1436"/>
      <c r="H831" s="1436"/>
      <c r="I831" s="1436"/>
      <c r="J831" s="1436"/>
      <c r="K831" s="1436"/>
      <c r="L831" s="1436"/>
      <c r="M831" s="1436"/>
      <c r="N831" s="1436"/>
      <c r="O831" s="1436"/>
      <c r="P831" s="1436"/>
      <c r="Q831" s="1436"/>
      <c r="R831" s="1436"/>
      <c r="S831" s="1436"/>
      <c r="T831" s="1436"/>
      <c r="U831" s="1436"/>
      <c r="V831" s="1436"/>
      <c r="W831" s="1436"/>
      <c r="X831" s="1436"/>
      <c r="Y831" s="1436"/>
      <c r="Z831" s="1436"/>
      <c r="AA831" s="1436"/>
      <c r="AB831" s="1436"/>
      <c r="AC831" s="1436"/>
      <c r="AD831" s="1436"/>
      <c r="AE831" s="1436"/>
      <c r="AF831" s="1436"/>
    </row>
    <row r="832" spans="1:32">
      <c r="A832" s="1436"/>
      <c r="B832" s="1436"/>
      <c r="C832" s="1436"/>
      <c r="D832" s="1436"/>
      <c r="E832" s="1436"/>
      <c r="F832" s="1436"/>
      <c r="G832" s="1436"/>
      <c r="H832" s="1436"/>
      <c r="I832" s="1436"/>
      <c r="J832" s="1436"/>
      <c r="K832" s="1436"/>
      <c r="L832" s="1436"/>
      <c r="M832" s="1436"/>
      <c r="N832" s="1436"/>
      <c r="O832" s="1436"/>
      <c r="P832" s="1436"/>
      <c r="Q832" s="1436"/>
      <c r="R832" s="1436"/>
      <c r="S832" s="1436"/>
      <c r="T832" s="1436"/>
      <c r="U832" s="1436"/>
      <c r="V832" s="1436"/>
      <c r="W832" s="1436"/>
      <c r="X832" s="1436"/>
      <c r="Y832" s="1436"/>
      <c r="Z832" s="1436"/>
      <c r="AA832" s="1436"/>
      <c r="AB832" s="1436"/>
      <c r="AC832" s="1436"/>
      <c r="AD832" s="1436"/>
      <c r="AE832" s="1436"/>
      <c r="AF832" s="1436"/>
    </row>
    <row r="833" spans="1:32">
      <c r="A833" s="1436"/>
      <c r="B833" s="1436"/>
      <c r="C833" s="1436"/>
      <c r="D833" s="1436"/>
      <c r="E833" s="1436"/>
      <c r="F833" s="1436"/>
      <c r="G833" s="1436"/>
      <c r="H833" s="1436"/>
      <c r="I833" s="1436"/>
      <c r="J833" s="1436"/>
      <c r="K833" s="1436"/>
      <c r="L833" s="1436"/>
      <c r="M833" s="1436"/>
      <c r="N833" s="1436"/>
      <c r="O833" s="1436"/>
      <c r="P833" s="1436"/>
      <c r="Q833" s="1436"/>
      <c r="R833" s="1436"/>
      <c r="S833" s="1436"/>
      <c r="T833" s="1436"/>
      <c r="U833" s="1436"/>
      <c r="V833" s="1436"/>
      <c r="W833" s="1436"/>
      <c r="X833" s="1436"/>
      <c r="Y833" s="1436"/>
      <c r="Z833" s="1436"/>
      <c r="AA833" s="1436"/>
      <c r="AB833" s="1436"/>
      <c r="AC833" s="1436"/>
      <c r="AD833" s="1436"/>
      <c r="AE833" s="1436"/>
      <c r="AF833" s="1436"/>
    </row>
    <row r="834" spans="1:32">
      <c r="A834" s="1436"/>
      <c r="B834" s="1436"/>
      <c r="C834" s="1436"/>
      <c r="D834" s="1436"/>
      <c r="E834" s="1436"/>
      <c r="F834" s="1436"/>
      <c r="G834" s="1436"/>
      <c r="H834" s="1436"/>
      <c r="I834" s="1436"/>
      <c r="J834" s="1436"/>
      <c r="K834" s="1436"/>
      <c r="L834" s="1436"/>
      <c r="M834" s="1436"/>
      <c r="N834" s="1436"/>
      <c r="O834" s="1436"/>
      <c r="P834" s="1436"/>
      <c r="Q834" s="1436"/>
      <c r="R834" s="1436"/>
      <c r="S834" s="1436"/>
      <c r="T834" s="1436"/>
      <c r="U834" s="1436"/>
      <c r="V834" s="1436"/>
      <c r="W834" s="1436"/>
      <c r="X834" s="1436"/>
      <c r="Y834" s="1436"/>
      <c r="Z834" s="1436"/>
      <c r="AA834" s="1436"/>
      <c r="AB834" s="1436"/>
      <c r="AC834" s="1436"/>
      <c r="AD834" s="1436"/>
      <c r="AE834" s="1436"/>
      <c r="AF834" s="1436"/>
    </row>
    <row r="835" spans="1:32">
      <c r="A835" s="1436"/>
      <c r="B835" s="1436"/>
      <c r="C835" s="1436"/>
      <c r="D835" s="1436"/>
      <c r="E835" s="1436"/>
      <c r="F835" s="1436"/>
      <c r="G835" s="1436"/>
      <c r="H835" s="1436"/>
      <c r="I835" s="1436"/>
      <c r="J835" s="1436"/>
      <c r="K835" s="1436"/>
      <c r="L835" s="1436"/>
      <c r="M835" s="1436"/>
      <c r="N835" s="1436"/>
      <c r="O835" s="1436"/>
      <c r="P835" s="1436"/>
      <c r="Q835" s="1436"/>
      <c r="R835" s="1436"/>
      <c r="S835" s="1436"/>
      <c r="T835" s="1436"/>
      <c r="U835" s="1436"/>
      <c r="V835" s="1436"/>
      <c r="W835" s="1436"/>
      <c r="X835" s="1436"/>
      <c r="Y835" s="1436"/>
      <c r="Z835" s="1436"/>
      <c r="AA835" s="1436"/>
      <c r="AB835" s="1436"/>
      <c r="AC835" s="1436"/>
      <c r="AD835" s="1436"/>
      <c r="AE835" s="1436"/>
      <c r="AF835" s="1436"/>
    </row>
    <row r="836" spans="1:32">
      <c r="A836" s="1436"/>
      <c r="B836" s="1436"/>
      <c r="C836" s="1436"/>
      <c r="D836" s="1436"/>
      <c r="E836" s="1436"/>
      <c r="F836" s="1436"/>
      <c r="G836" s="1436"/>
      <c r="H836" s="1436"/>
      <c r="I836" s="1436"/>
      <c r="J836" s="1436"/>
      <c r="K836" s="1436"/>
      <c r="L836" s="1436"/>
      <c r="M836" s="1436"/>
      <c r="N836" s="1436"/>
      <c r="O836" s="1436"/>
      <c r="P836" s="1436"/>
      <c r="Q836" s="1436"/>
      <c r="R836" s="1436"/>
      <c r="S836" s="1436"/>
      <c r="T836" s="1436"/>
      <c r="U836" s="1436"/>
      <c r="V836" s="1436"/>
      <c r="W836" s="1436"/>
      <c r="X836" s="1436"/>
      <c r="Y836" s="1436"/>
      <c r="Z836" s="1436"/>
      <c r="AA836" s="1436"/>
      <c r="AB836" s="1436"/>
      <c r="AC836" s="1436"/>
      <c r="AD836" s="1436"/>
      <c r="AE836" s="1436"/>
      <c r="AF836" s="1436"/>
    </row>
    <row r="837" spans="1:32">
      <c r="A837" s="1436"/>
      <c r="B837" s="1436"/>
      <c r="C837" s="1436"/>
      <c r="D837" s="1436"/>
      <c r="E837" s="1436"/>
      <c r="F837" s="1436"/>
      <c r="G837" s="1436"/>
      <c r="H837" s="1436"/>
      <c r="I837" s="1436"/>
      <c r="J837" s="1436"/>
      <c r="K837" s="1436"/>
      <c r="L837" s="1436"/>
      <c r="M837" s="1436"/>
      <c r="N837" s="1436"/>
      <c r="O837" s="1436"/>
      <c r="P837" s="1436"/>
      <c r="Q837" s="1436"/>
      <c r="R837" s="1436"/>
      <c r="S837" s="1436"/>
      <c r="T837" s="1436"/>
      <c r="U837" s="1436"/>
      <c r="V837" s="1436"/>
      <c r="W837" s="1436"/>
      <c r="X837" s="1436"/>
      <c r="Y837" s="1436"/>
      <c r="Z837" s="1436"/>
      <c r="AA837" s="1436"/>
      <c r="AB837" s="1436"/>
      <c r="AC837" s="1436"/>
      <c r="AD837" s="1436"/>
      <c r="AE837" s="1436"/>
      <c r="AF837" s="1436"/>
    </row>
    <row r="838" spans="1:32">
      <c r="A838" s="1436"/>
      <c r="B838" s="1436"/>
      <c r="C838" s="1436"/>
      <c r="D838" s="1436"/>
      <c r="E838" s="1436"/>
      <c r="F838" s="1436"/>
      <c r="G838" s="1436"/>
      <c r="H838" s="1436"/>
      <c r="I838" s="1436"/>
      <c r="J838" s="1436"/>
      <c r="K838" s="1436"/>
      <c r="L838" s="1436"/>
      <c r="M838" s="1436"/>
      <c r="N838" s="1436"/>
      <c r="O838" s="1436"/>
      <c r="P838" s="1436"/>
      <c r="Q838" s="1436"/>
      <c r="R838" s="1436"/>
      <c r="S838" s="1436"/>
      <c r="T838" s="1436"/>
      <c r="U838" s="1436"/>
      <c r="V838" s="1436"/>
      <c r="W838" s="1436"/>
      <c r="X838" s="1436"/>
      <c r="Y838" s="1436"/>
      <c r="Z838" s="1436"/>
      <c r="AA838" s="1436"/>
      <c r="AB838" s="1436"/>
      <c r="AC838" s="1436"/>
      <c r="AD838" s="1436"/>
      <c r="AE838" s="1436"/>
      <c r="AF838" s="1436"/>
    </row>
    <row r="839" spans="1:32">
      <c r="A839" s="1436"/>
      <c r="B839" s="1436"/>
      <c r="C839" s="1436"/>
      <c r="D839" s="1436"/>
      <c r="E839" s="1436"/>
      <c r="F839" s="1436"/>
      <c r="G839" s="1436"/>
      <c r="H839" s="1436"/>
      <c r="I839" s="1436"/>
      <c r="J839" s="1436"/>
      <c r="K839" s="1436"/>
      <c r="L839" s="1436"/>
      <c r="M839" s="1436"/>
      <c r="N839" s="1436"/>
      <c r="O839" s="1436"/>
      <c r="P839" s="1436"/>
      <c r="Q839" s="1436"/>
      <c r="R839" s="1436"/>
      <c r="S839" s="1436"/>
      <c r="T839" s="1436"/>
      <c r="U839" s="1436"/>
      <c r="V839" s="1436"/>
      <c r="W839" s="1436"/>
      <c r="X839" s="1436"/>
      <c r="Y839" s="1436"/>
      <c r="Z839" s="1436"/>
      <c r="AA839" s="1436"/>
      <c r="AB839" s="1436"/>
      <c r="AC839" s="1436"/>
      <c r="AD839" s="1436"/>
      <c r="AE839" s="1436"/>
      <c r="AF839" s="1436"/>
    </row>
    <row r="840" spans="1:32">
      <c r="A840" s="1436"/>
      <c r="B840" s="1436"/>
      <c r="C840" s="1436"/>
      <c r="D840" s="1436"/>
      <c r="E840" s="1436"/>
      <c r="F840" s="1436"/>
      <c r="G840" s="1436"/>
      <c r="H840" s="1436"/>
      <c r="I840" s="1436"/>
      <c r="J840" s="1436"/>
      <c r="K840" s="1436"/>
      <c r="L840" s="1436"/>
      <c r="M840" s="1436"/>
      <c r="N840" s="1436"/>
      <c r="O840" s="1436"/>
      <c r="P840" s="1436"/>
      <c r="Q840" s="1436"/>
      <c r="R840" s="1436"/>
      <c r="S840" s="1436"/>
      <c r="T840" s="1436"/>
      <c r="U840" s="1436"/>
      <c r="V840" s="1436"/>
      <c r="W840" s="1436"/>
      <c r="X840" s="1436"/>
      <c r="Y840" s="1436"/>
      <c r="Z840" s="1436"/>
      <c r="AA840" s="1436"/>
      <c r="AB840" s="1436"/>
      <c r="AC840" s="1436"/>
      <c r="AD840" s="1436"/>
      <c r="AE840" s="1436"/>
      <c r="AF840" s="1436"/>
    </row>
    <row r="841" spans="1:32">
      <c r="A841" s="1436"/>
      <c r="B841" s="1436"/>
      <c r="C841" s="1436"/>
      <c r="D841" s="1436"/>
      <c r="E841" s="1436"/>
      <c r="F841" s="1436"/>
      <c r="G841" s="1436"/>
      <c r="H841" s="1436"/>
      <c r="I841" s="1436"/>
      <c r="J841" s="1436"/>
      <c r="K841" s="1436"/>
      <c r="L841" s="1436"/>
      <c r="M841" s="1436"/>
      <c r="N841" s="1436"/>
      <c r="O841" s="1436"/>
      <c r="P841" s="1436"/>
      <c r="Q841" s="1436"/>
      <c r="R841" s="1436"/>
      <c r="S841" s="1436"/>
      <c r="T841" s="1436"/>
      <c r="U841" s="1436"/>
      <c r="V841" s="1436"/>
      <c r="W841" s="1436"/>
      <c r="X841" s="1436"/>
      <c r="Y841" s="1436"/>
      <c r="Z841" s="1436"/>
      <c r="AA841" s="1436"/>
      <c r="AB841" s="1436"/>
      <c r="AC841" s="1436"/>
      <c r="AD841" s="1436"/>
      <c r="AE841" s="1436"/>
      <c r="AF841" s="1436"/>
    </row>
    <row r="842" spans="1:32">
      <c r="A842" s="1436"/>
      <c r="B842" s="1436"/>
      <c r="C842" s="1436"/>
      <c r="D842" s="1436"/>
      <c r="E842" s="1436"/>
      <c r="F842" s="1436"/>
      <c r="G842" s="1436"/>
      <c r="H842" s="1436"/>
      <c r="I842" s="1436"/>
      <c r="J842" s="1436"/>
      <c r="K842" s="1436"/>
      <c r="L842" s="1436"/>
      <c r="M842" s="1436"/>
      <c r="N842" s="1436"/>
      <c r="O842" s="1436"/>
      <c r="P842" s="1436"/>
      <c r="Q842" s="1436"/>
      <c r="R842" s="1436"/>
      <c r="S842" s="1436"/>
      <c r="T842" s="1436"/>
      <c r="U842" s="1436"/>
      <c r="V842" s="1436"/>
      <c r="W842" s="1436"/>
      <c r="X842" s="1436"/>
      <c r="Y842" s="1436"/>
      <c r="Z842" s="1436"/>
      <c r="AA842" s="1436"/>
      <c r="AB842" s="1436"/>
      <c r="AC842" s="1436"/>
      <c r="AD842" s="1436"/>
      <c r="AE842" s="1436"/>
      <c r="AF842" s="1436"/>
    </row>
    <row r="843" spans="1:32">
      <c r="A843" s="1436"/>
      <c r="B843" s="1436"/>
      <c r="C843" s="1436"/>
      <c r="D843" s="1436"/>
      <c r="E843" s="1436"/>
      <c r="F843" s="1436"/>
      <c r="G843" s="1436"/>
      <c r="H843" s="1436"/>
      <c r="I843" s="1436"/>
      <c r="J843" s="1436"/>
      <c r="K843" s="1436"/>
      <c r="L843" s="1436"/>
      <c r="M843" s="1436"/>
      <c r="N843" s="1436"/>
      <c r="O843" s="1436"/>
      <c r="P843" s="1436"/>
      <c r="Q843" s="1436"/>
      <c r="R843" s="1436"/>
      <c r="S843" s="1436"/>
      <c r="T843" s="1436"/>
      <c r="U843" s="1436"/>
      <c r="V843" s="1436"/>
      <c r="W843" s="1436"/>
      <c r="X843" s="1436"/>
      <c r="Y843" s="1436"/>
      <c r="Z843" s="1436"/>
      <c r="AA843" s="1436"/>
      <c r="AB843" s="1436"/>
      <c r="AC843" s="1436"/>
      <c r="AD843" s="1436"/>
      <c r="AE843" s="1436"/>
      <c r="AF843" s="1436"/>
    </row>
    <row r="844" spans="1:32">
      <c r="A844" s="1436"/>
      <c r="B844" s="1436"/>
      <c r="C844" s="1436"/>
      <c r="D844" s="1436"/>
      <c r="E844" s="1436"/>
      <c r="F844" s="1436"/>
      <c r="G844" s="1436"/>
      <c r="H844" s="1436"/>
      <c r="I844" s="1436"/>
      <c r="J844" s="1436"/>
      <c r="K844" s="1436"/>
      <c r="L844" s="1436"/>
      <c r="M844" s="1436"/>
      <c r="N844" s="1436"/>
      <c r="O844" s="1436"/>
      <c r="P844" s="1436"/>
      <c r="Q844" s="1436"/>
      <c r="R844" s="1436"/>
      <c r="S844" s="1436"/>
      <c r="T844" s="1436"/>
      <c r="U844" s="1436"/>
      <c r="V844" s="1436"/>
      <c r="W844" s="1436"/>
      <c r="X844" s="1436"/>
      <c r="Y844" s="1436"/>
      <c r="Z844" s="1436"/>
      <c r="AA844" s="1436"/>
      <c r="AB844" s="1436"/>
      <c r="AC844" s="1436"/>
      <c r="AD844" s="1436"/>
      <c r="AE844" s="1436"/>
      <c r="AF844" s="1436"/>
    </row>
    <row r="845" spans="1:32">
      <c r="A845" s="1436"/>
      <c r="B845" s="1436"/>
      <c r="C845" s="1436"/>
      <c r="D845" s="1436"/>
      <c r="E845" s="1436"/>
      <c r="F845" s="1436"/>
      <c r="G845" s="1436"/>
      <c r="H845" s="1436"/>
      <c r="I845" s="1436"/>
      <c r="J845" s="1436"/>
      <c r="K845" s="1436"/>
      <c r="L845" s="1436"/>
      <c r="M845" s="1436"/>
      <c r="N845" s="1436"/>
      <c r="O845" s="1436"/>
      <c r="P845" s="1436"/>
      <c r="Q845" s="1436"/>
      <c r="R845" s="1436"/>
      <c r="S845" s="1436"/>
      <c r="T845" s="1436"/>
      <c r="U845" s="1436"/>
      <c r="V845" s="1436"/>
      <c r="W845" s="1436"/>
      <c r="X845" s="1436"/>
      <c r="Y845" s="1436"/>
      <c r="Z845" s="1436"/>
      <c r="AA845" s="1436"/>
      <c r="AB845" s="1436"/>
      <c r="AC845" s="1436"/>
      <c r="AD845" s="1436"/>
      <c r="AE845" s="1436"/>
      <c r="AF845" s="1436"/>
    </row>
    <row r="846" spans="1:32">
      <c r="A846" s="1436"/>
      <c r="B846" s="1436"/>
      <c r="C846" s="1436"/>
      <c r="D846" s="1436"/>
      <c r="E846" s="1436"/>
      <c r="F846" s="1436"/>
      <c r="G846" s="1436"/>
      <c r="H846" s="1436"/>
      <c r="I846" s="1436"/>
      <c r="J846" s="1436"/>
      <c r="K846" s="1436"/>
      <c r="L846" s="1436"/>
      <c r="M846" s="1436"/>
      <c r="N846" s="1436"/>
      <c r="O846" s="1436"/>
      <c r="P846" s="1436"/>
      <c r="Q846" s="1436"/>
      <c r="R846" s="1436"/>
      <c r="S846" s="1436"/>
      <c r="T846" s="1436"/>
      <c r="U846" s="1436"/>
      <c r="V846" s="1436"/>
      <c r="W846" s="1436"/>
      <c r="X846" s="1436"/>
      <c r="Y846" s="1436"/>
      <c r="Z846" s="1436"/>
      <c r="AA846" s="1436"/>
      <c r="AB846" s="1436"/>
      <c r="AC846" s="1436"/>
      <c r="AD846" s="1436"/>
      <c r="AE846" s="1436"/>
      <c r="AF846" s="1436"/>
    </row>
    <row r="847" spans="1:32">
      <c r="A847" s="1436"/>
      <c r="B847" s="1436"/>
      <c r="C847" s="1436"/>
      <c r="D847" s="1436"/>
      <c r="E847" s="1436"/>
      <c r="F847" s="1436"/>
      <c r="G847" s="1436"/>
      <c r="H847" s="1436"/>
      <c r="I847" s="1436"/>
      <c r="J847" s="1436"/>
      <c r="K847" s="1436"/>
      <c r="L847" s="1436"/>
      <c r="M847" s="1436"/>
      <c r="N847" s="1436"/>
      <c r="O847" s="1436"/>
      <c r="P847" s="1436"/>
      <c r="Q847" s="1436"/>
      <c r="R847" s="1436"/>
      <c r="S847" s="1436"/>
      <c r="T847" s="1436"/>
      <c r="U847" s="1436"/>
      <c r="V847" s="1436"/>
      <c r="W847" s="1436"/>
      <c r="X847" s="1436"/>
      <c r="Y847" s="1436"/>
      <c r="Z847" s="1436"/>
      <c r="AA847" s="1436"/>
      <c r="AB847" s="1436"/>
      <c r="AC847" s="1436"/>
      <c r="AD847" s="1436"/>
      <c r="AE847" s="1436"/>
      <c r="AF847" s="1436"/>
    </row>
    <row r="848" spans="1:32">
      <c r="A848" s="1436"/>
      <c r="B848" s="1436"/>
      <c r="C848" s="1436"/>
      <c r="D848" s="1436"/>
      <c r="E848" s="1436"/>
      <c r="F848" s="1436"/>
      <c r="G848" s="1436"/>
      <c r="H848" s="1436"/>
      <c r="I848" s="1436"/>
      <c r="J848" s="1436"/>
      <c r="K848" s="1436"/>
      <c r="L848" s="1436"/>
      <c r="M848" s="1436"/>
      <c r="N848" s="1436"/>
      <c r="O848" s="1436"/>
      <c r="P848" s="1436"/>
      <c r="Q848" s="1436"/>
      <c r="R848" s="1436"/>
      <c r="S848" s="1436"/>
      <c r="T848" s="1436"/>
      <c r="U848" s="1436"/>
      <c r="V848" s="1436"/>
      <c r="W848" s="1436"/>
      <c r="X848" s="1436"/>
      <c r="Y848" s="1436"/>
      <c r="Z848" s="1436"/>
      <c r="AA848" s="1436"/>
      <c r="AB848" s="1436"/>
      <c r="AC848" s="1436"/>
      <c r="AD848" s="1436"/>
      <c r="AE848" s="1436"/>
      <c r="AF848" s="1436"/>
    </row>
    <row r="849" spans="1:32">
      <c r="A849" s="1436"/>
      <c r="B849" s="1436"/>
      <c r="C849" s="1436"/>
      <c r="D849" s="1436"/>
      <c r="E849" s="1436"/>
      <c r="F849" s="1436"/>
      <c r="G849" s="1436"/>
      <c r="H849" s="1436"/>
      <c r="I849" s="1436"/>
      <c r="J849" s="1436"/>
      <c r="K849" s="1436"/>
      <c r="L849" s="1436"/>
      <c r="M849" s="1436"/>
      <c r="N849" s="1436"/>
      <c r="O849" s="1436"/>
      <c r="P849" s="1436"/>
      <c r="Q849" s="1436"/>
      <c r="R849" s="1436"/>
      <c r="S849" s="1436"/>
      <c r="T849" s="1436"/>
      <c r="U849" s="1436"/>
      <c r="V849" s="1436"/>
      <c r="W849" s="1436"/>
      <c r="X849" s="1436"/>
      <c r="Y849" s="1436"/>
      <c r="Z849" s="1436"/>
      <c r="AA849" s="1436"/>
      <c r="AB849" s="1436"/>
      <c r="AC849" s="1436"/>
      <c r="AD849" s="1436"/>
      <c r="AE849" s="1436"/>
      <c r="AF849" s="1436"/>
    </row>
    <row r="850" spans="1:32">
      <c r="A850" s="1436"/>
      <c r="B850" s="1436"/>
      <c r="C850" s="1436"/>
      <c r="D850" s="1436"/>
      <c r="E850" s="1436"/>
      <c r="F850" s="1436"/>
      <c r="G850" s="1436"/>
      <c r="H850" s="1436"/>
      <c r="I850" s="1436"/>
      <c r="J850" s="1436"/>
      <c r="K850" s="1436"/>
      <c r="L850" s="1436"/>
      <c r="M850" s="1436"/>
      <c r="N850" s="1436"/>
      <c r="O850" s="1436"/>
      <c r="P850" s="1436"/>
      <c r="Q850" s="1436"/>
      <c r="R850" s="1436"/>
      <c r="S850" s="1436"/>
      <c r="T850" s="1436"/>
      <c r="U850" s="1436"/>
      <c r="V850" s="1436"/>
      <c r="W850" s="1436"/>
      <c r="X850" s="1436"/>
      <c r="Y850" s="1436"/>
      <c r="Z850" s="1436"/>
      <c r="AA850" s="1436"/>
      <c r="AB850" s="1436"/>
      <c r="AC850" s="1436"/>
      <c r="AD850" s="1436"/>
      <c r="AE850" s="1436"/>
      <c r="AF850" s="1436"/>
    </row>
    <row r="851" spans="1:32">
      <c r="A851" s="1436"/>
      <c r="B851" s="1436"/>
      <c r="C851" s="1436"/>
      <c r="D851" s="1436"/>
      <c r="E851" s="1436"/>
      <c r="F851" s="1436"/>
      <c r="G851" s="1436"/>
      <c r="H851" s="1436"/>
      <c r="I851" s="1436"/>
      <c r="J851" s="1436"/>
      <c r="K851" s="1436"/>
      <c r="L851" s="1436"/>
      <c r="M851" s="1436"/>
      <c r="N851" s="1436"/>
      <c r="O851" s="1436"/>
      <c r="P851" s="1436"/>
      <c r="Q851" s="1436"/>
      <c r="R851" s="1436"/>
      <c r="S851" s="1436"/>
      <c r="T851" s="1436"/>
      <c r="U851" s="1436"/>
      <c r="V851" s="1436"/>
      <c r="W851" s="1436"/>
      <c r="X851" s="1436"/>
      <c r="Y851" s="1436"/>
      <c r="Z851" s="1436"/>
      <c r="AA851" s="1436"/>
      <c r="AB851" s="1436"/>
      <c r="AC851" s="1436"/>
      <c r="AD851" s="1436"/>
      <c r="AE851" s="1436"/>
      <c r="AF851" s="1436"/>
    </row>
    <row r="852" spans="1:32">
      <c r="A852" s="1436"/>
      <c r="B852" s="1436"/>
      <c r="C852" s="1436"/>
      <c r="D852" s="1436"/>
      <c r="E852" s="1436"/>
      <c r="F852" s="1436"/>
      <c r="G852" s="1436"/>
      <c r="H852" s="1436"/>
      <c r="I852" s="1436"/>
      <c r="J852" s="1436"/>
      <c r="K852" s="1436"/>
      <c r="L852" s="1436"/>
      <c r="M852" s="1436"/>
      <c r="N852" s="1436"/>
      <c r="O852" s="1436"/>
      <c r="P852" s="1436"/>
      <c r="Q852" s="1436"/>
      <c r="R852" s="1436"/>
      <c r="S852" s="1436"/>
      <c r="T852" s="1436"/>
      <c r="U852" s="1436"/>
      <c r="V852" s="1436"/>
      <c r="W852" s="1436"/>
      <c r="X852" s="1436"/>
      <c r="Y852" s="1436"/>
      <c r="Z852" s="1436"/>
      <c r="AA852" s="1436"/>
      <c r="AB852" s="1436"/>
      <c r="AC852" s="1436"/>
      <c r="AD852" s="1436"/>
      <c r="AE852" s="1436"/>
      <c r="AF852" s="1436"/>
    </row>
    <row r="853" spans="1:32">
      <c r="A853" s="1436"/>
      <c r="B853" s="1436"/>
      <c r="C853" s="1436"/>
      <c r="D853" s="1436"/>
      <c r="E853" s="1436"/>
      <c r="F853" s="1436"/>
      <c r="G853" s="1436"/>
      <c r="H853" s="1436"/>
      <c r="I853" s="1436"/>
      <c r="J853" s="1436"/>
      <c r="K853" s="1436"/>
      <c r="L853" s="1436"/>
      <c r="M853" s="1436"/>
      <c r="N853" s="1436"/>
      <c r="O853" s="1436"/>
      <c r="P853" s="1436"/>
      <c r="Q853" s="1436"/>
      <c r="R853" s="1436"/>
      <c r="S853" s="1436"/>
      <c r="T853" s="1436"/>
      <c r="U853" s="1436"/>
      <c r="V853" s="1436"/>
      <c r="W853" s="1436"/>
      <c r="X853" s="1436"/>
      <c r="Y853" s="1436"/>
      <c r="Z853" s="1436"/>
      <c r="AA853" s="1436"/>
      <c r="AB853" s="1436"/>
      <c r="AC853" s="1436"/>
      <c r="AD853" s="1436"/>
      <c r="AE853" s="1436"/>
      <c r="AF853" s="1436"/>
    </row>
    <row r="854" spans="1:32">
      <c r="A854" s="1436"/>
      <c r="B854" s="1436"/>
      <c r="C854" s="1436"/>
      <c r="D854" s="1436"/>
      <c r="E854" s="1436"/>
      <c r="F854" s="1436"/>
      <c r="G854" s="1436"/>
      <c r="H854" s="1436"/>
      <c r="I854" s="1436"/>
      <c r="J854" s="1436"/>
      <c r="K854" s="1436"/>
      <c r="L854" s="1436"/>
      <c r="M854" s="1436"/>
      <c r="N854" s="1436"/>
      <c r="O854" s="1436"/>
      <c r="P854" s="1436"/>
      <c r="Q854" s="1436"/>
      <c r="R854" s="1436"/>
      <c r="S854" s="1436"/>
      <c r="T854" s="1436"/>
      <c r="U854" s="1436"/>
      <c r="V854" s="1436"/>
      <c r="W854" s="1436"/>
      <c r="X854" s="1436"/>
      <c r="Y854" s="1436"/>
      <c r="Z854" s="1436"/>
      <c r="AA854" s="1436"/>
      <c r="AB854" s="1436"/>
      <c r="AC854" s="1436"/>
      <c r="AD854" s="1436"/>
      <c r="AE854" s="1436"/>
      <c r="AF854" s="1436"/>
    </row>
    <row r="855" spans="1:32">
      <c r="A855" s="1436"/>
      <c r="B855" s="1436"/>
      <c r="C855" s="1436"/>
      <c r="D855" s="1436"/>
      <c r="E855" s="1436"/>
      <c r="F855" s="1436"/>
      <c r="G855" s="1436"/>
      <c r="H855" s="1436"/>
      <c r="I855" s="1436"/>
      <c r="J855" s="1436"/>
      <c r="K855" s="1436"/>
      <c r="L855" s="1436"/>
      <c r="M855" s="1436"/>
      <c r="N855" s="1436"/>
      <c r="O855" s="1436"/>
      <c r="P855" s="1436"/>
      <c r="Q855" s="1436"/>
      <c r="R855" s="1436"/>
      <c r="S855" s="1436"/>
      <c r="T855" s="1436"/>
      <c r="U855" s="1436"/>
      <c r="V855" s="1436"/>
      <c r="W855" s="1436"/>
      <c r="X855" s="1436"/>
      <c r="Y855" s="1436"/>
      <c r="Z855" s="1436"/>
      <c r="AA855" s="1436"/>
      <c r="AB855" s="1436"/>
      <c r="AC855" s="1436"/>
      <c r="AD855" s="1436"/>
      <c r="AE855" s="1436"/>
      <c r="AF855" s="1436"/>
    </row>
    <row r="856" spans="1:32">
      <c r="A856" s="1436"/>
      <c r="B856" s="1436"/>
      <c r="C856" s="1436"/>
      <c r="D856" s="1436"/>
      <c r="E856" s="1436"/>
      <c r="F856" s="1436"/>
      <c r="G856" s="1436"/>
      <c r="H856" s="1436"/>
      <c r="I856" s="1436"/>
      <c r="J856" s="1436"/>
      <c r="K856" s="1436"/>
      <c r="L856" s="1436"/>
      <c r="M856" s="1436"/>
      <c r="N856" s="1436"/>
      <c r="O856" s="1436"/>
      <c r="P856" s="1436"/>
      <c r="Q856" s="1436"/>
      <c r="R856" s="1436"/>
      <c r="S856" s="1436"/>
      <c r="T856" s="1436"/>
      <c r="U856" s="1436"/>
      <c r="V856" s="1436"/>
      <c r="W856" s="1436"/>
      <c r="X856" s="1436"/>
      <c r="Y856" s="1436"/>
      <c r="Z856" s="1436"/>
      <c r="AA856" s="1436"/>
      <c r="AB856" s="1436"/>
      <c r="AC856" s="1436"/>
      <c r="AD856" s="1436"/>
      <c r="AE856" s="1436"/>
      <c r="AF856" s="1436"/>
    </row>
    <row r="857" spans="1:32">
      <c r="A857" s="1436"/>
      <c r="B857" s="1436"/>
      <c r="C857" s="1436"/>
      <c r="D857" s="1436"/>
      <c r="E857" s="1436"/>
      <c r="F857" s="1436"/>
      <c r="G857" s="1436"/>
      <c r="H857" s="1436"/>
      <c r="I857" s="1436"/>
      <c r="J857" s="1436"/>
      <c r="K857" s="1436"/>
      <c r="L857" s="1436"/>
      <c r="M857" s="1436"/>
      <c r="N857" s="1436"/>
      <c r="O857" s="1436"/>
      <c r="P857" s="1436"/>
      <c r="Q857" s="1436"/>
      <c r="R857" s="1436"/>
      <c r="S857" s="1436"/>
      <c r="T857" s="1436"/>
      <c r="U857" s="1436"/>
      <c r="V857" s="1436"/>
      <c r="W857" s="1436"/>
      <c r="X857" s="1436"/>
      <c r="Y857" s="1436"/>
      <c r="Z857" s="1436"/>
      <c r="AA857" s="1436"/>
      <c r="AB857" s="1436"/>
      <c r="AC857" s="1436"/>
      <c r="AD857" s="1436"/>
      <c r="AE857" s="1436"/>
      <c r="AF857" s="1436"/>
    </row>
    <row r="858" spans="1:32">
      <c r="A858" s="1436"/>
      <c r="B858" s="1436"/>
      <c r="C858" s="1436"/>
      <c r="D858" s="1436"/>
      <c r="E858" s="1436"/>
      <c r="F858" s="1436"/>
      <c r="G858" s="1436"/>
      <c r="H858" s="1436"/>
      <c r="I858" s="1436"/>
      <c r="J858" s="1436"/>
      <c r="K858" s="1436"/>
      <c r="L858" s="1436"/>
      <c r="M858" s="1436"/>
      <c r="N858" s="1436"/>
      <c r="O858" s="1436"/>
      <c r="P858" s="1436"/>
      <c r="Q858" s="1436"/>
      <c r="R858" s="1436"/>
      <c r="S858" s="1436"/>
      <c r="T858" s="1436"/>
      <c r="U858" s="1436"/>
      <c r="V858" s="1436"/>
      <c r="W858" s="1436"/>
      <c r="X858" s="1436"/>
      <c r="Y858" s="1436"/>
      <c r="Z858" s="1436"/>
      <c r="AA858" s="1436"/>
      <c r="AB858" s="1436"/>
      <c r="AC858" s="1436"/>
      <c r="AD858" s="1436"/>
      <c r="AE858" s="1436"/>
      <c r="AF858" s="1436"/>
    </row>
    <row r="859" spans="1:32">
      <c r="A859" s="1436"/>
      <c r="B859" s="1436"/>
      <c r="C859" s="1436"/>
      <c r="D859" s="1436"/>
      <c r="E859" s="1436"/>
      <c r="F859" s="1436"/>
      <c r="G859" s="1436"/>
      <c r="H859" s="1436"/>
      <c r="I859" s="1436"/>
      <c r="J859" s="1436"/>
      <c r="K859" s="1436"/>
      <c r="L859" s="1436"/>
      <c r="M859" s="1436"/>
      <c r="N859" s="1436"/>
      <c r="O859" s="1436"/>
      <c r="P859" s="1436"/>
      <c r="Q859" s="1436"/>
      <c r="R859" s="1436"/>
      <c r="S859" s="1436"/>
      <c r="T859" s="1436"/>
      <c r="U859" s="1436"/>
      <c r="V859" s="1436"/>
      <c r="W859" s="1436"/>
      <c r="X859" s="1436"/>
      <c r="Y859" s="1436"/>
      <c r="Z859" s="1436"/>
      <c r="AA859" s="1436"/>
      <c r="AB859" s="1436"/>
      <c r="AC859" s="1436"/>
      <c r="AD859" s="1436"/>
      <c r="AE859" s="1436"/>
      <c r="AF859" s="1436"/>
    </row>
    <row r="860" spans="1:32">
      <c r="A860" s="1436"/>
      <c r="B860" s="1436"/>
      <c r="C860" s="1436"/>
      <c r="D860" s="1436"/>
      <c r="E860" s="1436"/>
      <c r="F860" s="1436"/>
      <c r="G860" s="1436"/>
      <c r="H860" s="1436"/>
      <c r="I860" s="1436"/>
      <c r="J860" s="1436"/>
      <c r="K860" s="1436"/>
      <c r="L860" s="1436"/>
      <c r="M860" s="1436"/>
      <c r="N860" s="1436"/>
      <c r="O860" s="1436"/>
      <c r="P860" s="1436"/>
      <c r="Q860" s="1436"/>
      <c r="R860" s="1436"/>
      <c r="S860" s="1436"/>
      <c r="T860" s="1436"/>
      <c r="U860" s="1436"/>
      <c r="V860" s="1436"/>
      <c r="W860" s="1436"/>
      <c r="X860" s="1436"/>
      <c r="Y860" s="1436"/>
      <c r="Z860" s="1436"/>
      <c r="AA860" s="1436"/>
      <c r="AB860" s="1436"/>
      <c r="AC860" s="1436"/>
      <c r="AD860" s="1436"/>
      <c r="AE860" s="1436"/>
      <c r="AF860" s="1436"/>
    </row>
    <row r="861" spans="1:32">
      <c r="A861" s="1436"/>
      <c r="B861" s="1436"/>
      <c r="C861" s="1436"/>
      <c r="D861" s="1436"/>
      <c r="E861" s="1436"/>
      <c r="F861" s="1436"/>
      <c r="G861" s="1436"/>
      <c r="H861" s="1436"/>
      <c r="I861" s="1436"/>
      <c r="J861" s="1436"/>
      <c r="K861" s="1436"/>
      <c r="L861" s="1436"/>
      <c r="M861" s="1436"/>
      <c r="N861" s="1436"/>
      <c r="O861" s="1436"/>
      <c r="P861" s="1436"/>
      <c r="Q861" s="1436"/>
      <c r="R861" s="1436"/>
      <c r="S861" s="1436"/>
      <c r="T861" s="1436"/>
      <c r="U861" s="1436"/>
      <c r="V861" s="1436"/>
      <c r="W861" s="1436"/>
      <c r="X861" s="1436"/>
      <c r="Y861" s="1436"/>
      <c r="Z861" s="1436"/>
      <c r="AA861" s="1436"/>
      <c r="AB861" s="1436"/>
      <c r="AC861" s="1436"/>
      <c r="AD861" s="1436"/>
      <c r="AE861" s="1436"/>
      <c r="AF861" s="1436"/>
    </row>
    <row r="862" spans="1:32">
      <c r="A862" s="1436"/>
      <c r="B862" s="1436"/>
      <c r="C862" s="1436"/>
      <c r="D862" s="1436"/>
      <c r="E862" s="1436"/>
      <c r="F862" s="1436"/>
      <c r="G862" s="1436"/>
      <c r="H862" s="1436"/>
      <c r="I862" s="1436"/>
      <c r="J862" s="1436"/>
      <c r="K862" s="1436"/>
      <c r="L862" s="1436"/>
      <c r="M862" s="1436"/>
      <c r="N862" s="1436"/>
      <c r="O862" s="1436"/>
      <c r="P862" s="1436"/>
      <c r="Q862" s="1436"/>
      <c r="R862" s="1436"/>
      <c r="S862" s="1436"/>
      <c r="T862" s="1436"/>
      <c r="U862" s="1436"/>
      <c r="V862" s="1436"/>
      <c r="W862" s="1436"/>
      <c r="X862" s="1436"/>
      <c r="Y862" s="1436"/>
      <c r="Z862" s="1436"/>
      <c r="AA862" s="1436"/>
      <c r="AB862" s="1436"/>
      <c r="AC862" s="1436"/>
      <c r="AD862" s="1436"/>
      <c r="AE862" s="1436"/>
      <c r="AF862" s="1436"/>
    </row>
    <row r="863" spans="1:32">
      <c r="A863" s="1436"/>
      <c r="B863" s="1436"/>
      <c r="C863" s="1436"/>
      <c r="D863" s="1436"/>
      <c r="E863" s="1436"/>
      <c r="F863" s="1436"/>
      <c r="G863" s="1436"/>
      <c r="H863" s="1436"/>
      <c r="I863" s="1436"/>
      <c r="J863" s="1436"/>
      <c r="K863" s="1436"/>
      <c r="L863" s="1436"/>
      <c r="M863" s="1436"/>
      <c r="N863" s="1436"/>
      <c r="O863" s="1436"/>
      <c r="P863" s="1436"/>
      <c r="Q863" s="1436"/>
      <c r="R863" s="1436"/>
      <c r="S863" s="1436"/>
      <c r="T863" s="1436"/>
      <c r="U863" s="1436"/>
      <c r="V863" s="1436"/>
      <c r="W863" s="1436"/>
      <c r="X863" s="1436"/>
      <c r="Y863" s="1436"/>
      <c r="Z863" s="1436"/>
      <c r="AA863" s="1436"/>
      <c r="AB863" s="1436"/>
      <c r="AC863" s="1436"/>
      <c r="AD863" s="1436"/>
      <c r="AE863" s="1436"/>
      <c r="AF863" s="1436"/>
    </row>
    <row r="864" spans="1:32">
      <c r="A864" s="1436"/>
      <c r="B864" s="1436"/>
      <c r="C864" s="1436"/>
      <c r="D864" s="1436"/>
      <c r="E864" s="1436"/>
      <c r="F864" s="1436"/>
      <c r="G864" s="1436"/>
      <c r="H864" s="1436"/>
      <c r="I864" s="1436"/>
      <c r="J864" s="1436"/>
      <c r="K864" s="1436"/>
      <c r="L864" s="1436"/>
      <c r="M864" s="1436"/>
      <c r="N864" s="1436"/>
      <c r="O864" s="1436"/>
      <c r="P864" s="1436"/>
      <c r="Q864" s="1436"/>
      <c r="R864" s="1436"/>
      <c r="S864" s="1436"/>
      <c r="T864" s="1436"/>
      <c r="U864" s="1436"/>
      <c r="V864" s="1436"/>
      <c r="W864" s="1436"/>
      <c r="X864" s="1436"/>
      <c r="Y864" s="1436"/>
      <c r="Z864" s="1436"/>
      <c r="AA864" s="1436"/>
      <c r="AB864" s="1436"/>
      <c r="AC864" s="1436"/>
      <c r="AD864" s="1436"/>
      <c r="AE864" s="1436"/>
      <c r="AF864" s="1436"/>
    </row>
    <row r="865" spans="1:32">
      <c r="A865" s="1436"/>
      <c r="B865" s="1436"/>
      <c r="C865" s="1436"/>
      <c r="D865" s="1436"/>
      <c r="E865" s="1436"/>
      <c r="F865" s="1436"/>
      <c r="G865" s="1436"/>
      <c r="H865" s="1436"/>
      <c r="I865" s="1436"/>
      <c r="J865" s="1436"/>
      <c r="K865" s="1436"/>
      <c r="L865" s="1436"/>
      <c r="M865" s="1436"/>
      <c r="N865" s="1436"/>
      <c r="O865" s="1436"/>
      <c r="P865" s="1436"/>
      <c r="Q865" s="1436"/>
      <c r="R865" s="1436"/>
      <c r="S865" s="1436"/>
      <c r="T865" s="1436"/>
      <c r="U865" s="1436"/>
      <c r="V865" s="1436"/>
      <c r="W865" s="1436"/>
      <c r="X865" s="1436"/>
      <c r="Y865" s="1436"/>
      <c r="Z865" s="1436"/>
      <c r="AA865" s="1436"/>
      <c r="AB865" s="1436"/>
      <c r="AC865" s="1436"/>
      <c r="AD865" s="1436"/>
      <c r="AE865" s="1436"/>
      <c r="AF865" s="1436"/>
    </row>
    <row r="866" spans="1:32">
      <c r="A866" s="1436"/>
      <c r="B866" s="1436"/>
      <c r="C866" s="1436"/>
      <c r="D866" s="1436"/>
      <c r="E866" s="1436"/>
      <c r="F866" s="1436"/>
      <c r="G866" s="1436"/>
      <c r="H866" s="1436"/>
      <c r="I866" s="1436"/>
      <c r="J866" s="1436"/>
      <c r="K866" s="1436"/>
      <c r="L866" s="1436"/>
      <c r="M866" s="1436"/>
      <c r="N866" s="1436"/>
      <c r="O866" s="1436"/>
      <c r="P866" s="1436"/>
      <c r="Q866" s="1436"/>
      <c r="R866" s="1436"/>
      <c r="S866" s="1436"/>
      <c r="T866" s="1436"/>
      <c r="U866" s="1436"/>
      <c r="V866" s="1436"/>
      <c r="W866" s="1436"/>
      <c r="X866" s="1436"/>
      <c r="Y866" s="1436"/>
      <c r="Z866" s="1436"/>
      <c r="AA866" s="1436"/>
      <c r="AB866" s="1436"/>
      <c r="AC866" s="1436"/>
      <c r="AD866" s="1436"/>
      <c r="AE866" s="1436"/>
      <c r="AF866" s="1436"/>
    </row>
    <row r="867" spans="1:32">
      <c r="A867" s="1436"/>
      <c r="B867" s="1436"/>
      <c r="C867" s="1436"/>
      <c r="D867" s="1436"/>
      <c r="E867" s="1436"/>
      <c r="F867" s="1436"/>
      <c r="G867" s="1436"/>
      <c r="H867" s="1436"/>
      <c r="I867" s="1436"/>
      <c r="J867" s="1436"/>
      <c r="K867" s="1436"/>
      <c r="L867" s="1436"/>
      <c r="M867" s="1436"/>
      <c r="N867" s="1436"/>
      <c r="O867" s="1436"/>
      <c r="P867" s="1436"/>
      <c r="Q867" s="1436"/>
      <c r="R867" s="1436"/>
      <c r="S867" s="1436"/>
      <c r="T867" s="1436"/>
      <c r="U867" s="1436"/>
      <c r="V867" s="1436"/>
      <c r="W867" s="1436"/>
      <c r="X867" s="1436"/>
      <c r="Y867" s="1436"/>
      <c r="Z867" s="1436"/>
      <c r="AA867" s="1436"/>
      <c r="AB867" s="1436"/>
      <c r="AC867" s="1436"/>
      <c r="AD867" s="1436"/>
      <c r="AE867" s="1436"/>
      <c r="AF867" s="1436"/>
    </row>
    <row r="868" spans="1:32">
      <c r="A868" s="1436"/>
      <c r="B868" s="1436"/>
      <c r="C868" s="1436"/>
      <c r="D868" s="1436"/>
      <c r="E868" s="1436"/>
      <c r="F868" s="1436"/>
      <c r="G868" s="1436"/>
      <c r="H868" s="1436"/>
      <c r="I868" s="1436"/>
      <c r="J868" s="1436"/>
      <c r="K868" s="1436"/>
      <c r="L868" s="1436"/>
      <c r="M868" s="1436"/>
      <c r="N868" s="1436"/>
      <c r="O868" s="1436"/>
      <c r="P868" s="1436"/>
      <c r="Q868" s="1436"/>
      <c r="R868" s="1436"/>
      <c r="S868" s="1436"/>
      <c r="T868" s="1436"/>
      <c r="U868" s="1436"/>
      <c r="V868" s="1436"/>
      <c r="W868" s="1436"/>
      <c r="X868" s="1436"/>
      <c r="Y868" s="1436"/>
      <c r="Z868" s="1436"/>
      <c r="AA868" s="1436"/>
      <c r="AB868" s="1436"/>
      <c r="AC868" s="1436"/>
      <c r="AD868" s="1436"/>
      <c r="AE868" s="1436"/>
      <c r="AF868" s="1436"/>
    </row>
    <row r="869" spans="1:32">
      <c r="A869" s="1436"/>
      <c r="B869" s="1436"/>
      <c r="C869" s="1436"/>
      <c r="D869" s="1436"/>
      <c r="E869" s="1436"/>
      <c r="F869" s="1436"/>
      <c r="G869" s="1436"/>
      <c r="H869" s="1436"/>
      <c r="I869" s="1436"/>
      <c r="J869" s="1436"/>
      <c r="K869" s="1436"/>
      <c r="L869" s="1436"/>
      <c r="M869" s="1436"/>
      <c r="N869" s="1436"/>
      <c r="O869" s="1436"/>
      <c r="P869" s="1436"/>
      <c r="Q869" s="1436"/>
      <c r="R869" s="1436"/>
      <c r="S869" s="1436"/>
      <c r="T869" s="1436"/>
      <c r="U869" s="1436"/>
      <c r="V869" s="1436"/>
      <c r="W869" s="1436"/>
      <c r="X869" s="1436"/>
      <c r="Y869" s="1436"/>
      <c r="Z869" s="1436"/>
      <c r="AA869" s="1436"/>
      <c r="AB869" s="1436"/>
      <c r="AC869" s="1436"/>
      <c r="AD869" s="1436"/>
      <c r="AE869" s="1436"/>
      <c r="AF869" s="1436"/>
    </row>
    <row r="870" spans="1:32">
      <c r="A870" s="1436"/>
      <c r="B870" s="1436"/>
      <c r="C870" s="1436"/>
      <c r="D870" s="1436"/>
      <c r="E870" s="1436"/>
      <c r="F870" s="1436"/>
      <c r="G870" s="1436"/>
      <c r="H870" s="1436"/>
      <c r="I870" s="1436"/>
      <c r="J870" s="1436"/>
      <c r="K870" s="1436"/>
      <c r="L870" s="1436"/>
      <c r="M870" s="1436"/>
      <c r="N870" s="1436"/>
      <c r="O870" s="1436"/>
      <c r="P870" s="1436"/>
      <c r="Q870" s="1436"/>
      <c r="R870" s="1436"/>
      <c r="S870" s="1436"/>
      <c r="T870" s="1436"/>
      <c r="U870" s="1436"/>
      <c r="V870" s="1436"/>
      <c r="W870" s="1436"/>
      <c r="X870" s="1436"/>
      <c r="Y870" s="1436"/>
      <c r="Z870" s="1436"/>
      <c r="AA870" s="1436"/>
      <c r="AB870" s="1436"/>
      <c r="AC870" s="1436"/>
      <c r="AD870" s="1436"/>
      <c r="AE870" s="1436"/>
      <c r="AF870" s="1436"/>
    </row>
    <row r="871" spans="1:32">
      <c r="A871" s="1436"/>
      <c r="B871" s="1436"/>
      <c r="C871" s="1436"/>
      <c r="D871" s="1436"/>
      <c r="E871" s="1436"/>
      <c r="F871" s="1436"/>
      <c r="G871" s="1436"/>
      <c r="H871" s="1436"/>
      <c r="I871" s="1436"/>
      <c r="J871" s="1436"/>
      <c r="K871" s="1436"/>
      <c r="L871" s="1436"/>
      <c r="M871" s="1436"/>
      <c r="N871" s="1436"/>
      <c r="O871" s="1436"/>
      <c r="P871" s="1436"/>
      <c r="Q871" s="1436"/>
      <c r="R871" s="1436"/>
      <c r="S871" s="1436"/>
      <c r="T871" s="1436"/>
      <c r="U871" s="1436"/>
      <c r="V871" s="1436"/>
      <c r="W871" s="1436"/>
      <c r="X871" s="1436"/>
      <c r="Y871" s="1436"/>
      <c r="Z871" s="1436"/>
      <c r="AA871" s="1436"/>
      <c r="AB871" s="1436"/>
      <c r="AC871" s="1436"/>
      <c r="AD871" s="1436"/>
      <c r="AE871" s="1436"/>
      <c r="AF871" s="1436"/>
    </row>
    <row r="872" spans="1:32">
      <c r="A872" s="1436"/>
      <c r="B872" s="1436"/>
      <c r="C872" s="1436"/>
      <c r="D872" s="1436"/>
      <c r="E872" s="1436"/>
      <c r="F872" s="1436"/>
      <c r="G872" s="1436"/>
      <c r="H872" s="1436"/>
      <c r="I872" s="1436"/>
      <c r="J872" s="1436"/>
      <c r="K872" s="1436"/>
      <c r="L872" s="1436"/>
      <c r="M872" s="1436"/>
      <c r="N872" s="1436"/>
      <c r="O872" s="1436"/>
      <c r="P872" s="1436"/>
      <c r="Q872" s="1436"/>
      <c r="R872" s="1436"/>
      <c r="S872" s="1436"/>
      <c r="T872" s="1436"/>
      <c r="U872" s="1436"/>
      <c r="V872" s="1436"/>
      <c r="W872" s="1436"/>
      <c r="X872" s="1436"/>
      <c r="Y872" s="1436"/>
      <c r="Z872" s="1436"/>
      <c r="AA872" s="1436"/>
      <c r="AB872" s="1436"/>
      <c r="AC872" s="1436"/>
      <c r="AD872" s="1436"/>
      <c r="AE872" s="1436"/>
      <c r="AF872" s="1436"/>
    </row>
    <row r="873" spans="1:32">
      <c r="A873" s="1436"/>
      <c r="B873" s="1436"/>
      <c r="C873" s="1436"/>
      <c r="D873" s="1436"/>
      <c r="E873" s="1436"/>
      <c r="F873" s="1436"/>
      <c r="G873" s="1436"/>
      <c r="H873" s="1436"/>
      <c r="I873" s="1436"/>
      <c r="J873" s="1436"/>
      <c r="K873" s="1436"/>
      <c r="L873" s="1436"/>
      <c r="M873" s="1436"/>
      <c r="N873" s="1436"/>
      <c r="O873" s="1436"/>
      <c r="P873" s="1436"/>
      <c r="Q873" s="1436"/>
      <c r="R873" s="1436"/>
      <c r="S873" s="1436"/>
      <c r="T873" s="1436"/>
      <c r="U873" s="1436"/>
      <c r="V873" s="1436"/>
      <c r="W873" s="1436"/>
      <c r="X873" s="1436"/>
      <c r="Y873" s="1436"/>
      <c r="Z873" s="1436"/>
      <c r="AA873" s="1436"/>
      <c r="AB873" s="1436"/>
      <c r="AC873" s="1436"/>
      <c r="AD873" s="1436"/>
      <c r="AE873" s="1436"/>
      <c r="AF873" s="1436"/>
    </row>
    <row r="874" spans="1:32">
      <c r="A874" s="1436"/>
      <c r="B874" s="1436"/>
      <c r="C874" s="1436"/>
      <c r="D874" s="1436"/>
      <c r="E874" s="1436"/>
      <c r="F874" s="1436"/>
      <c r="G874" s="1436"/>
      <c r="H874" s="1436"/>
      <c r="I874" s="1436"/>
      <c r="J874" s="1436"/>
      <c r="K874" s="1436"/>
      <c r="L874" s="1436"/>
      <c r="M874" s="1436"/>
      <c r="N874" s="1436"/>
      <c r="O874" s="1436"/>
      <c r="P874" s="1436"/>
      <c r="Q874" s="1436"/>
      <c r="R874" s="1436"/>
      <c r="S874" s="1436"/>
      <c r="T874" s="1436"/>
      <c r="U874" s="1436"/>
      <c r="V874" s="1436"/>
      <c r="W874" s="1436"/>
      <c r="X874" s="1436"/>
      <c r="Y874" s="1436"/>
      <c r="Z874" s="1436"/>
      <c r="AA874" s="1436"/>
      <c r="AB874" s="1436"/>
      <c r="AC874" s="1436"/>
      <c r="AD874" s="1436"/>
      <c r="AE874" s="1436"/>
      <c r="AF874" s="1436"/>
    </row>
    <row r="875" spans="1:32">
      <c r="A875" s="1436"/>
      <c r="B875" s="1436"/>
      <c r="C875" s="1436"/>
      <c r="D875" s="1436"/>
      <c r="E875" s="1436"/>
      <c r="F875" s="1436"/>
      <c r="G875" s="1436"/>
      <c r="H875" s="1436"/>
      <c r="I875" s="1436"/>
      <c r="J875" s="1436"/>
      <c r="K875" s="1436"/>
      <c r="L875" s="1436"/>
      <c r="M875" s="1436"/>
      <c r="N875" s="1436"/>
      <c r="O875" s="1436"/>
      <c r="P875" s="1436"/>
      <c r="Q875" s="1436"/>
      <c r="R875" s="1436"/>
      <c r="S875" s="1436"/>
      <c r="T875" s="1436"/>
      <c r="U875" s="1436"/>
      <c r="V875" s="1436"/>
      <c r="W875" s="1436"/>
      <c r="X875" s="1436"/>
      <c r="Y875" s="1436"/>
      <c r="Z875" s="1436"/>
      <c r="AA875" s="1436"/>
      <c r="AB875" s="1436"/>
      <c r="AC875" s="1436"/>
      <c r="AD875" s="1436"/>
      <c r="AE875" s="1436"/>
      <c r="AF875" s="1436"/>
    </row>
    <row r="876" spans="1:32">
      <c r="A876" s="1436"/>
      <c r="B876" s="1436"/>
      <c r="C876" s="1436"/>
      <c r="D876" s="1436"/>
      <c r="E876" s="1436"/>
      <c r="F876" s="1436"/>
      <c r="G876" s="1436"/>
      <c r="H876" s="1436"/>
      <c r="I876" s="1436"/>
      <c r="J876" s="1436"/>
      <c r="K876" s="1436"/>
      <c r="L876" s="1436"/>
      <c r="M876" s="1436"/>
      <c r="N876" s="1436"/>
      <c r="O876" s="1436"/>
      <c r="P876" s="1436"/>
      <c r="Q876" s="1436"/>
      <c r="R876" s="1436"/>
      <c r="S876" s="1436"/>
      <c r="T876" s="1436"/>
      <c r="U876" s="1436"/>
      <c r="V876" s="1436"/>
      <c r="W876" s="1436"/>
      <c r="X876" s="1436"/>
      <c r="Y876" s="1436"/>
      <c r="Z876" s="1436"/>
      <c r="AA876" s="1436"/>
      <c r="AB876" s="1436"/>
      <c r="AC876" s="1436"/>
      <c r="AD876" s="1436"/>
      <c r="AE876" s="1436"/>
      <c r="AF876" s="1436"/>
    </row>
    <row r="877" spans="1:32">
      <c r="A877" s="1436"/>
      <c r="B877" s="1436"/>
      <c r="C877" s="1436"/>
      <c r="D877" s="1436"/>
      <c r="E877" s="1436"/>
      <c r="F877" s="1436"/>
      <c r="G877" s="1436"/>
      <c r="H877" s="1436"/>
      <c r="I877" s="1436"/>
      <c r="J877" s="1436"/>
      <c r="K877" s="1436"/>
      <c r="L877" s="1436"/>
      <c r="M877" s="1436"/>
      <c r="N877" s="1436"/>
      <c r="O877" s="1436"/>
      <c r="P877" s="1436"/>
      <c r="Q877" s="1436"/>
      <c r="R877" s="1436"/>
      <c r="S877" s="1436"/>
      <c r="T877" s="1436"/>
      <c r="U877" s="1436"/>
      <c r="V877" s="1436"/>
      <c r="W877" s="1436"/>
      <c r="X877" s="1436"/>
      <c r="Y877" s="1436"/>
      <c r="Z877" s="1436"/>
      <c r="AA877" s="1436"/>
      <c r="AB877" s="1436"/>
      <c r="AC877" s="1436"/>
      <c r="AD877" s="1436"/>
      <c r="AE877" s="1436"/>
      <c r="AF877" s="1436"/>
    </row>
    <row r="878" spans="1:32">
      <c r="A878" s="1436"/>
      <c r="B878" s="1436"/>
      <c r="C878" s="1436"/>
      <c r="D878" s="1436"/>
      <c r="E878" s="1436"/>
      <c r="F878" s="1436"/>
      <c r="G878" s="1436"/>
      <c r="H878" s="1436"/>
      <c r="I878" s="1436"/>
      <c r="J878" s="1436"/>
      <c r="K878" s="1436"/>
      <c r="L878" s="1436"/>
      <c r="M878" s="1436"/>
      <c r="N878" s="1436"/>
      <c r="O878" s="1436"/>
      <c r="P878" s="1436"/>
      <c r="Q878" s="1436"/>
      <c r="R878" s="1436"/>
      <c r="S878" s="1436"/>
      <c r="T878" s="1436"/>
      <c r="U878" s="1436"/>
      <c r="V878" s="1436"/>
      <c r="W878" s="1436"/>
      <c r="X878" s="1436"/>
      <c r="Y878" s="1436"/>
      <c r="Z878" s="1436"/>
      <c r="AA878" s="1436"/>
      <c r="AB878" s="1436"/>
      <c r="AC878" s="1436"/>
      <c r="AD878" s="1436"/>
      <c r="AE878" s="1436"/>
      <c r="AF878" s="1436"/>
    </row>
    <row r="879" spans="1:32">
      <c r="A879" s="1436"/>
      <c r="B879" s="1436"/>
      <c r="C879" s="1436"/>
      <c r="D879" s="1436"/>
      <c r="E879" s="1436"/>
      <c r="F879" s="1436"/>
      <c r="G879" s="1436"/>
      <c r="H879" s="1436"/>
      <c r="I879" s="1436"/>
      <c r="J879" s="1436"/>
      <c r="K879" s="1436"/>
      <c r="L879" s="1436"/>
      <c r="M879" s="1436"/>
      <c r="N879" s="1436"/>
      <c r="O879" s="1436"/>
      <c r="P879" s="1436"/>
      <c r="Q879" s="1436"/>
      <c r="R879" s="1436"/>
      <c r="S879" s="1436"/>
      <c r="T879" s="1436"/>
      <c r="U879" s="1436"/>
      <c r="V879" s="1436"/>
      <c r="W879" s="1436"/>
      <c r="X879" s="1436"/>
      <c r="Y879" s="1436"/>
      <c r="Z879" s="1436"/>
      <c r="AA879" s="1436"/>
      <c r="AB879" s="1436"/>
      <c r="AC879" s="1436"/>
      <c r="AD879" s="1436"/>
      <c r="AE879" s="1436"/>
      <c r="AF879" s="1436"/>
    </row>
    <row r="880" spans="1:32">
      <c r="A880" s="1436"/>
      <c r="B880" s="1436"/>
      <c r="C880" s="1436"/>
      <c r="D880" s="1436"/>
      <c r="E880" s="1436"/>
      <c r="F880" s="1436"/>
      <c r="G880" s="1436"/>
      <c r="H880" s="1436"/>
      <c r="I880" s="1436"/>
      <c r="J880" s="1436"/>
      <c r="K880" s="1436"/>
      <c r="L880" s="1436"/>
      <c r="M880" s="1436"/>
      <c r="N880" s="1436"/>
      <c r="O880" s="1436"/>
      <c r="P880" s="1436"/>
      <c r="Q880" s="1436"/>
      <c r="R880" s="1436"/>
      <c r="S880" s="1436"/>
      <c r="T880" s="1436"/>
      <c r="U880" s="1436"/>
      <c r="V880" s="1436"/>
      <c r="W880" s="1436"/>
      <c r="X880" s="1436"/>
      <c r="Y880" s="1436"/>
      <c r="Z880" s="1436"/>
      <c r="AA880" s="1436"/>
      <c r="AB880" s="1436"/>
      <c r="AC880" s="1436"/>
      <c r="AD880" s="1436"/>
      <c r="AE880" s="1436"/>
      <c r="AF880" s="1436"/>
    </row>
    <row r="881" spans="1:32">
      <c r="A881" s="1436"/>
      <c r="B881" s="1436"/>
      <c r="C881" s="1436"/>
      <c r="D881" s="1436"/>
      <c r="E881" s="1436"/>
      <c r="F881" s="1436"/>
      <c r="G881" s="1436"/>
      <c r="H881" s="1436"/>
      <c r="I881" s="1436"/>
      <c r="J881" s="1436"/>
      <c r="K881" s="1436"/>
      <c r="L881" s="1436"/>
      <c r="M881" s="1436"/>
      <c r="N881" s="1436"/>
      <c r="O881" s="1436"/>
      <c r="P881" s="1436"/>
      <c r="Q881" s="1436"/>
      <c r="R881" s="1436"/>
      <c r="S881" s="1436"/>
      <c r="T881" s="1436"/>
      <c r="U881" s="1436"/>
      <c r="V881" s="1436"/>
      <c r="W881" s="1436"/>
      <c r="X881" s="1436"/>
      <c r="Y881" s="1436"/>
      <c r="Z881" s="1436"/>
      <c r="AA881" s="1436"/>
      <c r="AB881" s="1436"/>
      <c r="AC881" s="1436"/>
      <c r="AD881" s="1436"/>
      <c r="AE881" s="1436"/>
      <c r="AF881" s="1436"/>
    </row>
    <row r="882" spans="1:32">
      <c r="A882" s="1436"/>
      <c r="B882" s="1436"/>
      <c r="C882" s="1436"/>
      <c r="D882" s="1436"/>
      <c r="E882" s="1436"/>
      <c r="F882" s="1436"/>
      <c r="G882" s="1436"/>
      <c r="H882" s="1436"/>
      <c r="I882" s="1436"/>
      <c r="J882" s="1436"/>
      <c r="K882" s="1436"/>
      <c r="L882" s="1436"/>
      <c r="M882" s="1436"/>
      <c r="N882" s="1436"/>
      <c r="O882" s="1436"/>
      <c r="P882" s="1436"/>
      <c r="Q882" s="1436"/>
      <c r="R882" s="1436"/>
      <c r="S882" s="1436"/>
      <c r="T882" s="1436"/>
      <c r="U882" s="1436"/>
      <c r="V882" s="1436"/>
      <c r="W882" s="1436"/>
      <c r="X882" s="1436"/>
      <c r="Y882" s="1436"/>
      <c r="Z882" s="1436"/>
      <c r="AA882" s="1436"/>
      <c r="AB882" s="1436"/>
      <c r="AC882" s="1436"/>
      <c r="AD882" s="1436"/>
      <c r="AE882" s="1436"/>
      <c r="AF882" s="1436"/>
    </row>
    <row r="883" spans="1:32">
      <c r="A883" s="1436"/>
      <c r="B883" s="1436"/>
      <c r="C883" s="1436"/>
      <c r="D883" s="1436"/>
      <c r="E883" s="1436"/>
      <c r="F883" s="1436"/>
      <c r="G883" s="1436"/>
      <c r="H883" s="1436"/>
      <c r="I883" s="1436"/>
      <c r="J883" s="1436"/>
      <c r="K883" s="1436"/>
      <c r="L883" s="1436"/>
      <c r="M883" s="1436"/>
      <c r="N883" s="1436"/>
      <c r="O883" s="1436"/>
      <c r="P883" s="1436"/>
      <c r="Q883" s="1436"/>
      <c r="R883" s="1436"/>
      <c r="S883" s="1436"/>
      <c r="T883" s="1436"/>
      <c r="U883" s="1436"/>
      <c r="V883" s="1436"/>
      <c r="W883" s="1436"/>
      <c r="X883" s="1436"/>
      <c r="Y883" s="1436"/>
      <c r="Z883" s="1436"/>
      <c r="AA883" s="1436"/>
      <c r="AB883" s="1436"/>
      <c r="AC883" s="1436"/>
      <c r="AD883" s="1436"/>
      <c r="AE883" s="1436"/>
      <c r="AF883" s="1436"/>
    </row>
    <row r="884" spans="1:32">
      <c r="A884" s="1436"/>
      <c r="B884" s="1436"/>
      <c r="C884" s="1436"/>
      <c r="D884" s="1436"/>
      <c r="E884" s="1436"/>
      <c r="F884" s="1436"/>
      <c r="G884" s="1436"/>
      <c r="H884" s="1436"/>
      <c r="I884" s="1436"/>
      <c r="J884" s="1436"/>
      <c r="K884" s="1436"/>
      <c r="L884" s="1436"/>
      <c r="M884" s="1436"/>
      <c r="N884" s="1436"/>
      <c r="O884" s="1436"/>
      <c r="P884" s="1436"/>
      <c r="Q884" s="1436"/>
      <c r="R884" s="1436"/>
      <c r="S884" s="1436"/>
      <c r="T884" s="1436"/>
      <c r="U884" s="1436"/>
      <c r="V884" s="1436"/>
      <c r="W884" s="1436"/>
      <c r="X884" s="1436"/>
      <c r="Y884" s="1436"/>
      <c r="Z884" s="1436"/>
      <c r="AA884" s="1436"/>
      <c r="AB884" s="1436"/>
      <c r="AC884" s="1436"/>
      <c r="AD884" s="1436"/>
      <c r="AE884" s="1436"/>
      <c r="AF884" s="1436"/>
    </row>
    <row r="885" spans="1:32">
      <c r="A885" s="1436"/>
      <c r="B885" s="1436"/>
      <c r="C885" s="1436"/>
      <c r="D885" s="1436"/>
      <c r="E885" s="1436"/>
      <c r="F885" s="1436"/>
      <c r="G885" s="1436"/>
      <c r="H885" s="1436"/>
      <c r="I885" s="1436"/>
      <c r="J885" s="1436"/>
      <c r="K885" s="1436"/>
      <c r="L885" s="1436"/>
      <c r="M885" s="1436"/>
      <c r="N885" s="1436"/>
      <c r="O885" s="1436"/>
      <c r="P885" s="1436"/>
      <c r="Q885" s="1436"/>
      <c r="R885" s="1436"/>
      <c r="S885" s="1436"/>
      <c r="T885" s="1436"/>
      <c r="U885" s="1436"/>
      <c r="V885" s="1436"/>
      <c r="W885" s="1436"/>
      <c r="X885" s="1436"/>
      <c r="Y885" s="1436"/>
      <c r="Z885" s="1436"/>
      <c r="AA885" s="1436"/>
      <c r="AB885" s="1436"/>
      <c r="AC885" s="1436"/>
      <c r="AD885" s="1436"/>
      <c r="AE885" s="1436"/>
      <c r="AF885" s="1436"/>
    </row>
    <row r="886" spans="1:32">
      <c r="A886" s="1436"/>
      <c r="B886" s="1436"/>
      <c r="C886" s="1436"/>
      <c r="D886" s="1436"/>
      <c r="E886" s="1436"/>
      <c r="F886" s="1436"/>
      <c r="G886" s="1436"/>
      <c r="H886" s="1436"/>
      <c r="I886" s="1436"/>
      <c r="J886" s="1436"/>
      <c r="K886" s="1436"/>
      <c r="L886" s="1436"/>
      <c r="M886" s="1436"/>
      <c r="N886" s="1436"/>
      <c r="O886" s="1436"/>
      <c r="P886" s="1436"/>
      <c r="Q886" s="1436"/>
      <c r="R886" s="1436"/>
      <c r="S886" s="1436"/>
      <c r="T886" s="1436"/>
      <c r="U886" s="1436"/>
      <c r="V886" s="1436"/>
      <c r="W886" s="1436"/>
      <c r="X886" s="1436"/>
      <c r="Y886" s="1436"/>
      <c r="Z886" s="1436"/>
      <c r="AA886" s="1436"/>
      <c r="AB886" s="1436"/>
      <c r="AC886" s="1436"/>
      <c r="AD886" s="1436"/>
      <c r="AE886" s="1436"/>
      <c r="AF886" s="1436"/>
    </row>
    <row r="887" spans="1:32">
      <c r="A887" s="1436"/>
      <c r="B887" s="1436"/>
      <c r="C887" s="1436"/>
      <c r="D887" s="1436"/>
      <c r="E887" s="1436"/>
      <c r="F887" s="1436"/>
      <c r="G887" s="1436"/>
      <c r="H887" s="1436"/>
      <c r="I887" s="1436"/>
      <c r="J887" s="1436"/>
      <c r="K887" s="1436"/>
      <c r="L887" s="1436"/>
      <c r="M887" s="1436"/>
      <c r="N887" s="1436"/>
      <c r="O887" s="1436"/>
      <c r="P887" s="1436"/>
      <c r="Q887" s="1436"/>
      <c r="R887" s="1436"/>
      <c r="S887" s="1436"/>
      <c r="T887" s="1436"/>
      <c r="U887" s="1436"/>
      <c r="V887" s="1436"/>
      <c r="W887" s="1436"/>
      <c r="X887" s="1436"/>
      <c r="Y887" s="1436"/>
      <c r="Z887" s="1436"/>
      <c r="AA887" s="1436"/>
      <c r="AB887" s="1436"/>
      <c r="AC887" s="1436"/>
      <c r="AD887" s="1436"/>
      <c r="AE887" s="1436"/>
      <c r="AF887" s="1436"/>
    </row>
    <row r="888" spans="1:32">
      <c r="A888" s="1436"/>
      <c r="B888" s="1436"/>
      <c r="C888" s="1436"/>
      <c r="D888" s="1436"/>
      <c r="E888" s="1436"/>
      <c r="F888" s="1436"/>
      <c r="G888" s="1436"/>
      <c r="H888" s="1436"/>
      <c r="I888" s="1436"/>
      <c r="J888" s="1436"/>
      <c r="K888" s="1436"/>
      <c r="L888" s="1436"/>
      <c r="M888" s="1436"/>
      <c r="N888" s="1436"/>
      <c r="O888" s="1436"/>
      <c r="P888" s="1436"/>
      <c r="Q888" s="1436"/>
      <c r="R888" s="1436"/>
      <c r="S888" s="1436"/>
      <c r="T888" s="1436"/>
      <c r="U888" s="1436"/>
      <c r="V888" s="1436"/>
      <c r="W888" s="1436"/>
      <c r="X888" s="1436"/>
      <c r="Y888" s="1436"/>
      <c r="Z888" s="1436"/>
      <c r="AA888" s="1436"/>
      <c r="AB888" s="1436"/>
      <c r="AC888" s="1436"/>
      <c r="AD888" s="1436"/>
      <c r="AE888" s="1436"/>
      <c r="AF888" s="1436"/>
    </row>
    <row r="889" spans="1:32">
      <c r="A889" s="1436"/>
      <c r="B889" s="1436"/>
      <c r="C889" s="1436"/>
      <c r="D889" s="1436"/>
      <c r="E889" s="1436"/>
      <c r="F889" s="1436"/>
      <c r="G889" s="1436"/>
      <c r="H889" s="1436"/>
      <c r="I889" s="1436"/>
      <c r="J889" s="1436"/>
      <c r="K889" s="1436"/>
      <c r="L889" s="1436"/>
      <c r="M889" s="1436"/>
      <c r="N889" s="1436"/>
      <c r="O889" s="1436"/>
      <c r="P889" s="1436"/>
      <c r="Q889" s="1436"/>
      <c r="R889" s="1436"/>
      <c r="S889" s="1436"/>
      <c r="T889" s="1436"/>
      <c r="U889" s="1436"/>
      <c r="V889" s="1436"/>
      <c r="W889" s="1436"/>
      <c r="X889" s="1436"/>
      <c r="Y889" s="1436"/>
      <c r="Z889" s="1436"/>
      <c r="AA889" s="1436"/>
      <c r="AB889" s="1436"/>
      <c r="AC889" s="1436"/>
      <c r="AD889" s="1436"/>
      <c r="AE889" s="1436"/>
      <c r="AF889" s="1436"/>
    </row>
    <row r="890" spans="1:32">
      <c r="A890" s="1436"/>
      <c r="B890" s="1436"/>
      <c r="C890" s="1436"/>
      <c r="D890" s="1436"/>
      <c r="E890" s="1436"/>
      <c r="F890" s="1436"/>
      <c r="G890" s="1436"/>
      <c r="H890" s="1436"/>
      <c r="I890" s="1436"/>
      <c r="J890" s="1436"/>
      <c r="K890" s="1436"/>
      <c r="L890" s="1436"/>
      <c r="M890" s="1436"/>
      <c r="N890" s="1436"/>
      <c r="O890" s="1436"/>
      <c r="P890" s="1436"/>
      <c r="Q890" s="1436"/>
      <c r="R890" s="1436"/>
      <c r="S890" s="1436"/>
      <c r="T890" s="1436"/>
      <c r="U890" s="1436"/>
      <c r="V890" s="1436"/>
      <c r="W890" s="1436"/>
      <c r="X890" s="1436"/>
      <c r="Y890" s="1436"/>
      <c r="Z890" s="1436"/>
      <c r="AA890" s="1436"/>
      <c r="AB890" s="1436"/>
      <c r="AC890" s="1436"/>
      <c r="AD890" s="1436"/>
      <c r="AE890" s="1436"/>
      <c r="AF890" s="1436"/>
    </row>
    <row r="891" spans="1:32">
      <c r="A891" s="1436"/>
      <c r="B891" s="1436"/>
      <c r="C891" s="1436"/>
      <c r="D891" s="1436"/>
      <c r="E891" s="1436"/>
      <c r="F891" s="1436"/>
      <c r="G891" s="1436"/>
      <c r="H891" s="1436"/>
      <c r="I891" s="1436"/>
      <c r="J891" s="1436"/>
      <c r="K891" s="1436"/>
      <c r="L891" s="1436"/>
      <c r="M891" s="1436"/>
      <c r="N891" s="1436"/>
      <c r="O891" s="1436"/>
      <c r="P891" s="1436"/>
      <c r="Q891" s="1436"/>
      <c r="R891" s="1436"/>
      <c r="S891" s="1436"/>
      <c r="T891" s="1436"/>
      <c r="U891" s="1436"/>
      <c r="V891" s="1436"/>
      <c r="W891" s="1436"/>
      <c r="X891" s="1436"/>
      <c r="Y891" s="1436"/>
      <c r="Z891" s="1436"/>
      <c r="AA891" s="1436"/>
      <c r="AB891" s="1436"/>
      <c r="AC891" s="1436"/>
      <c r="AD891" s="1436"/>
      <c r="AE891" s="1436"/>
      <c r="AF891" s="1436"/>
    </row>
    <row r="892" spans="1:32">
      <c r="A892" s="1436"/>
      <c r="B892" s="1436"/>
      <c r="C892" s="1436"/>
      <c r="D892" s="1436"/>
      <c r="E892" s="1436"/>
      <c r="F892" s="1436"/>
      <c r="G892" s="1436"/>
      <c r="H892" s="1436"/>
      <c r="I892" s="1436"/>
      <c r="J892" s="1436"/>
      <c r="K892" s="1436"/>
      <c r="L892" s="1436"/>
      <c r="M892" s="1436"/>
      <c r="N892" s="1436"/>
      <c r="O892" s="1436"/>
      <c r="P892" s="1436"/>
      <c r="Q892" s="1436"/>
      <c r="R892" s="1436"/>
      <c r="S892" s="1436"/>
      <c r="T892" s="1436"/>
      <c r="U892" s="1436"/>
      <c r="V892" s="1436"/>
      <c r="W892" s="1436"/>
      <c r="X892" s="1436"/>
      <c r="Y892" s="1436"/>
      <c r="Z892" s="1436"/>
      <c r="AA892" s="1436"/>
      <c r="AB892" s="1436"/>
      <c r="AC892" s="1436"/>
      <c r="AD892" s="1436"/>
      <c r="AE892" s="1436"/>
      <c r="AF892" s="1436"/>
    </row>
    <row r="893" spans="1:32">
      <c r="A893" s="1436"/>
      <c r="B893" s="1436"/>
      <c r="C893" s="1436"/>
      <c r="D893" s="1436"/>
      <c r="E893" s="1436"/>
      <c r="F893" s="1436"/>
      <c r="G893" s="1436"/>
      <c r="H893" s="1436"/>
      <c r="I893" s="1436"/>
      <c r="J893" s="1436"/>
      <c r="K893" s="1436"/>
      <c r="L893" s="1436"/>
      <c r="M893" s="1436"/>
      <c r="N893" s="1436"/>
      <c r="O893" s="1436"/>
      <c r="P893" s="1436"/>
      <c r="Q893" s="1436"/>
      <c r="R893" s="1436"/>
      <c r="S893" s="1436"/>
      <c r="T893" s="1436"/>
      <c r="U893" s="1436"/>
      <c r="V893" s="1436"/>
      <c r="W893" s="1436"/>
      <c r="X893" s="1436"/>
      <c r="Y893" s="1436"/>
      <c r="Z893" s="1436"/>
      <c r="AA893" s="1436"/>
      <c r="AB893" s="1436"/>
      <c r="AC893" s="1436"/>
      <c r="AD893" s="1436"/>
      <c r="AE893" s="1436"/>
      <c r="AF893" s="1436"/>
    </row>
    <row r="894" spans="1:32">
      <c r="A894" s="1436"/>
      <c r="B894" s="1436"/>
      <c r="C894" s="1436"/>
      <c r="D894" s="1436"/>
      <c r="E894" s="1436"/>
      <c r="F894" s="1436"/>
      <c r="G894" s="1436"/>
      <c r="H894" s="1436"/>
      <c r="I894" s="1436"/>
      <c r="J894" s="1436"/>
      <c r="K894" s="1436"/>
      <c r="L894" s="1436"/>
      <c r="M894" s="1436"/>
      <c r="N894" s="1436"/>
      <c r="O894" s="1436"/>
      <c r="P894" s="1436"/>
      <c r="Q894" s="1436"/>
      <c r="R894" s="1436"/>
      <c r="S894" s="1436"/>
      <c r="T894" s="1436"/>
      <c r="U894" s="1436"/>
      <c r="V894" s="1436"/>
      <c r="W894" s="1436"/>
      <c r="X894" s="1436"/>
      <c r="Y894" s="1436"/>
      <c r="Z894" s="1436"/>
      <c r="AA894" s="1436"/>
      <c r="AB894" s="1436"/>
      <c r="AC894" s="1436"/>
      <c r="AD894" s="1436"/>
      <c r="AE894" s="1436"/>
      <c r="AF894" s="1436"/>
    </row>
    <row r="895" spans="1:32">
      <c r="A895" s="1436"/>
      <c r="B895" s="1436"/>
      <c r="C895" s="1436"/>
      <c r="D895" s="1436"/>
      <c r="E895" s="1436"/>
      <c r="F895" s="1436"/>
      <c r="G895" s="1436"/>
      <c r="H895" s="1436"/>
      <c r="I895" s="1436"/>
      <c r="J895" s="1436"/>
      <c r="K895" s="1436"/>
      <c r="L895" s="1436"/>
      <c r="M895" s="1436"/>
      <c r="N895" s="1436"/>
      <c r="O895" s="1436"/>
      <c r="P895" s="1436"/>
      <c r="Q895" s="1436"/>
      <c r="R895" s="1436"/>
      <c r="S895" s="1436"/>
      <c r="T895" s="1436"/>
      <c r="U895" s="1436"/>
      <c r="V895" s="1436"/>
      <c r="W895" s="1436"/>
      <c r="X895" s="1436"/>
      <c r="Y895" s="1436"/>
      <c r="Z895" s="1436"/>
      <c r="AA895" s="1436"/>
      <c r="AB895" s="1436"/>
      <c r="AC895" s="1436"/>
      <c r="AD895" s="1436"/>
      <c r="AE895" s="1436"/>
      <c r="AF895" s="1436"/>
    </row>
    <row r="896" spans="1:32">
      <c r="A896" s="1436"/>
      <c r="B896" s="1436"/>
      <c r="C896" s="1436"/>
      <c r="D896" s="1436"/>
      <c r="E896" s="1436"/>
      <c r="F896" s="1436"/>
      <c r="G896" s="1436"/>
      <c r="H896" s="1436"/>
      <c r="I896" s="1436"/>
      <c r="J896" s="1436"/>
      <c r="K896" s="1436"/>
      <c r="L896" s="1436"/>
      <c r="M896" s="1436"/>
      <c r="N896" s="1436"/>
      <c r="O896" s="1436"/>
      <c r="P896" s="1436"/>
      <c r="Q896" s="1436"/>
      <c r="R896" s="1436"/>
      <c r="S896" s="1436"/>
      <c r="T896" s="1436"/>
      <c r="U896" s="1436"/>
      <c r="V896" s="1436"/>
      <c r="W896" s="1436"/>
      <c r="X896" s="1436"/>
      <c r="Y896" s="1436"/>
      <c r="Z896" s="1436"/>
      <c r="AA896" s="1436"/>
      <c r="AB896" s="1436"/>
      <c r="AC896" s="1436"/>
      <c r="AD896" s="1436"/>
      <c r="AE896" s="1436"/>
      <c r="AF896" s="1436"/>
    </row>
    <row r="897" spans="1:32">
      <c r="A897" s="1436"/>
      <c r="B897" s="1436"/>
      <c r="C897" s="1436"/>
      <c r="D897" s="1436"/>
      <c r="E897" s="1436"/>
      <c r="F897" s="1436"/>
      <c r="G897" s="1436"/>
      <c r="H897" s="1436"/>
      <c r="I897" s="1436"/>
      <c r="J897" s="1436"/>
      <c r="K897" s="1436"/>
      <c r="L897" s="1436"/>
      <c r="M897" s="1436"/>
      <c r="N897" s="1436"/>
      <c r="O897" s="1436"/>
      <c r="P897" s="1436"/>
      <c r="Q897" s="1436"/>
      <c r="R897" s="1436"/>
      <c r="S897" s="1436"/>
      <c r="T897" s="1436"/>
      <c r="U897" s="1436"/>
      <c r="V897" s="1436"/>
      <c r="W897" s="1436"/>
      <c r="X897" s="1436"/>
      <c r="Y897" s="1436"/>
      <c r="Z897" s="1436"/>
      <c r="AA897" s="1436"/>
      <c r="AB897" s="1436"/>
      <c r="AC897" s="1436"/>
      <c r="AD897" s="1436"/>
      <c r="AE897" s="1436"/>
      <c r="AF897" s="1436"/>
    </row>
    <row r="898" spans="1:32">
      <c r="A898" s="1436"/>
      <c r="B898" s="1436"/>
      <c r="C898" s="1436"/>
      <c r="D898" s="1436"/>
      <c r="E898" s="1436"/>
      <c r="F898" s="1436"/>
      <c r="G898" s="1436"/>
      <c r="H898" s="1436"/>
      <c r="I898" s="1436"/>
      <c r="J898" s="1436"/>
      <c r="K898" s="1436"/>
      <c r="L898" s="1436"/>
      <c r="M898" s="1436"/>
      <c r="N898" s="1436"/>
      <c r="O898" s="1436"/>
      <c r="P898" s="1436"/>
      <c r="Q898" s="1436"/>
      <c r="R898" s="1436"/>
      <c r="S898" s="1436"/>
      <c r="T898" s="1436"/>
      <c r="U898" s="1436"/>
      <c r="V898" s="1436"/>
      <c r="W898" s="1436"/>
      <c r="X898" s="1436"/>
      <c r="Y898" s="1436"/>
      <c r="Z898" s="1436"/>
      <c r="AA898" s="1436"/>
      <c r="AB898" s="1436"/>
      <c r="AC898" s="1436"/>
      <c r="AD898" s="1436"/>
      <c r="AE898" s="1436"/>
      <c r="AF898" s="1436"/>
    </row>
    <row r="899" spans="1:32">
      <c r="A899" s="1436"/>
      <c r="B899" s="1436"/>
      <c r="C899" s="1436"/>
      <c r="D899" s="1436"/>
      <c r="E899" s="1436"/>
      <c r="F899" s="1436"/>
      <c r="G899" s="1436"/>
      <c r="H899" s="1436"/>
      <c r="I899" s="1436"/>
      <c r="J899" s="1436"/>
      <c r="K899" s="1436"/>
      <c r="L899" s="1436"/>
      <c r="M899" s="1436"/>
      <c r="N899" s="1436"/>
      <c r="O899" s="1436"/>
      <c r="P899" s="1436"/>
      <c r="Q899" s="1436"/>
      <c r="R899" s="1436"/>
      <c r="S899" s="1436"/>
      <c r="T899" s="1436"/>
      <c r="U899" s="1436"/>
      <c r="V899" s="1436"/>
      <c r="W899" s="1436"/>
      <c r="X899" s="1436"/>
      <c r="Y899" s="1436"/>
      <c r="Z899" s="1436"/>
      <c r="AA899" s="1436"/>
      <c r="AB899" s="1436"/>
      <c r="AC899" s="1436"/>
      <c r="AD899" s="1436"/>
      <c r="AE899" s="1436"/>
      <c r="AF899" s="1436"/>
    </row>
    <row r="900" spans="1:32">
      <c r="A900" s="1436"/>
      <c r="B900" s="1436"/>
      <c r="C900" s="1436"/>
      <c r="D900" s="1436"/>
      <c r="E900" s="1436"/>
      <c r="F900" s="1436"/>
      <c r="G900" s="1436"/>
      <c r="H900" s="1436"/>
      <c r="I900" s="1436"/>
      <c r="J900" s="1436"/>
      <c r="K900" s="1436"/>
      <c r="L900" s="1436"/>
      <c r="M900" s="1436"/>
      <c r="N900" s="1436"/>
      <c r="O900" s="1436"/>
      <c r="P900" s="1436"/>
      <c r="Q900" s="1436"/>
      <c r="R900" s="1436"/>
      <c r="S900" s="1436"/>
      <c r="T900" s="1436"/>
      <c r="U900" s="1436"/>
      <c r="V900" s="1436"/>
      <c r="W900" s="1436"/>
      <c r="X900" s="1436"/>
      <c r="Y900" s="1436"/>
      <c r="Z900" s="1436"/>
      <c r="AA900" s="1436"/>
      <c r="AB900" s="1436"/>
      <c r="AC900" s="1436"/>
      <c r="AD900" s="1436"/>
      <c r="AE900" s="1436"/>
      <c r="AF900" s="1436"/>
    </row>
    <row r="901" spans="1:32">
      <c r="A901" s="1436"/>
      <c r="B901" s="1436"/>
      <c r="C901" s="1436"/>
      <c r="D901" s="1436"/>
      <c r="E901" s="1436"/>
      <c r="F901" s="1436"/>
      <c r="G901" s="1436"/>
      <c r="H901" s="1436"/>
      <c r="I901" s="1436"/>
      <c r="J901" s="1436"/>
      <c r="K901" s="1436"/>
      <c r="L901" s="1436"/>
      <c r="M901" s="1436"/>
      <c r="N901" s="1436"/>
      <c r="O901" s="1436"/>
      <c r="P901" s="1436"/>
      <c r="Q901" s="1436"/>
      <c r="R901" s="1436"/>
      <c r="S901" s="1436"/>
      <c r="T901" s="1436"/>
      <c r="U901" s="1436"/>
      <c r="V901" s="1436"/>
      <c r="W901" s="1436"/>
      <c r="X901" s="1436"/>
      <c r="Y901" s="1436"/>
      <c r="Z901" s="1436"/>
      <c r="AA901" s="1436"/>
      <c r="AB901" s="1436"/>
      <c r="AC901" s="1436"/>
      <c r="AD901" s="1436"/>
      <c r="AE901" s="1436"/>
      <c r="AF901" s="1436"/>
    </row>
    <row r="902" spans="1:32">
      <c r="A902" s="1436"/>
      <c r="B902" s="1436"/>
      <c r="C902" s="1436"/>
      <c r="D902" s="1436"/>
      <c r="E902" s="1436"/>
      <c r="F902" s="1436"/>
      <c r="G902" s="1436"/>
      <c r="H902" s="1436"/>
      <c r="I902" s="1436"/>
      <c r="J902" s="1436"/>
      <c r="K902" s="1436"/>
      <c r="L902" s="1436"/>
      <c r="M902" s="1436"/>
      <c r="N902" s="1436"/>
      <c r="O902" s="1436"/>
      <c r="P902" s="1436"/>
      <c r="Q902" s="1436"/>
      <c r="R902" s="1436"/>
      <c r="S902" s="1436"/>
      <c r="T902" s="1436"/>
      <c r="U902" s="1436"/>
      <c r="V902" s="1436"/>
      <c r="W902" s="1436"/>
      <c r="X902" s="1436"/>
      <c r="Y902" s="1436"/>
      <c r="Z902" s="1436"/>
      <c r="AA902" s="1436"/>
      <c r="AB902" s="1436"/>
      <c r="AC902" s="1436"/>
      <c r="AD902" s="1436"/>
      <c r="AE902" s="1436"/>
      <c r="AF902" s="1436"/>
    </row>
    <row r="903" spans="1:32">
      <c r="A903" s="1436"/>
      <c r="B903" s="1436"/>
      <c r="C903" s="1436"/>
      <c r="D903" s="1436"/>
      <c r="E903" s="1436"/>
      <c r="F903" s="1436"/>
      <c r="G903" s="1436"/>
      <c r="H903" s="1436"/>
      <c r="I903" s="1436"/>
      <c r="J903" s="1436"/>
      <c r="K903" s="1436"/>
      <c r="L903" s="1436"/>
      <c r="M903" s="1436"/>
      <c r="N903" s="1436"/>
      <c r="O903" s="1436"/>
      <c r="P903" s="1436"/>
      <c r="Q903" s="1436"/>
      <c r="R903" s="1436"/>
      <c r="S903" s="1436"/>
      <c r="T903" s="1436"/>
      <c r="U903" s="1436"/>
      <c r="V903" s="1436"/>
      <c r="W903" s="1436"/>
      <c r="X903" s="1436"/>
      <c r="Y903" s="1436"/>
      <c r="Z903" s="1436"/>
      <c r="AA903" s="1436"/>
      <c r="AB903" s="1436"/>
      <c r="AC903" s="1436"/>
      <c r="AD903" s="1436"/>
      <c r="AE903" s="1436"/>
      <c r="AF903" s="1436"/>
    </row>
    <row r="904" spans="1:32">
      <c r="A904" s="1436"/>
      <c r="B904" s="1436"/>
      <c r="C904" s="1436"/>
      <c r="D904" s="1436"/>
      <c r="E904" s="1436"/>
      <c r="F904" s="1436"/>
      <c r="G904" s="1436"/>
      <c r="H904" s="1436"/>
      <c r="I904" s="1436"/>
      <c r="J904" s="1436"/>
      <c r="K904" s="1436"/>
      <c r="L904" s="1436"/>
      <c r="M904" s="1436"/>
      <c r="N904" s="1436"/>
      <c r="O904" s="1436"/>
      <c r="P904" s="1436"/>
      <c r="Q904" s="1436"/>
      <c r="R904" s="1436"/>
      <c r="S904" s="1436"/>
      <c r="T904" s="1436"/>
      <c r="U904" s="1436"/>
      <c r="V904" s="1436"/>
      <c r="W904" s="1436"/>
      <c r="X904" s="1436"/>
      <c r="Y904" s="1436"/>
      <c r="Z904" s="1436"/>
      <c r="AA904" s="1436"/>
      <c r="AB904" s="1436"/>
      <c r="AC904" s="1436"/>
      <c r="AD904" s="1436"/>
      <c r="AE904" s="1436"/>
      <c r="AF904" s="1436"/>
    </row>
    <row r="905" spans="1:32">
      <c r="A905" s="1436"/>
      <c r="B905" s="1436"/>
      <c r="C905" s="1436"/>
      <c r="D905" s="1436"/>
      <c r="E905" s="1436"/>
      <c r="F905" s="1436"/>
      <c r="G905" s="1436"/>
      <c r="H905" s="1436"/>
      <c r="I905" s="1436"/>
      <c r="J905" s="1436"/>
      <c r="K905" s="1436"/>
      <c r="L905" s="1436"/>
      <c r="M905" s="1436"/>
      <c r="N905" s="1436"/>
      <c r="O905" s="1436"/>
      <c r="P905" s="1436"/>
      <c r="Q905" s="1436"/>
      <c r="R905" s="1436"/>
      <c r="S905" s="1436"/>
      <c r="T905" s="1436"/>
      <c r="U905" s="1436"/>
      <c r="V905" s="1436"/>
      <c r="W905" s="1436"/>
      <c r="X905" s="1436"/>
      <c r="Y905" s="1436"/>
      <c r="Z905" s="1436"/>
      <c r="AA905" s="1436"/>
      <c r="AB905" s="1436"/>
      <c r="AC905" s="1436"/>
      <c r="AD905" s="1436"/>
      <c r="AE905" s="1436"/>
      <c r="AF905" s="1436"/>
    </row>
    <row r="906" spans="1:32">
      <c r="A906" s="1436"/>
      <c r="B906" s="1436"/>
      <c r="C906" s="1436"/>
      <c r="D906" s="1436"/>
      <c r="E906" s="1436"/>
      <c r="F906" s="1436"/>
      <c r="G906" s="1436"/>
      <c r="H906" s="1436"/>
      <c r="I906" s="1436"/>
      <c r="J906" s="1436"/>
      <c r="K906" s="1436"/>
      <c r="L906" s="1436"/>
      <c r="M906" s="1436"/>
      <c r="N906" s="1436"/>
      <c r="O906" s="1436"/>
      <c r="P906" s="1436"/>
      <c r="Q906" s="1436"/>
      <c r="R906" s="1436"/>
      <c r="S906" s="1436"/>
      <c r="T906" s="1436"/>
      <c r="U906" s="1436"/>
      <c r="V906" s="1436"/>
      <c r="W906" s="1436"/>
      <c r="X906" s="1436"/>
      <c r="Y906" s="1436"/>
      <c r="Z906" s="1436"/>
      <c r="AA906" s="1436"/>
      <c r="AB906" s="1436"/>
      <c r="AC906" s="1436"/>
      <c r="AD906" s="1436"/>
      <c r="AE906" s="1436"/>
      <c r="AF906" s="1436"/>
    </row>
    <row r="907" spans="1:32">
      <c r="A907" s="1436"/>
      <c r="B907" s="1436"/>
      <c r="C907" s="1436"/>
      <c r="D907" s="1436"/>
      <c r="E907" s="1436"/>
      <c r="F907" s="1436"/>
      <c r="G907" s="1436"/>
      <c r="H907" s="1436"/>
      <c r="I907" s="1436"/>
      <c r="J907" s="1436"/>
      <c r="K907" s="1436"/>
      <c r="L907" s="1436"/>
      <c r="M907" s="1436"/>
      <c r="N907" s="1436"/>
      <c r="O907" s="1436"/>
      <c r="P907" s="1436"/>
      <c r="Q907" s="1436"/>
      <c r="R907" s="1436"/>
      <c r="S907" s="1436"/>
      <c r="T907" s="1436"/>
      <c r="U907" s="1436"/>
      <c r="V907" s="1436"/>
      <c r="W907" s="1436"/>
      <c r="X907" s="1436"/>
      <c r="Y907" s="1436"/>
      <c r="Z907" s="1436"/>
      <c r="AA907" s="1436"/>
      <c r="AB907" s="1436"/>
      <c r="AC907" s="1436"/>
      <c r="AD907" s="1436"/>
      <c r="AE907" s="1436"/>
      <c r="AF907" s="1436"/>
    </row>
    <row r="908" spans="1:32">
      <c r="A908" s="1436"/>
      <c r="B908" s="1436"/>
      <c r="C908" s="1436"/>
      <c r="D908" s="1436"/>
      <c r="E908" s="1436"/>
      <c r="F908" s="1436"/>
      <c r="G908" s="1436"/>
      <c r="H908" s="1436"/>
      <c r="I908" s="1436"/>
      <c r="J908" s="1436"/>
      <c r="K908" s="1436"/>
      <c r="L908" s="1436"/>
      <c r="M908" s="1436"/>
      <c r="N908" s="1436"/>
      <c r="O908" s="1436"/>
      <c r="P908" s="1436"/>
      <c r="Q908" s="1436"/>
      <c r="R908" s="1436"/>
      <c r="S908" s="1436"/>
      <c r="T908" s="1436"/>
      <c r="U908" s="1436"/>
      <c r="V908" s="1436"/>
      <c r="W908" s="1436"/>
      <c r="X908" s="1436"/>
      <c r="Y908" s="1436"/>
      <c r="Z908" s="1436"/>
      <c r="AA908" s="1436"/>
      <c r="AB908" s="1436"/>
      <c r="AC908" s="1436"/>
      <c r="AD908" s="1436"/>
      <c r="AE908" s="1436"/>
      <c r="AF908" s="1436"/>
    </row>
    <row r="909" spans="1:32">
      <c r="A909" s="1436"/>
      <c r="B909" s="1436"/>
      <c r="C909" s="1436"/>
      <c r="D909" s="1436"/>
      <c r="E909" s="1436"/>
      <c r="F909" s="1436"/>
      <c r="G909" s="1436"/>
      <c r="H909" s="1436"/>
      <c r="I909" s="1436"/>
      <c r="J909" s="1436"/>
      <c r="K909" s="1436"/>
      <c r="L909" s="1436"/>
      <c r="M909" s="1436"/>
      <c r="N909" s="1436"/>
      <c r="O909" s="1436"/>
      <c r="P909" s="1436"/>
      <c r="Q909" s="1436"/>
      <c r="R909" s="1436"/>
      <c r="S909" s="1436"/>
      <c r="T909" s="1436"/>
      <c r="U909" s="1436"/>
      <c r="V909" s="1436"/>
      <c r="W909" s="1436"/>
      <c r="X909" s="1436"/>
      <c r="Y909" s="1436"/>
      <c r="Z909" s="1436"/>
      <c r="AA909" s="1436"/>
      <c r="AB909" s="1436"/>
      <c r="AC909" s="1436"/>
      <c r="AD909" s="1436"/>
      <c r="AE909" s="1436"/>
      <c r="AF909" s="1436"/>
    </row>
    <row r="910" spans="1:32">
      <c r="A910" s="1436"/>
      <c r="B910" s="1436"/>
      <c r="C910" s="1436"/>
      <c r="D910" s="1436"/>
      <c r="E910" s="1436"/>
      <c r="F910" s="1436"/>
      <c r="G910" s="1436"/>
      <c r="H910" s="1436"/>
      <c r="I910" s="1436"/>
      <c r="J910" s="1436"/>
      <c r="K910" s="1436"/>
      <c r="L910" s="1436"/>
      <c r="M910" s="1436"/>
      <c r="N910" s="1436"/>
      <c r="O910" s="1436"/>
      <c r="P910" s="1436"/>
      <c r="Q910" s="1436"/>
      <c r="R910" s="1436"/>
      <c r="S910" s="1436"/>
      <c r="T910" s="1436"/>
      <c r="U910" s="1436"/>
      <c r="V910" s="1436"/>
      <c r="W910" s="1436"/>
      <c r="X910" s="1436"/>
      <c r="Y910" s="1436"/>
      <c r="Z910" s="1436"/>
      <c r="AA910" s="1436"/>
      <c r="AB910" s="1436"/>
      <c r="AC910" s="1436"/>
      <c r="AD910" s="1436"/>
      <c r="AE910" s="1436"/>
      <c r="AF910" s="1436"/>
    </row>
    <row r="911" spans="1:32">
      <c r="A911" s="1436"/>
      <c r="B911" s="1436"/>
      <c r="C911" s="1436"/>
      <c r="D911" s="1436"/>
      <c r="E911" s="1436"/>
      <c r="F911" s="1436"/>
      <c r="G911" s="1436"/>
      <c r="H911" s="1436"/>
      <c r="I911" s="1436"/>
      <c r="J911" s="1436"/>
      <c r="K911" s="1436"/>
      <c r="L911" s="1436"/>
      <c r="M911" s="1436"/>
      <c r="N911" s="1436"/>
      <c r="O911" s="1436"/>
      <c r="P911" s="1436"/>
      <c r="Q911" s="1436"/>
      <c r="R911" s="1436"/>
      <c r="S911" s="1436"/>
      <c r="T911" s="1436"/>
      <c r="U911" s="1436"/>
      <c r="V911" s="1436"/>
      <c r="W911" s="1436"/>
      <c r="X911" s="1436"/>
      <c r="Y911" s="1436"/>
      <c r="Z911" s="1436"/>
      <c r="AA911" s="1436"/>
      <c r="AB911" s="1436"/>
      <c r="AC911" s="1436"/>
      <c r="AD911" s="1436"/>
      <c r="AE911" s="1436"/>
      <c r="AF911" s="1436"/>
    </row>
    <row r="912" spans="1:32">
      <c r="A912" s="1436"/>
      <c r="B912" s="1436"/>
      <c r="C912" s="1436"/>
      <c r="D912" s="1436"/>
      <c r="E912" s="1436"/>
      <c r="F912" s="1436"/>
      <c r="G912" s="1436"/>
      <c r="H912" s="1436"/>
      <c r="I912" s="1436"/>
      <c r="J912" s="1436"/>
      <c r="K912" s="1436"/>
      <c r="L912" s="1436"/>
      <c r="M912" s="1436"/>
      <c r="N912" s="1436"/>
      <c r="O912" s="1436"/>
      <c r="P912" s="1436"/>
      <c r="Q912" s="1436"/>
      <c r="R912" s="1436"/>
      <c r="S912" s="1436"/>
      <c r="T912" s="1436"/>
      <c r="U912" s="1436"/>
      <c r="V912" s="1436"/>
      <c r="W912" s="1436"/>
      <c r="X912" s="1436"/>
      <c r="Y912" s="1436"/>
      <c r="Z912" s="1436"/>
      <c r="AA912" s="1436"/>
      <c r="AB912" s="1436"/>
      <c r="AC912" s="1436"/>
      <c r="AD912" s="1436"/>
      <c r="AE912" s="1436"/>
      <c r="AF912" s="1436"/>
    </row>
    <row r="913" spans="1:32">
      <c r="A913" s="1436"/>
      <c r="B913" s="1436"/>
      <c r="C913" s="1436"/>
      <c r="D913" s="1436"/>
      <c r="E913" s="1436"/>
      <c r="F913" s="1436"/>
      <c r="G913" s="1436"/>
      <c r="H913" s="1436"/>
      <c r="I913" s="1436"/>
      <c r="J913" s="1436"/>
      <c r="K913" s="1436"/>
      <c r="L913" s="1436"/>
      <c r="M913" s="1436"/>
      <c r="N913" s="1436"/>
      <c r="O913" s="1436"/>
      <c r="P913" s="1436"/>
      <c r="Q913" s="1436"/>
      <c r="R913" s="1436"/>
      <c r="S913" s="1436"/>
      <c r="T913" s="1436"/>
      <c r="U913" s="1436"/>
      <c r="V913" s="1436"/>
      <c r="W913" s="1436"/>
      <c r="X913" s="1436"/>
      <c r="Y913" s="1436"/>
      <c r="Z913" s="1436"/>
      <c r="AA913" s="1436"/>
      <c r="AB913" s="1436"/>
      <c r="AC913" s="1436"/>
      <c r="AD913" s="1436"/>
      <c r="AE913" s="1436"/>
      <c r="AF913" s="1436"/>
    </row>
    <row r="914" spans="1:32">
      <c r="A914" s="1436"/>
      <c r="B914" s="1436"/>
      <c r="C914" s="1436"/>
      <c r="D914" s="1436"/>
      <c r="E914" s="1436"/>
      <c r="F914" s="1436"/>
      <c r="G914" s="1436"/>
      <c r="H914" s="1436"/>
      <c r="I914" s="1436"/>
      <c r="J914" s="1436"/>
      <c r="K914" s="1436"/>
      <c r="L914" s="1436"/>
      <c r="M914" s="1436"/>
      <c r="N914" s="1436"/>
      <c r="O914" s="1436"/>
      <c r="P914" s="1436"/>
      <c r="Q914" s="1436"/>
      <c r="R914" s="1436"/>
      <c r="S914" s="1436"/>
      <c r="T914" s="1436"/>
      <c r="U914" s="1436"/>
      <c r="V914" s="1436"/>
      <c r="W914" s="1436"/>
      <c r="X914" s="1436"/>
      <c r="Y914" s="1436"/>
      <c r="Z914" s="1436"/>
      <c r="AA914" s="1436"/>
      <c r="AB914" s="1436"/>
      <c r="AC914" s="1436"/>
      <c r="AD914" s="1436"/>
      <c r="AE914" s="1436"/>
      <c r="AF914" s="1436"/>
    </row>
    <row r="915" spans="1:32">
      <c r="A915" s="1436"/>
      <c r="B915" s="1436"/>
      <c r="C915" s="1436"/>
      <c r="D915" s="1436"/>
      <c r="E915" s="1436"/>
      <c r="F915" s="1436"/>
      <c r="G915" s="1436"/>
      <c r="H915" s="1436"/>
      <c r="I915" s="1436"/>
      <c r="J915" s="1436"/>
      <c r="K915" s="1436"/>
      <c r="L915" s="1436"/>
      <c r="M915" s="1436"/>
      <c r="N915" s="1436"/>
      <c r="O915" s="1436"/>
      <c r="P915" s="1436"/>
      <c r="Q915" s="1436"/>
      <c r="R915" s="1436"/>
      <c r="S915" s="1436"/>
      <c r="T915" s="1436"/>
      <c r="U915" s="1436"/>
      <c r="V915" s="1436"/>
      <c r="W915" s="1436"/>
      <c r="X915" s="1436"/>
      <c r="Y915" s="1436"/>
      <c r="Z915" s="1436"/>
      <c r="AA915" s="1436"/>
      <c r="AB915" s="1436"/>
      <c r="AC915" s="1436"/>
      <c r="AD915" s="1436"/>
      <c r="AE915" s="1436"/>
      <c r="AF915" s="1436"/>
    </row>
    <row r="916" spans="1:32">
      <c r="A916" s="1436"/>
      <c r="B916" s="1436"/>
      <c r="C916" s="1436"/>
      <c r="D916" s="1436"/>
      <c r="E916" s="1436"/>
      <c r="F916" s="1436"/>
      <c r="G916" s="1436"/>
      <c r="H916" s="1436"/>
      <c r="I916" s="1436"/>
      <c r="J916" s="1436"/>
      <c r="K916" s="1436"/>
      <c r="L916" s="1436"/>
      <c r="M916" s="1436"/>
      <c r="N916" s="1436"/>
      <c r="O916" s="1436"/>
      <c r="P916" s="1436"/>
      <c r="Q916" s="1436"/>
      <c r="R916" s="1436"/>
      <c r="S916" s="1436"/>
      <c r="T916" s="1436"/>
      <c r="U916" s="1436"/>
      <c r="V916" s="1436"/>
      <c r="W916" s="1436"/>
      <c r="X916" s="1436"/>
      <c r="Y916" s="1436"/>
      <c r="Z916" s="1436"/>
      <c r="AA916" s="1436"/>
      <c r="AB916" s="1436"/>
      <c r="AC916" s="1436"/>
      <c r="AD916" s="1436"/>
      <c r="AE916" s="1436"/>
      <c r="AF916" s="1436"/>
    </row>
    <row r="917" spans="1:32">
      <c r="A917" s="1436"/>
      <c r="B917" s="1436"/>
      <c r="C917" s="1436"/>
      <c r="D917" s="1436"/>
      <c r="E917" s="1436"/>
      <c r="F917" s="1436"/>
      <c r="G917" s="1436"/>
      <c r="H917" s="1436"/>
      <c r="I917" s="1436"/>
      <c r="J917" s="1436"/>
      <c r="K917" s="1436"/>
      <c r="L917" s="1436"/>
      <c r="M917" s="1436"/>
      <c r="N917" s="1436"/>
      <c r="O917" s="1436"/>
      <c r="P917" s="1436"/>
      <c r="Q917" s="1436"/>
      <c r="R917" s="1436"/>
      <c r="S917" s="1436"/>
      <c r="T917" s="1436"/>
      <c r="U917" s="1436"/>
      <c r="V917" s="1436"/>
      <c r="W917" s="1436"/>
      <c r="X917" s="1436"/>
      <c r="Y917" s="1436"/>
      <c r="Z917" s="1436"/>
      <c r="AA917" s="1436"/>
      <c r="AB917" s="1436"/>
      <c r="AC917" s="1436"/>
      <c r="AD917" s="1436"/>
      <c r="AE917" s="1436"/>
      <c r="AF917" s="1436"/>
    </row>
    <row r="918" spans="1:32">
      <c r="A918" s="1436"/>
      <c r="B918" s="1436"/>
      <c r="C918" s="1436"/>
      <c r="D918" s="1436"/>
      <c r="E918" s="1436"/>
      <c r="F918" s="1436"/>
      <c r="G918" s="1436"/>
      <c r="H918" s="1436"/>
      <c r="I918" s="1436"/>
      <c r="J918" s="1436"/>
      <c r="K918" s="1436"/>
      <c r="L918" s="1436"/>
      <c r="M918" s="1436"/>
      <c r="N918" s="1436"/>
      <c r="O918" s="1436"/>
      <c r="P918" s="1436"/>
      <c r="Q918" s="1436"/>
      <c r="R918" s="1436"/>
      <c r="S918" s="1436"/>
      <c r="T918" s="1436"/>
      <c r="U918" s="1436"/>
      <c r="V918" s="1436"/>
      <c r="W918" s="1436"/>
      <c r="X918" s="1436"/>
      <c r="Y918" s="1436"/>
      <c r="Z918" s="1436"/>
      <c r="AA918" s="1436"/>
      <c r="AB918" s="1436"/>
      <c r="AC918" s="1436"/>
      <c r="AD918" s="1436"/>
      <c r="AE918" s="1436"/>
      <c r="AF918" s="1436"/>
    </row>
    <row r="919" spans="1:32">
      <c r="A919" s="1436"/>
      <c r="B919" s="1436"/>
      <c r="C919" s="1436"/>
      <c r="D919" s="1436"/>
      <c r="E919" s="1436"/>
      <c r="F919" s="1436"/>
      <c r="G919" s="1436"/>
      <c r="H919" s="1436"/>
      <c r="I919" s="1436"/>
      <c r="J919" s="1436"/>
      <c r="K919" s="1436"/>
      <c r="L919" s="1436"/>
      <c r="M919" s="1436"/>
      <c r="N919" s="1436"/>
      <c r="O919" s="1436"/>
      <c r="P919" s="1436"/>
      <c r="Q919" s="1436"/>
      <c r="R919" s="1436"/>
      <c r="S919" s="1436"/>
      <c r="T919" s="1436"/>
      <c r="U919" s="1436"/>
      <c r="V919" s="1436"/>
      <c r="W919" s="1436"/>
      <c r="X919" s="1436"/>
      <c r="Y919" s="1436"/>
      <c r="Z919" s="1436"/>
      <c r="AA919" s="1436"/>
      <c r="AB919" s="1436"/>
      <c r="AC919" s="1436"/>
      <c r="AD919" s="1436"/>
      <c r="AE919" s="1436"/>
      <c r="AF919" s="1436"/>
    </row>
    <row r="920" spans="1:32">
      <c r="A920" s="1436"/>
      <c r="B920" s="1436"/>
      <c r="C920" s="1436"/>
      <c r="D920" s="1436"/>
      <c r="E920" s="1436"/>
      <c r="F920" s="1436"/>
      <c r="G920" s="1436"/>
      <c r="H920" s="1436"/>
      <c r="I920" s="1436"/>
      <c r="J920" s="1436"/>
      <c r="K920" s="1436"/>
      <c r="L920" s="1436"/>
      <c r="M920" s="1436"/>
      <c r="N920" s="1436"/>
      <c r="O920" s="1436"/>
      <c r="P920" s="1436"/>
      <c r="Q920" s="1436"/>
      <c r="R920" s="1436"/>
      <c r="S920" s="1436"/>
      <c r="T920" s="1436"/>
      <c r="U920" s="1436"/>
      <c r="V920" s="1436"/>
      <c r="W920" s="1436"/>
      <c r="X920" s="1436"/>
      <c r="Y920" s="1436"/>
      <c r="Z920" s="1436"/>
      <c r="AA920" s="1436"/>
      <c r="AB920" s="1436"/>
      <c r="AC920" s="1436"/>
      <c r="AD920" s="1436"/>
      <c r="AE920" s="1436"/>
      <c r="AF920" s="1436"/>
    </row>
    <row r="921" spans="1:32">
      <c r="A921" s="1436"/>
      <c r="B921" s="1436"/>
      <c r="C921" s="1436"/>
      <c r="D921" s="1436"/>
      <c r="E921" s="1436"/>
      <c r="F921" s="1436"/>
      <c r="G921" s="1436"/>
      <c r="H921" s="1436"/>
      <c r="I921" s="1436"/>
      <c r="J921" s="1436"/>
      <c r="K921" s="1436"/>
      <c r="L921" s="1436"/>
      <c r="M921" s="1436"/>
      <c r="N921" s="1436"/>
      <c r="O921" s="1436"/>
      <c r="P921" s="1436"/>
      <c r="Q921" s="1436"/>
      <c r="R921" s="1436"/>
      <c r="S921" s="1436"/>
      <c r="T921" s="1436"/>
      <c r="U921" s="1436"/>
      <c r="V921" s="1436"/>
      <c r="W921" s="1436"/>
      <c r="X921" s="1436"/>
      <c r="Y921" s="1436"/>
      <c r="Z921" s="1436"/>
      <c r="AA921" s="1436"/>
      <c r="AB921" s="1436"/>
      <c r="AC921" s="1436"/>
      <c r="AD921" s="1436"/>
      <c r="AE921" s="1436"/>
      <c r="AF921" s="1436"/>
    </row>
    <row r="922" spans="1:32">
      <c r="A922" s="1436"/>
      <c r="B922" s="1436"/>
      <c r="C922" s="1436"/>
      <c r="D922" s="1436"/>
      <c r="E922" s="1436"/>
      <c r="F922" s="1436"/>
      <c r="G922" s="1436"/>
      <c r="H922" s="1436"/>
      <c r="I922" s="1436"/>
      <c r="J922" s="1436"/>
      <c r="K922" s="1436"/>
      <c r="L922" s="1436"/>
      <c r="M922" s="1436"/>
      <c r="N922" s="1436"/>
      <c r="O922" s="1436"/>
      <c r="P922" s="1436"/>
      <c r="Q922" s="1436"/>
      <c r="R922" s="1436"/>
      <c r="S922" s="1436"/>
      <c r="T922" s="1436"/>
      <c r="U922" s="1436"/>
      <c r="V922" s="1436"/>
      <c r="W922" s="1436"/>
      <c r="X922" s="1436"/>
      <c r="Y922" s="1436"/>
      <c r="Z922" s="1436"/>
      <c r="AA922" s="1436"/>
      <c r="AB922" s="1436"/>
      <c r="AC922" s="1436"/>
      <c r="AD922" s="1436"/>
      <c r="AE922" s="1436"/>
      <c r="AF922" s="1436"/>
    </row>
    <row r="923" spans="1:32">
      <c r="A923" s="1436"/>
      <c r="B923" s="1436"/>
      <c r="C923" s="1436"/>
      <c r="D923" s="1436"/>
      <c r="E923" s="1436"/>
      <c r="F923" s="1436"/>
      <c r="G923" s="1436"/>
      <c r="H923" s="1436"/>
      <c r="I923" s="1436"/>
      <c r="J923" s="1436"/>
      <c r="K923" s="1436"/>
      <c r="L923" s="1436"/>
      <c r="M923" s="1436"/>
      <c r="N923" s="1436"/>
      <c r="O923" s="1436"/>
      <c r="P923" s="1436"/>
      <c r="Q923" s="1436"/>
      <c r="R923" s="1436"/>
      <c r="S923" s="1436"/>
      <c r="T923" s="1436"/>
      <c r="U923" s="1436"/>
      <c r="V923" s="1436"/>
      <c r="W923" s="1436"/>
      <c r="X923" s="1436"/>
      <c r="Y923" s="1436"/>
      <c r="Z923" s="1436"/>
      <c r="AA923" s="1436"/>
      <c r="AB923" s="1436"/>
      <c r="AC923" s="1436"/>
      <c r="AD923" s="1436"/>
      <c r="AE923" s="1436"/>
      <c r="AF923" s="1436"/>
    </row>
    <row r="924" spans="1:32">
      <c r="A924" s="1436"/>
      <c r="B924" s="1436"/>
      <c r="C924" s="1436"/>
      <c r="D924" s="1436"/>
      <c r="E924" s="1436"/>
      <c r="F924" s="1436"/>
      <c r="G924" s="1436"/>
      <c r="H924" s="1436"/>
      <c r="I924" s="1436"/>
      <c r="J924" s="1436"/>
      <c r="K924" s="1436"/>
      <c r="L924" s="1436"/>
      <c r="M924" s="1436"/>
      <c r="N924" s="1436"/>
      <c r="O924" s="1436"/>
      <c r="P924" s="1436"/>
      <c r="Q924" s="1436"/>
      <c r="R924" s="1436"/>
      <c r="S924" s="1436"/>
      <c r="T924" s="1436"/>
      <c r="U924" s="1436"/>
      <c r="V924" s="1436"/>
      <c r="W924" s="1436"/>
      <c r="X924" s="1436"/>
      <c r="Y924" s="1436"/>
      <c r="Z924" s="1436"/>
      <c r="AA924" s="1436"/>
      <c r="AB924" s="1436"/>
      <c r="AC924" s="1436"/>
      <c r="AD924" s="1436"/>
      <c r="AE924" s="1436"/>
      <c r="AF924" s="1436"/>
    </row>
    <row r="925" spans="1:32">
      <c r="A925" s="1436"/>
      <c r="B925" s="1436"/>
      <c r="C925" s="1436"/>
      <c r="D925" s="1436"/>
      <c r="E925" s="1436"/>
      <c r="F925" s="1436"/>
      <c r="G925" s="1436"/>
      <c r="H925" s="1436"/>
      <c r="I925" s="1436"/>
      <c r="J925" s="1436"/>
      <c r="K925" s="1436"/>
      <c r="L925" s="1436"/>
      <c r="M925" s="1436"/>
      <c r="N925" s="1436"/>
      <c r="O925" s="1436"/>
      <c r="P925" s="1436"/>
      <c r="Q925" s="1436"/>
      <c r="R925" s="1436"/>
      <c r="S925" s="1436"/>
      <c r="T925" s="1436"/>
      <c r="U925" s="1436"/>
      <c r="V925" s="1436"/>
      <c r="W925" s="1436"/>
      <c r="X925" s="1436"/>
      <c r="Y925" s="1436"/>
      <c r="Z925" s="1436"/>
      <c r="AA925" s="1436"/>
      <c r="AB925" s="1436"/>
      <c r="AC925" s="1436"/>
      <c r="AD925" s="1436"/>
      <c r="AE925" s="1436"/>
      <c r="AF925" s="1436"/>
    </row>
    <row r="926" spans="1:32">
      <c r="A926" s="1436"/>
      <c r="B926" s="1436"/>
      <c r="C926" s="1436"/>
      <c r="D926" s="1436"/>
      <c r="E926" s="1436"/>
      <c r="F926" s="1436"/>
      <c r="G926" s="1436"/>
      <c r="H926" s="1436"/>
      <c r="I926" s="1436"/>
      <c r="J926" s="1436"/>
      <c r="K926" s="1436"/>
      <c r="L926" s="1436"/>
      <c r="M926" s="1436"/>
      <c r="N926" s="1436"/>
      <c r="O926" s="1436"/>
      <c r="P926" s="1436"/>
      <c r="Q926" s="1436"/>
      <c r="R926" s="1436"/>
      <c r="S926" s="1436"/>
      <c r="T926" s="1436"/>
      <c r="U926" s="1436"/>
      <c r="V926" s="1436"/>
      <c r="W926" s="1436"/>
      <c r="X926" s="1436"/>
      <c r="Y926" s="1436"/>
      <c r="Z926" s="1436"/>
      <c r="AA926" s="1436"/>
      <c r="AB926" s="1436"/>
      <c r="AC926" s="1436"/>
      <c r="AD926" s="1436"/>
      <c r="AE926" s="1436"/>
      <c r="AF926" s="1436"/>
    </row>
    <row r="927" spans="1:32">
      <c r="A927" s="1436"/>
      <c r="B927" s="1436"/>
      <c r="C927" s="1436"/>
      <c r="D927" s="1436"/>
      <c r="E927" s="1436"/>
      <c r="F927" s="1436"/>
      <c r="G927" s="1436"/>
      <c r="H927" s="1436"/>
      <c r="I927" s="1436"/>
      <c r="J927" s="1436"/>
      <c r="K927" s="1436"/>
      <c r="L927" s="1436"/>
      <c r="M927" s="1436"/>
      <c r="N927" s="1436"/>
      <c r="O927" s="1436"/>
      <c r="P927" s="1436"/>
      <c r="Q927" s="1436"/>
      <c r="R927" s="1436"/>
      <c r="S927" s="1436"/>
      <c r="T927" s="1436"/>
      <c r="U927" s="1436"/>
      <c r="V927" s="1436"/>
      <c r="W927" s="1436"/>
      <c r="X927" s="1436"/>
      <c r="Y927" s="1436"/>
      <c r="Z927" s="1436"/>
      <c r="AA927" s="1436"/>
      <c r="AB927" s="1436"/>
      <c r="AC927" s="1436"/>
      <c r="AD927" s="1436"/>
      <c r="AE927" s="1436"/>
      <c r="AF927" s="1436"/>
    </row>
    <row r="928" spans="1:32">
      <c r="A928" s="1436"/>
      <c r="B928" s="1436"/>
      <c r="C928" s="1436"/>
      <c r="D928" s="1436"/>
      <c r="E928" s="1436"/>
      <c r="F928" s="1436"/>
      <c r="G928" s="1436"/>
      <c r="H928" s="1436"/>
      <c r="I928" s="1436"/>
      <c r="J928" s="1436"/>
      <c r="K928" s="1436"/>
      <c r="L928" s="1436"/>
      <c r="M928" s="1436"/>
      <c r="N928" s="1436"/>
      <c r="O928" s="1436"/>
      <c r="P928" s="1436"/>
      <c r="Q928" s="1436"/>
      <c r="R928" s="1436"/>
      <c r="S928" s="1436"/>
      <c r="T928" s="1436"/>
      <c r="U928" s="1436"/>
      <c r="V928" s="1436"/>
      <c r="W928" s="1436"/>
      <c r="X928" s="1436"/>
      <c r="Y928" s="1436"/>
      <c r="Z928" s="1436"/>
      <c r="AA928" s="1436"/>
      <c r="AB928" s="1436"/>
      <c r="AC928" s="1436"/>
      <c r="AD928" s="1436"/>
      <c r="AE928" s="1436"/>
      <c r="AF928" s="1436"/>
    </row>
    <row r="929" spans="1:32">
      <c r="A929" s="1436"/>
      <c r="B929" s="1436"/>
      <c r="C929" s="1436"/>
      <c r="D929" s="1436"/>
      <c r="E929" s="1436"/>
      <c r="F929" s="1436"/>
      <c r="G929" s="1436"/>
      <c r="H929" s="1436"/>
      <c r="I929" s="1436"/>
      <c r="J929" s="1436"/>
      <c r="K929" s="1436"/>
      <c r="L929" s="1436"/>
      <c r="M929" s="1436"/>
      <c r="N929" s="1436"/>
      <c r="O929" s="1436"/>
      <c r="P929" s="1436"/>
      <c r="Q929" s="1436"/>
      <c r="R929" s="1436"/>
      <c r="S929" s="1436"/>
      <c r="T929" s="1436"/>
      <c r="U929" s="1436"/>
      <c r="V929" s="1436"/>
      <c r="W929" s="1436"/>
      <c r="X929" s="1436"/>
      <c r="Y929" s="1436"/>
      <c r="Z929" s="1436"/>
      <c r="AA929" s="1436"/>
      <c r="AB929" s="1436"/>
      <c r="AC929" s="1436"/>
      <c r="AD929" s="1436"/>
      <c r="AE929" s="1436"/>
      <c r="AF929" s="1436"/>
    </row>
    <row r="930" spans="1:32">
      <c r="A930" s="1436"/>
      <c r="B930" s="1436"/>
      <c r="C930" s="1436"/>
      <c r="D930" s="1436"/>
      <c r="E930" s="1436"/>
      <c r="F930" s="1436"/>
      <c r="G930" s="1436"/>
      <c r="H930" s="1436"/>
      <c r="I930" s="1436"/>
      <c r="J930" s="1436"/>
      <c r="K930" s="1436"/>
      <c r="L930" s="1436"/>
      <c r="M930" s="1436"/>
      <c r="N930" s="1436"/>
      <c r="O930" s="1436"/>
      <c r="P930" s="1436"/>
      <c r="Q930" s="1436"/>
      <c r="R930" s="1436"/>
      <c r="S930" s="1436"/>
      <c r="T930" s="1436"/>
      <c r="U930" s="1436"/>
      <c r="V930" s="1436"/>
      <c r="W930" s="1436"/>
      <c r="X930" s="1436"/>
      <c r="Y930" s="1436"/>
      <c r="Z930" s="1436"/>
      <c r="AA930" s="1436"/>
      <c r="AB930" s="1436"/>
      <c r="AC930" s="1436"/>
      <c r="AD930" s="1436"/>
      <c r="AE930" s="1436"/>
      <c r="AF930" s="1436"/>
    </row>
    <row r="931" spans="1:32">
      <c r="A931" s="1436"/>
      <c r="B931" s="1436"/>
      <c r="C931" s="1436"/>
      <c r="D931" s="1436"/>
      <c r="E931" s="1436"/>
      <c r="F931" s="1436"/>
      <c r="G931" s="1436"/>
      <c r="H931" s="1436"/>
      <c r="I931" s="1436"/>
      <c r="J931" s="1436"/>
      <c r="K931" s="1436"/>
      <c r="L931" s="1436"/>
      <c r="M931" s="1436"/>
      <c r="N931" s="1436"/>
      <c r="O931" s="1436"/>
      <c r="P931" s="1436"/>
      <c r="Q931" s="1436"/>
      <c r="R931" s="1436"/>
      <c r="S931" s="1436"/>
      <c r="T931" s="1436"/>
      <c r="U931" s="1436"/>
      <c r="V931" s="1436"/>
      <c r="W931" s="1436"/>
      <c r="X931" s="1436"/>
      <c r="Y931" s="1436"/>
      <c r="Z931" s="1436"/>
      <c r="AA931" s="1436"/>
      <c r="AB931" s="1436"/>
      <c r="AC931" s="1436"/>
      <c r="AD931" s="1436"/>
      <c r="AE931" s="1436"/>
      <c r="AF931" s="1436"/>
    </row>
    <row r="932" spans="1:32">
      <c r="A932" s="1436"/>
      <c r="B932" s="1436"/>
      <c r="C932" s="1436"/>
      <c r="D932" s="1436"/>
      <c r="E932" s="1436"/>
      <c r="F932" s="1436"/>
      <c r="G932" s="1436"/>
      <c r="H932" s="1436"/>
      <c r="I932" s="1436"/>
      <c r="J932" s="1436"/>
      <c r="K932" s="1436"/>
      <c r="L932" s="1436"/>
      <c r="M932" s="1436"/>
      <c r="N932" s="1436"/>
      <c r="O932" s="1436"/>
      <c r="P932" s="1436"/>
      <c r="Q932" s="1436"/>
      <c r="R932" s="1436"/>
      <c r="S932" s="1436"/>
      <c r="T932" s="1436"/>
      <c r="U932" s="1436"/>
      <c r="V932" s="1436"/>
      <c r="W932" s="1436"/>
      <c r="X932" s="1436"/>
      <c r="Y932" s="1436"/>
      <c r="Z932" s="1436"/>
      <c r="AA932" s="1436"/>
      <c r="AB932" s="1436"/>
      <c r="AC932" s="1436"/>
      <c r="AD932" s="1436"/>
      <c r="AE932" s="1436"/>
      <c r="AF932" s="1436"/>
    </row>
    <row r="933" spans="1:32">
      <c r="A933" s="1436"/>
      <c r="B933" s="1436"/>
      <c r="C933" s="1436"/>
      <c r="D933" s="1436"/>
      <c r="E933" s="1436"/>
      <c r="F933" s="1436"/>
      <c r="G933" s="1436"/>
      <c r="H933" s="1436"/>
      <c r="I933" s="1436"/>
      <c r="J933" s="1436"/>
      <c r="K933" s="1436"/>
      <c r="L933" s="1436"/>
      <c r="M933" s="1436"/>
      <c r="N933" s="1436"/>
      <c r="O933" s="1436"/>
      <c r="P933" s="1436"/>
      <c r="Q933" s="1436"/>
      <c r="R933" s="1436"/>
      <c r="S933" s="1436"/>
      <c r="T933" s="1436"/>
      <c r="U933" s="1436"/>
      <c r="V933" s="1436"/>
      <c r="W933" s="1436"/>
      <c r="X933" s="1436"/>
      <c r="Y933" s="1436"/>
      <c r="Z933" s="1436"/>
      <c r="AA933" s="1436"/>
      <c r="AB933" s="1436"/>
      <c r="AC933" s="1436"/>
      <c r="AD933" s="1436"/>
      <c r="AE933" s="1436"/>
      <c r="AF933" s="1436"/>
    </row>
    <row r="934" spans="1:32">
      <c r="A934" s="1436"/>
      <c r="B934" s="1436"/>
      <c r="C934" s="1436"/>
      <c r="D934" s="1436"/>
      <c r="E934" s="1436"/>
      <c r="F934" s="1436"/>
      <c r="G934" s="1436"/>
      <c r="H934" s="1436"/>
      <c r="I934" s="1436"/>
      <c r="J934" s="1436"/>
      <c r="K934" s="1436"/>
      <c r="L934" s="1436"/>
      <c r="M934" s="1436"/>
      <c r="N934" s="1436"/>
      <c r="O934" s="1436"/>
      <c r="P934" s="1436"/>
      <c r="Q934" s="1436"/>
      <c r="R934" s="1436"/>
      <c r="S934" s="1436"/>
      <c r="T934" s="1436"/>
      <c r="U934" s="1436"/>
      <c r="V934" s="1436"/>
      <c r="W934" s="1436"/>
      <c r="X934" s="1436"/>
      <c r="Y934" s="1436"/>
      <c r="Z934" s="1436"/>
      <c r="AA934" s="1436"/>
      <c r="AB934" s="1436"/>
      <c r="AC934" s="1436"/>
      <c r="AD934" s="1436"/>
      <c r="AE934" s="1436"/>
      <c r="AF934" s="1436"/>
    </row>
    <row r="935" spans="1:32">
      <c r="A935" s="1436"/>
      <c r="B935" s="1436"/>
      <c r="C935" s="1436"/>
      <c r="D935" s="1436"/>
      <c r="E935" s="1436"/>
      <c r="F935" s="1436"/>
      <c r="G935" s="1436"/>
      <c r="H935" s="1436"/>
      <c r="I935" s="1436"/>
      <c r="J935" s="1436"/>
      <c r="K935" s="1436"/>
      <c r="L935" s="1436"/>
      <c r="M935" s="1436"/>
      <c r="N935" s="1436"/>
      <c r="O935" s="1436"/>
      <c r="P935" s="1436"/>
      <c r="Q935" s="1436"/>
      <c r="R935" s="1436"/>
      <c r="S935" s="1436"/>
      <c r="T935" s="1436"/>
      <c r="U935" s="1436"/>
      <c r="V935" s="1436"/>
      <c r="W935" s="1436"/>
      <c r="X935" s="1436"/>
      <c r="Y935" s="1436"/>
      <c r="Z935" s="1436"/>
      <c r="AA935" s="1436"/>
      <c r="AB935" s="1436"/>
      <c r="AC935" s="1436"/>
      <c r="AD935" s="1436"/>
      <c r="AE935" s="1436"/>
      <c r="AF935" s="1436"/>
    </row>
    <row r="936" spans="1:32">
      <c r="A936" s="1436"/>
      <c r="B936" s="1436"/>
      <c r="C936" s="1436"/>
      <c r="D936" s="1436"/>
      <c r="E936" s="1436"/>
      <c r="F936" s="1436"/>
      <c r="G936" s="1436"/>
      <c r="H936" s="1436"/>
      <c r="I936" s="1436"/>
      <c r="J936" s="1436"/>
      <c r="K936" s="1436"/>
      <c r="L936" s="1436"/>
      <c r="M936" s="1436"/>
      <c r="N936" s="1436"/>
      <c r="O936" s="1436"/>
      <c r="P936" s="1436"/>
      <c r="Q936" s="1436"/>
      <c r="R936" s="1436"/>
      <c r="S936" s="1436"/>
      <c r="T936" s="1436"/>
      <c r="U936" s="1436"/>
      <c r="V936" s="1436"/>
      <c r="W936" s="1436"/>
      <c r="X936" s="1436"/>
      <c r="Y936" s="1436"/>
      <c r="Z936" s="1436"/>
      <c r="AA936" s="1436"/>
      <c r="AB936" s="1436"/>
      <c r="AC936" s="1436"/>
      <c r="AD936" s="1436"/>
      <c r="AE936" s="1436"/>
      <c r="AF936" s="1436"/>
    </row>
    <row r="937" spans="1:32">
      <c r="A937" s="1436"/>
      <c r="B937" s="1436"/>
      <c r="C937" s="1436"/>
      <c r="D937" s="1436"/>
      <c r="E937" s="1436"/>
      <c r="F937" s="1436"/>
      <c r="G937" s="1436"/>
      <c r="H937" s="1436"/>
      <c r="I937" s="1436"/>
      <c r="J937" s="1436"/>
      <c r="K937" s="1436"/>
      <c r="L937" s="1436"/>
      <c r="M937" s="1436"/>
      <c r="N937" s="1436"/>
      <c r="O937" s="1436"/>
      <c r="P937" s="1436"/>
      <c r="Q937" s="1436"/>
      <c r="R937" s="1436"/>
      <c r="S937" s="1436"/>
      <c r="T937" s="1436"/>
      <c r="U937" s="1436"/>
      <c r="V937" s="1436"/>
      <c r="W937" s="1436"/>
      <c r="X937" s="1436"/>
      <c r="Y937" s="1436"/>
      <c r="Z937" s="1436"/>
      <c r="AA937" s="1436"/>
      <c r="AB937" s="1436"/>
      <c r="AC937" s="1436"/>
      <c r="AD937" s="1436"/>
      <c r="AE937" s="1436"/>
      <c r="AF937" s="1436"/>
    </row>
    <row r="938" spans="1:32">
      <c r="A938" s="1436"/>
      <c r="B938" s="1436"/>
      <c r="C938" s="1436"/>
      <c r="D938" s="1436"/>
      <c r="E938" s="1436"/>
      <c r="F938" s="1436"/>
      <c r="G938" s="1436"/>
      <c r="H938" s="1436"/>
      <c r="I938" s="1436"/>
      <c r="J938" s="1436"/>
      <c r="K938" s="1436"/>
      <c r="L938" s="1436"/>
      <c r="M938" s="1436"/>
      <c r="N938" s="1436"/>
      <c r="O938" s="1436"/>
      <c r="P938" s="1436"/>
      <c r="Q938" s="1436"/>
      <c r="R938" s="1436"/>
      <c r="S938" s="1436"/>
      <c r="T938" s="1436"/>
      <c r="U938" s="1436"/>
      <c r="V938" s="1436"/>
      <c r="W938" s="1436"/>
      <c r="X938" s="1436"/>
      <c r="Y938" s="1436"/>
      <c r="Z938" s="1436"/>
      <c r="AA938" s="1436"/>
      <c r="AB938" s="1436"/>
      <c r="AC938" s="1436"/>
      <c r="AD938" s="1436"/>
      <c r="AE938" s="1436"/>
      <c r="AF938" s="1436"/>
    </row>
    <row r="939" spans="1:32">
      <c r="A939" s="1436"/>
      <c r="B939" s="1436"/>
      <c r="C939" s="1436"/>
      <c r="D939" s="1436"/>
      <c r="E939" s="1436"/>
      <c r="F939" s="1436"/>
      <c r="G939" s="1436"/>
      <c r="H939" s="1436"/>
      <c r="I939" s="1436"/>
      <c r="J939" s="1436"/>
      <c r="K939" s="1436"/>
      <c r="L939" s="1436"/>
      <c r="M939" s="1436"/>
      <c r="N939" s="1436"/>
      <c r="O939" s="1436"/>
      <c r="P939" s="1436"/>
      <c r="Q939" s="1436"/>
      <c r="R939" s="1436"/>
      <c r="S939" s="1436"/>
      <c r="T939" s="1436"/>
      <c r="U939" s="1436"/>
      <c r="V939" s="1436"/>
      <c r="W939" s="1436"/>
      <c r="X939" s="1436"/>
      <c r="Y939" s="1436"/>
      <c r="Z939" s="1436"/>
      <c r="AA939" s="1436"/>
      <c r="AB939" s="1436"/>
      <c r="AC939" s="1436"/>
      <c r="AD939" s="1436"/>
      <c r="AE939" s="1436"/>
      <c r="AF939" s="1436"/>
    </row>
    <row r="940" spans="1:32">
      <c r="A940" s="1436"/>
      <c r="B940" s="1436"/>
      <c r="C940" s="1436"/>
      <c r="D940" s="1436"/>
      <c r="E940" s="1436"/>
      <c r="F940" s="1436"/>
      <c r="G940" s="1436"/>
      <c r="H940" s="1436"/>
      <c r="I940" s="1436"/>
      <c r="J940" s="1436"/>
      <c r="K940" s="1436"/>
      <c r="L940" s="1436"/>
      <c r="M940" s="1436"/>
      <c r="N940" s="1436"/>
      <c r="O940" s="1436"/>
      <c r="P940" s="1436"/>
      <c r="Q940" s="1436"/>
      <c r="R940" s="1436"/>
      <c r="S940" s="1436"/>
      <c r="T940" s="1436"/>
      <c r="U940" s="1436"/>
      <c r="V940" s="1436"/>
      <c r="W940" s="1436"/>
      <c r="X940" s="1436"/>
      <c r="Y940" s="1436"/>
      <c r="Z940" s="1436"/>
      <c r="AA940" s="1436"/>
      <c r="AB940" s="1436"/>
      <c r="AC940" s="1436"/>
      <c r="AD940" s="1436"/>
      <c r="AE940" s="1436"/>
      <c r="AF940" s="1436"/>
    </row>
    <row r="941" spans="1:32">
      <c r="A941" s="1436"/>
      <c r="B941" s="1436"/>
      <c r="C941" s="1436"/>
      <c r="D941" s="1436"/>
      <c r="E941" s="1436"/>
      <c r="F941" s="1436"/>
      <c r="G941" s="1436"/>
      <c r="H941" s="1436"/>
      <c r="I941" s="1436"/>
      <c r="J941" s="1436"/>
      <c r="K941" s="1436"/>
      <c r="L941" s="1436"/>
      <c r="M941" s="1436"/>
      <c r="N941" s="1436"/>
      <c r="O941" s="1436"/>
      <c r="P941" s="1436"/>
      <c r="Q941" s="1436"/>
      <c r="R941" s="1436"/>
      <c r="S941" s="1436"/>
      <c r="T941" s="1436"/>
      <c r="U941" s="1436"/>
      <c r="V941" s="1436"/>
      <c r="W941" s="1436"/>
      <c r="X941" s="1436"/>
      <c r="Y941" s="1436"/>
      <c r="Z941" s="1436"/>
      <c r="AA941" s="1436"/>
      <c r="AB941" s="1436"/>
      <c r="AC941" s="1436"/>
      <c r="AD941" s="1436"/>
      <c r="AE941" s="1436"/>
      <c r="AF941" s="1436"/>
    </row>
    <row r="942" spans="1:32">
      <c r="A942" s="1436"/>
      <c r="B942" s="1436"/>
      <c r="C942" s="1436"/>
      <c r="D942" s="1436"/>
      <c r="E942" s="1436"/>
      <c r="F942" s="1436"/>
      <c r="G942" s="1436"/>
      <c r="H942" s="1436"/>
      <c r="I942" s="1436"/>
      <c r="J942" s="1436"/>
      <c r="K942" s="1436"/>
      <c r="L942" s="1436"/>
      <c r="M942" s="1436"/>
      <c r="N942" s="1436"/>
      <c r="O942" s="1436"/>
      <c r="P942" s="1436"/>
      <c r="Q942" s="1436"/>
      <c r="R942" s="1436"/>
      <c r="S942" s="1436"/>
      <c r="T942" s="1436"/>
      <c r="U942" s="1436"/>
      <c r="V942" s="1436"/>
      <c r="W942" s="1436"/>
      <c r="X942" s="1436"/>
      <c r="Y942" s="1436"/>
      <c r="Z942" s="1436"/>
      <c r="AA942" s="1436"/>
      <c r="AB942" s="1436"/>
      <c r="AC942" s="1436"/>
      <c r="AD942" s="1436"/>
      <c r="AE942" s="1436"/>
      <c r="AF942" s="1436"/>
    </row>
    <row r="943" spans="1:32">
      <c r="A943" s="1436"/>
      <c r="B943" s="1436"/>
      <c r="C943" s="1436"/>
      <c r="D943" s="1436"/>
      <c r="E943" s="1436"/>
      <c r="F943" s="1436"/>
      <c r="G943" s="1436"/>
      <c r="H943" s="1436"/>
      <c r="I943" s="1436"/>
      <c r="J943" s="1436"/>
      <c r="K943" s="1436"/>
      <c r="L943" s="1436"/>
      <c r="M943" s="1436"/>
      <c r="N943" s="1436"/>
      <c r="O943" s="1436"/>
      <c r="P943" s="1436"/>
      <c r="Q943" s="1436"/>
      <c r="R943" s="1436"/>
      <c r="S943" s="1436"/>
      <c r="T943" s="1436"/>
      <c r="U943" s="1436"/>
      <c r="V943" s="1436"/>
      <c r="W943" s="1436"/>
      <c r="X943" s="1436"/>
      <c r="Y943" s="1436"/>
      <c r="Z943" s="1436"/>
      <c r="AA943" s="1436"/>
      <c r="AB943" s="1436"/>
      <c r="AC943" s="1436"/>
      <c r="AD943" s="1436"/>
      <c r="AE943" s="1436"/>
      <c r="AF943" s="1436"/>
    </row>
    <row r="944" spans="1:32">
      <c r="A944" s="1436"/>
      <c r="B944" s="1436"/>
      <c r="C944" s="1436"/>
      <c r="D944" s="1436"/>
      <c r="E944" s="1436"/>
      <c r="F944" s="1436"/>
      <c r="G944" s="1436"/>
      <c r="H944" s="1436"/>
      <c r="I944" s="1436"/>
      <c r="J944" s="1436"/>
      <c r="K944" s="1436"/>
      <c r="L944" s="1436"/>
      <c r="M944" s="1436"/>
      <c r="N944" s="1436"/>
      <c r="O944" s="1436"/>
      <c r="P944" s="1436"/>
      <c r="Q944" s="1436"/>
      <c r="R944" s="1436"/>
      <c r="S944" s="1436"/>
      <c r="T944" s="1436"/>
      <c r="U944" s="1436"/>
      <c r="V944" s="1436"/>
      <c r="W944" s="1436"/>
      <c r="X944" s="1436"/>
      <c r="Y944" s="1436"/>
      <c r="Z944" s="1436"/>
      <c r="AA944" s="1436"/>
      <c r="AB944" s="1436"/>
      <c r="AC944" s="1436"/>
      <c r="AD944" s="1436"/>
      <c r="AE944" s="1436"/>
      <c r="AF944" s="1436"/>
    </row>
    <row r="945" spans="1:32">
      <c r="A945" s="1436"/>
      <c r="B945" s="1436"/>
      <c r="C945" s="1436"/>
      <c r="D945" s="1436"/>
      <c r="E945" s="1436"/>
      <c r="F945" s="1436"/>
      <c r="G945" s="1436"/>
      <c r="H945" s="1436"/>
      <c r="I945" s="1436"/>
      <c r="J945" s="1436"/>
      <c r="K945" s="1436"/>
      <c r="L945" s="1436"/>
      <c r="M945" s="1436"/>
      <c r="N945" s="1436"/>
      <c r="O945" s="1436"/>
      <c r="P945" s="1436"/>
      <c r="Q945" s="1436"/>
      <c r="R945" s="1436"/>
      <c r="S945" s="1436"/>
      <c r="T945" s="1436"/>
      <c r="U945" s="1436"/>
      <c r="V945" s="1436"/>
      <c r="W945" s="1436"/>
      <c r="X945" s="1436"/>
      <c r="Y945" s="1436"/>
      <c r="Z945" s="1436"/>
      <c r="AA945" s="1436"/>
      <c r="AB945" s="1436"/>
      <c r="AC945" s="1436"/>
      <c r="AD945" s="1436"/>
      <c r="AE945" s="1436"/>
      <c r="AF945" s="1436"/>
    </row>
    <row r="946" spans="1:32">
      <c r="A946" s="1436"/>
      <c r="B946" s="1436"/>
      <c r="C946" s="1436"/>
      <c r="D946" s="1436"/>
      <c r="E946" s="1436"/>
      <c r="F946" s="1436"/>
      <c r="G946" s="1436"/>
      <c r="H946" s="1436"/>
      <c r="I946" s="1436"/>
      <c r="J946" s="1436"/>
      <c r="K946" s="1436"/>
      <c r="L946" s="1436"/>
      <c r="M946" s="1436"/>
      <c r="N946" s="1436"/>
      <c r="O946" s="1436"/>
      <c r="P946" s="1436"/>
      <c r="Q946" s="1436"/>
      <c r="R946" s="1436"/>
      <c r="S946" s="1436"/>
      <c r="T946" s="1436"/>
      <c r="U946" s="1436"/>
      <c r="V946" s="1436"/>
      <c r="W946" s="1436"/>
      <c r="X946" s="1436"/>
      <c r="Y946" s="1436"/>
      <c r="Z946" s="1436"/>
      <c r="AA946" s="1436"/>
      <c r="AB946" s="1436"/>
      <c r="AC946" s="1436"/>
      <c r="AD946" s="1436"/>
      <c r="AE946" s="1436"/>
      <c r="AF946" s="1436"/>
    </row>
    <row r="947" spans="1:32">
      <c r="A947" s="1436"/>
      <c r="B947" s="1436"/>
      <c r="C947" s="1436"/>
      <c r="D947" s="1436"/>
      <c r="E947" s="1436"/>
      <c r="F947" s="1436"/>
      <c r="G947" s="1436"/>
      <c r="H947" s="1436"/>
      <c r="I947" s="1436"/>
      <c r="J947" s="1436"/>
      <c r="K947" s="1436"/>
      <c r="L947" s="1436"/>
      <c r="M947" s="1436"/>
      <c r="N947" s="1436"/>
      <c r="O947" s="1436"/>
      <c r="P947" s="1436"/>
      <c r="Q947" s="1436"/>
      <c r="R947" s="1436"/>
      <c r="S947" s="1436"/>
      <c r="T947" s="1436"/>
      <c r="U947" s="1436"/>
      <c r="V947" s="1436"/>
      <c r="W947" s="1436"/>
      <c r="X947" s="1436"/>
      <c r="Y947" s="1436"/>
      <c r="Z947" s="1436"/>
      <c r="AA947" s="1436"/>
      <c r="AB947" s="1436"/>
      <c r="AC947" s="1436"/>
      <c r="AD947" s="1436"/>
      <c r="AE947" s="1436"/>
      <c r="AF947" s="1436"/>
    </row>
    <row r="948" spans="1:32">
      <c r="A948" s="1436"/>
      <c r="B948" s="1436"/>
      <c r="C948" s="1436"/>
      <c r="D948" s="1436"/>
      <c r="E948" s="1436"/>
      <c r="F948" s="1436"/>
      <c r="G948" s="1436"/>
      <c r="H948" s="1436"/>
      <c r="I948" s="1436"/>
      <c r="J948" s="1436"/>
      <c r="K948" s="1436"/>
      <c r="L948" s="1436"/>
      <c r="M948" s="1436"/>
      <c r="N948" s="1436"/>
      <c r="O948" s="1436"/>
      <c r="P948" s="1436"/>
      <c r="Q948" s="1436"/>
      <c r="R948" s="1436"/>
      <c r="S948" s="1436"/>
      <c r="T948" s="1436"/>
      <c r="U948" s="1436"/>
      <c r="V948" s="1436"/>
      <c r="W948" s="1436"/>
      <c r="X948" s="1436"/>
      <c r="Y948" s="1436"/>
      <c r="Z948" s="1436"/>
      <c r="AA948" s="1436"/>
      <c r="AB948" s="1436"/>
      <c r="AC948" s="1436"/>
      <c r="AD948" s="1436"/>
      <c r="AE948" s="1436"/>
      <c r="AF948" s="1436"/>
    </row>
    <row r="949" spans="1:32">
      <c r="A949" s="1436"/>
      <c r="B949" s="1436"/>
      <c r="C949" s="1436"/>
      <c r="D949" s="1436"/>
      <c r="E949" s="1436"/>
      <c r="F949" s="1436"/>
      <c r="G949" s="1436"/>
      <c r="H949" s="1436"/>
      <c r="I949" s="1436"/>
      <c r="J949" s="1436"/>
      <c r="K949" s="1436"/>
      <c r="L949" s="1436"/>
      <c r="M949" s="1436"/>
      <c r="N949" s="1436"/>
      <c r="O949" s="1436"/>
      <c r="P949" s="1436"/>
      <c r="Q949" s="1436"/>
      <c r="R949" s="1436"/>
      <c r="S949" s="1436"/>
      <c r="T949" s="1436"/>
      <c r="U949" s="1436"/>
      <c r="V949" s="1436"/>
      <c r="W949" s="1436"/>
      <c r="X949" s="1436"/>
      <c r="Y949" s="1436"/>
      <c r="Z949" s="1436"/>
      <c r="AA949" s="1436"/>
      <c r="AB949" s="1436"/>
      <c r="AC949" s="1436"/>
      <c r="AD949" s="1436"/>
      <c r="AE949" s="1436"/>
      <c r="AF949" s="1436"/>
    </row>
    <row r="950" spans="1:32">
      <c r="A950" s="1436"/>
      <c r="B950" s="1436"/>
      <c r="C950" s="1436"/>
      <c r="D950" s="1436"/>
      <c r="E950" s="1436"/>
      <c r="F950" s="1436"/>
      <c r="G950" s="1436"/>
      <c r="H950" s="1436"/>
      <c r="I950" s="1436"/>
      <c r="J950" s="1436"/>
      <c r="K950" s="1436"/>
      <c r="L950" s="1436"/>
      <c r="M950" s="1436"/>
      <c r="N950" s="1436"/>
      <c r="O950" s="1436"/>
      <c r="P950" s="1436"/>
      <c r="Q950" s="1436"/>
      <c r="R950" s="1436"/>
      <c r="S950" s="1436"/>
      <c r="T950" s="1436"/>
      <c r="U950" s="1436"/>
      <c r="V950" s="1436"/>
      <c r="W950" s="1436"/>
      <c r="X950" s="1436"/>
      <c r="Y950" s="1436"/>
      <c r="Z950" s="1436"/>
      <c r="AA950" s="1436"/>
      <c r="AB950" s="1436"/>
      <c r="AC950" s="1436"/>
      <c r="AD950" s="1436"/>
      <c r="AE950" s="1436"/>
      <c r="AF950" s="1436"/>
    </row>
    <row r="951" spans="1:32">
      <c r="A951" s="1436"/>
      <c r="B951" s="1436"/>
      <c r="C951" s="1436"/>
      <c r="D951" s="1436"/>
      <c r="E951" s="1436"/>
      <c r="F951" s="1436"/>
      <c r="G951" s="1436"/>
      <c r="H951" s="1436"/>
      <c r="I951" s="1436"/>
      <c r="J951" s="1436"/>
      <c r="K951" s="1436"/>
      <c r="L951" s="1436"/>
      <c r="M951" s="1436"/>
      <c r="N951" s="1436"/>
      <c r="O951" s="1436"/>
      <c r="P951" s="1436"/>
      <c r="Q951" s="1436"/>
      <c r="R951" s="1436"/>
      <c r="S951" s="1436"/>
      <c r="T951" s="1436"/>
      <c r="U951" s="1436"/>
      <c r="V951" s="1436"/>
      <c r="W951" s="1436"/>
      <c r="X951" s="1436"/>
      <c r="Y951" s="1436"/>
      <c r="Z951" s="1436"/>
      <c r="AA951" s="1436"/>
      <c r="AB951" s="1436"/>
      <c r="AC951" s="1436"/>
      <c r="AD951" s="1436"/>
      <c r="AE951" s="1436"/>
      <c r="AF951" s="1436"/>
    </row>
    <row r="952" spans="1:32">
      <c r="A952" s="1436"/>
      <c r="B952" s="1436"/>
      <c r="C952" s="1436"/>
      <c r="D952" s="1436"/>
      <c r="E952" s="1436"/>
      <c r="F952" s="1436"/>
      <c r="G952" s="1436"/>
      <c r="H952" s="1436"/>
      <c r="I952" s="1436"/>
      <c r="J952" s="1436"/>
      <c r="K952" s="1436"/>
      <c r="L952" s="1436"/>
      <c r="M952" s="1436"/>
      <c r="N952" s="1436"/>
      <c r="O952" s="1436"/>
      <c r="P952" s="1436"/>
      <c r="Q952" s="1436"/>
      <c r="R952" s="1436"/>
      <c r="S952" s="1436"/>
      <c r="T952" s="1436"/>
      <c r="U952" s="1436"/>
      <c r="V952" s="1436"/>
      <c r="W952" s="1436"/>
      <c r="X952" s="1436"/>
      <c r="Y952" s="1436"/>
      <c r="Z952" s="1436"/>
      <c r="AA952" s="1436"/>
      <c r="AB952" s="1436"/>
      <c r="AC952" s="1436"/>
      <c r="AD952" s="1436"/>
      <c r="AE952" s="1436"/>
      <c r="AF952" s="1436"/>
    </row>
    <row r="953" spans="1:32">
      <c r="A953" s="1436"/>
      <c r="B953" s="1436"/>
      <c r="C953" s="1436"/>
      <c r="D953" s="1436"/>
      <c r="E953" s="1436"/>
      <c r="F953" s="1436"/>
      <c r="G953" s="1436"/>
      <c r="H953" s="1436"/>
      <c r="I953" s="1436"/>
      <c r="J953" s="1436"/>
      <c r="K953" s="1436"/>
      <c r="L953" s="1436"/>
      <c r="M953" s="1436"/>
      <c r="N953" s="1436"/>
      <c r="O953" s="1436"/>
      <c r="P953" s="1436"/>
      <c r="Q953" s="1436"/>
      <c r="R953" s="1436"/>
      <c r="S953" s="1436"/>
      <c r="T953" s="1436"/>
      <c r="U953" s="1436"/>
      <c r="V953" s="1436"/>
      <c r="W953" s="1436"/>
      <c r="X953" s="1436"/>
      <c r="Y953" s="1436"/>
      <c r="Z953" s="1436"/>
      <c r="AA953" s="1436"/>
      <c r="AB953" s="1436"/>
      <c r="AC953" s="1436"/>
      <c r="AD953" s="1436"/>
      <c r="AE953" s="1436"/>
      <c r="AF953" s="1436"/>
    </row>
    <row r="954" spans="1:32">
      <c r="A954" s="1436"/>
      <c r="B954" s="1436"/>
      <c r="C954" s="1436"/>
      <c r="D954" s="1436"/>
      <c r="E954" s="1436"/>
      <c r="F954" s="1436"/>
      <c r="G954" s="1436"/>
      <c r="H954" s="1436"/>
      <c r="I954" s="1436"/>
      <c r="J954" s="1436"/>
      <c r="K954" s="1436"/>
      <c r="L954" s="1436"/>
      <c r="M954" s="1436"/>
      <c r="N954" s="1436"/>
      <c r="O954" s="1436"/>
      <c r="P954" s="1436"/>
      <c r="Q954" s="1436"/>
      <c r="R954" s="1436"/>
      <c r="S954" s="1436"/>
      <c r="T954" s="1436"/>
      <c r="U954" s="1436"/>
      <c r="V954" s="1436"/>
      <c r="W954" s="1436"/>
      <c r="X954" s="1436"/>
      <c r="Y954" s="1436"/>
      <c r="Z954" s="1436"/>
      <c r="AA954" s="1436"/>
      <c r="AB954" s="1436"/>
      <c r="AC954" s="1436"/>
      <c r="AD954" s="1436"/>
      <c r="AE954" s="1436"/>
      <c r="AF954" s="1436"/>
    </row>
    <row r="955" spans="1:32">
      <c r="A955" s="1436"/>
      <c r="B955" s="1436"/>
      <c r="C955" s="1436"/>
      <c r="D955" s="1436"/>
      <c r="E955" s="1436"/>
      <c r="F955" s="1436"/>
      <c r="G955" s="1436"/>
      <c r="H955" s="1436"/>
      <c r="I955" s="1436"/>
      <c r="J955" s="1436"/>
      <c r="K955" s="1436"/>
      <c r="L955" s="1436"/>
      <c r="M955" s="1436"/>
      <c r="N955" s="1436"/>
      <c r="O955" s="1436"/>
      <c r="P955" s="1436"/>
      <c r="Q955" s="1436"/>
      <c r="R955" s="1436"/>
      <c r="S955" s="1436"/>
      <c r="T955" s="1436"/>
      <c r="U955" s="1436"/>
      <c r="V955" s="1436"/>
      <c r="W955" s="1436"/>
      <c r="X955" s="1436"/>
      <c r="Y955" s="1436"/>
      <c r="Z955" s="1436"/>
      <c r="AA955" s="1436"/>
      <c r="AB955" s="1436"/>
      <c r="AC955" s="1436"/>
      <c r="AD955" s="1436"/>
      <c r="AE955" s="1436"/>
      <c r="AF955" s="1436"/>
    </row>
    <row r="956" spans="1:32">
      <c r="A956" s="1436"/>
      <c r="B956" s="1436"/>
      <c r="C956" s="1436"/>
      <c r="D956" s="1436"/>
      <c r="E956" s="1436"/>
      <c r="F956" s="1436"/>
      <c r="G956" s="1436"/>
      <c r="H956" s="1436"/>
      <c r="I956" s="1436"/>
      <c r="J956" s="1436"/>
      <c r="K956" s="1436"/>
      <c r="L956" s="1436"/>
      <c r="M956" s="1436"/>
      <c r="N956" s="1436"/>
      <c r="O956" s="1436"/>
      <c r="P956" s="1436"/>
      <c r="Q956" s="1436"/>
      <c r="R956" s="1436"/>
      <c r="S956" s="1436"/>
      <c r="T956" s="1436"/>
      <c r="U956" s="1436"/>
      <c r="V956" s="1436"/>
      <c r="W956" s="1436"/>
      <c r="X956" s="1436"/>
      <c r="Y956" s="1436"/>
      <c r="Z956" s="1436"/>
      <c r="AA956" s="1436"/>
      <c r="AB956" s="1436"/>
      <c r="AC956" s="1436"/>
      <c r="AD956" s="1436"/>
      <c r="AE956" s="1436"/>
      <c r="AF956" s="1436"/>
    </row>
    <row r="957" spans="1:32">
      <c r="A957" s="1436"/>
      <c r="B957" s="1436"/>
      <c r="C957" s="1436"/>
      <c r="D957" s="1436"/>
      <c r="E957" s="1436"/>
      <c r="F957" s="1436"/>
      <c r="G957" s="1436"/>
      <c r="H957" s="1436"/>
      <c r="I957" s="1436"/>
      <c r="J957" s="1436"/>
      <c r="K957" s="1436"/>
      <c r="L957" s="1436"/>
      <c r="M957" s="1436"/>
      <c r="N957" s="1436"/>
      <c r="O957" s="1436"/>
      <c r="P957" s="1436"/>
      <c r="Q957" s="1436"/>
      <c r="R957" s="1436"/>
      <c r="S957" s="1436"/>
      <c r="T957" s="1436"/>
      <c r="U957" s="1436"/>
      <c r="V957" s="1436"/>
      <c r="W957" s="1436"/>
      <c r="X957" s="1436"/>
      <c r="Y957" s="1436"/>
      <c r="Z957" s="1436"/>
      <c r="AA957" s="1436"/>
      <c r="AB957" s="1436"/>
      <c r="AC957" s="1436"/>
      <c r="AD957" s="1436"/>
      <c r="AE957" s="1436"/>
      <c r="AF957" s="1436"/>
    </row>
    <row r="958" spans="1:32">
      <c r="A958" s="1436"/>
      <c r="B958" s="1436"/>
      <c r="C958" s="1436"/>
      <c r="D958" s="1436"/>
      <c r="E958" s="1436"/>
      <c r="F958" s="1436"/>
      <c r="G958" s="1436"/>
      <c r="H958" s="1436"/>
      <c r="I958" s="1436"/>
      <c r="J958" s="1436"/>
      <c r="K958" s="1436"/>
      <c r="L958" s="1436"/>
      <c r="M958" s="1436"/>
      <c r="N958" s="1436"/>
      <c r="O958" s="1436"/>
      <c r="P958" s="1436"/>
      <c r="Q958" s="1436"/>
      <c r="R958" s="1436"/>
      <c r="S958" s="1436"/>
      <c r="T958" s="1436"/>
      <c r="U958" s="1436"/>
      <c r="V958" s="1436"/>
      <c r="W958" s="1436"/>
      <c r="X958" s="1436"/>
      <c r="Y958" s="1436"/>
      <c r="Z958" s="1436"/>
      <c r="AA958" s="1436"/>
      <c r="AB958" s="1436"/>
      <c r="AC958" s="1436"/>
      <c r="AD958" s="1436"/>
      <c r="AE958" s="1436"/>
      <c r="AF958" s="1436"/>
    </row>
    <row r="959" spans="1:32">
      <c r="A959" s="1436"/>
      <c r="B959" s="1436"/>
      <c r="C959" s="1436"/>
      <c r="D959" s="1436"/>
      <c r="E959" s="1436"/>
      <c r="F959" s="1436"/>
      <c r="G959" s="1436"/>
      <c r="H959" s="1436"/>
      <c r="I959" s="1436"/>
      <c r="J959" s="1436"/>
      <c r="K959" s="1436"/>
      <c r="L959" s="1436"/>
      <c r="M959" s="1436"/>
      <c r="N959" s="1436"/>
      <c r="O959" s="1436"/>
      <c r="P959" s="1436"/>
      <c r="Q959" s="1436"/>
      <c r="R959" s="1436"/>
      <c r="S959" s="1436"/>
      <c r="T959" s="1436"/>
      <c r="U959" s="1436"/>
      <c r="V959" s="1436"/>
      <c r="W959" s="1436"/>
      <c r="X959" s="1436"/>
      <c r="Y959" s="1436"/>
      <c r="Z959" s="1436"/>
      <c r="AA959" s="1436"/>
      <c r="AB959" s="1436"/>
      <c r="AC959" s="1436"/>
      <c r="AD959" s="1436"/>
      <c r="AE959" s="1436"/>
      <c r="AF959" s="1436"/>
    </row>
    <row r="960" spans="1:32">
      <c r="A960" s="1436"/>
      <c r="B960" s="1436"/>
      <c r="C960" s="1436"/>
      <c r="D960" s="1436"/>
      <c r="E960" s="1436"/>
      <c r="F960" s="1436"/>
      <c r="G960" s="1436"/>
      <c r="H960" s="1436"/>
      <c r="I960" s="1436"/>
      <c r="J960" s="1436"/>
      <c r="K960" s="1436"/>
      <c r="L960" s="1436"/>
      <c r="M960" s="1436"/>
      <c r="N960" s="1436"/>
      <c r="O960" s="1436"/>
      <c r="P960" s="1436"/>
      <c r="Q960" s="1436"/>
      <c r="R960" s="1436"/>
      <c r="S960" s="1436"/>
      <c r="T960" s="1436"/>
      <c r="U960" s="1436"/>
      <c r="V960" s="1436"/>
      <c r="W960" s="1436"/>
      <c r="X960" s="1436"/>
      <c r="Y960" s="1436"/>
      <c r="Z960" s="1436"/>
      <c r="AA960" s="1436"/>
      <c r="AB960" s="1436"/>
      <c r="AC960" s="1436"/>
      <c r="AD960" s="1436"/>
      <c r="AE960" s="1436"/>
      <c r="AF960" s="1436"/>
    </row>
    <row r="961" spans="1:32">
      <c r="A961" s="1436"/>
      <c r="B961" s="1436"/>
      <c r="C961" s="1436"/>
      <c r="D961" s="1436"/>
      <c r="E961" s="1436"/>
      <c r="F961" s="1436"/>
      <c r="G961" s="1436"/>
      <c r="H961" s="1436"/>
      <c r="I961" s="1436"/>
      <c r="J961" s="1436"/>
      <c r="K961" s="1436"/>
      <c r="L961" s="1436"/>
      <c r="M961" s="1436"/>
      <c r="N961" s="1436"/>
      <c r="O961" s="1436"/>
      <c r="P961" s="1436"/>
      <c r="Q961" s="1436"/>
      <c r="R961" s="1436"/>
      <c r="S961" s="1436"/>
      <c r="T961" s="1436"/>
      <c r="U961" s="1436"/>
      <c r="V961" s="1436"/>
      <c r="W961" s="1436"/>
      <c r="X961" s="1436"/>
      <c r="Y961" s="1436"/>
      <c r="Z961" s="1436"/>
      <c r="AA961" s="1436"/>
      <c r="AB961" s="1436"/>
      <c r="AC961" s="1436"/>
      <c r="AD961" s="1436"/>
      <c r="AE961" s="1436"/>
      <c r="AF961" s="1436"/>
    </row>
    <row r="962" spans="1:32">
      <c r="A962" s="1436"/>
      <c r="B962" s="1436"/>
      <c r="C962" s="1436"/>
      <c r="D962" s="1436"/>
      <c r="E962" s="1436"/>
      <c r="F962" s="1436"/>
      <c r="G962" s="1436"/>
      <c r="H962" s="1436"/>
      <c r="I962" s="1436"/>
      <c r="J962" s="1436"/>
      <c r="K962" s="1436"/>
      <c r="L962" s="1436"/>
      <c r="M962" s="1436"/>
      <c r="N962" s="1436"/>
      <c r="O962" s="1436"/>
      <c r="P962" s="1436"/>
      <c r="Q962" s="1436"/>
      <c r="R962" s="1436"/>
      <c r="S962" s="1436"/>
      <c r="T962" s="1436"/>
      <c r="U962" s="1436"/>
      <c r="V962" s="1436"/>
      <c r="W962" s="1436"/>
      <c r="X962" s="1436"/>
      <c r="Y962" s="1436"/>
      <c r="Z962" s="1436"/>
      <c r="AA962" s="1436"/>
      <c r="AB962" s="1436"/>
      <c r="AC962" s="1436"/>
      <c r="AD962" s="1436"/>
      <c r="AE962" s="1436"/>
      <c r="AF962" s="1436"/>
    </row>
    <row r="963" spans="1:32">
      <c r="A963" s="1436"/>
      <c r="B963" s="1436"/>
      <c r="C963" s="1436"/>
      <c r="D963" s="1436"/>
      <c r="E963" s="1436"/>
      <c r="F963" s="1436"/>
      <c r="G963" s="1436"/>
      <c r="H963" s="1436"/>
      <c r="I963" s="1436"/>
      <c r="J963" s="1436"/>
      <c r="K963" s="1436"/>
      <c r="L963" s="1436"/>
      <c r="M963" s="1436"/>
      <c r="N963" s="1436"/>
      <c r="O963" s="1436"/>
      <c r="P963" s="1436"/>
      <c r="Q963" s="1436"/>
      <c r="R963" s="1436"/>
      <c r="S963" s="1436"/>
      <c r="T963" s="1436"/>
      <c r="U963" s="1436"/>
      <c r="V963" s="1436"/>
      <c r="W963" s="1436"/>
      <c r="X963" s="1436"/>
      <c r="Y963" s="1436"/>
      <c r="Z963" s="1436"/>
      <c r="AA963" s="1436"/>
      <c r="AB963" s="1436"/>
      <c r="AC963" s="1436"/>
      <c r="AD963" s="1436"/>
      <c r="AE963" s="1436"/>
      <c r="AF963" s="1436"/>
    </row>
    <row r="964" spans="1:32">
      <c r="A964" s="1436"/>
      <c r="B964" s="1436"/>
      <c r="C964" s="1436"/>
      <c r="D964" s="1436"/>
      <c r="E964" s="1436"/>
      <c r="F964" s="1436"/>
      <c r="G964" s="1436"/>
      <c r="H964" s="1436"/>
      <c r="I964" s="1436"/>
      <c r="J964" s="1436"/>
      <c r="K964" s="1436"/>
      <c r="L964" s="1436"/>
      <c r="M964" s="1436"/>
      <c r="N964" s="1436"/>
      <c r="O964" s="1436"/>
      <c r="P964" s="1436"/>
      <c r="Q964" s="1436"/>
      <c r="R964" s="1436"/>
      <c r="S964" s="1436"/>
      <c r="T964" s="1436"/>
      <c r="U964" s="1436"/>
      <c r="V964" s="1436"/>
      <c r="W964" s="1436"/>
      <c r="X964" s="1436"/>
      <c r="Y964" s="1436"/>
      <c r="Z964" s="1436"/>
      <c r="AA964" s="1436"/>
      <c r="AB964" s="1436"/>
      <c r="AC964" s="1436"/>
      <c r="AD964" s="1436"/>
      <c r="AE964" s="1436"/>
      <c r="AF964" s="1436"/>
    </row>
    <row r="965" spans="1:32">
      <c r="A965" s="1436"/>
      <c r="B965" s="1436"/>
      <c r="C965" s="1436"/>
      <c r="D965" s="1436"/>
      <c r="E965" s="1436"/>
      <c r="F965" s="1436"/>
      <c r="G965" s="1436"/>
      <c r="H965" s="1436"/>
      <c r="I965" s="1436"/>
      <c r="J965" s="1436"/>
      <c r="K965" s="1436"/>
      <c r="L965" s="1436"/>
      <c r="M965" s="1436"/>
      <c r="N965" s="1436"/>
      <c r="O965" s="1436"/>
      <c r="P965" s="1436"/>
      <c r="Q965" s="1436"/>
      <c r="R965" s="1436"/>
      <c r="S965" s="1436"/>
      <c r="T965" s="1436"/>
      <c r="U965" s="1436"/>
      <c r="V965" s="1436"/>
      <c r="W965" s="1436"/>
      <c r="X965" s="1436"/>
      <c r="Y965" s="1436"/>
      <c r="Z965" s="1436"/>
      <c r="AA965" s="1436"/>
      <c r="AB965" s="1436"/>
      <c r="AC965" s="1436"/>
      <c r="AD965" s="1436"/>
      <c r="AE965" s="1436"/>
      <c r="AF965" s="1436"/>
    </row>
    <row r="966" spans="1:32">
      <c r="A966" s="1436"/>
      <c r="B966" s="1436"/>
      <c r="C966" s="1436"/>
      <c r="D966" s="1436"/>
      <c r="E966" s="1436"/>
      <c r="F966" s="1436"/>
      <c r="G966" s="1436"/>
      <c r="H966" s="1436"/>
      <c r="I966" s="1436"/>
      <c r="J966" s="1436"/>
      <c r="K966" s="1436"/>
      <c r="L966" s="1436"/>
      <c r="M966" s="1436"/>
      <c r="N966" s="1436"/>
      <c r="O966" s="1436"/>
      <c r="P966" s="1436"/>
      <c r="Q966" s="1436"/>
      <c r="R966" s="1436"/>
      <c r="S966" s="1436"/>
      <c r="T966" s="1436"/>
      <c r="U966" s="1436"/>
      <c r="V966" s="1436"/>
      <c r="W966" s="1436"/>
      <c r="X966" s="1436"/>
      <c r="Y966" s="1436"/>
      <c r="Z966" s="1436"/>
      <c r="AA966" s="1436"/>
      <c r="AB966" s="1436"/>
      <c r="AC966" s="1436"/>
      <c r="AD966" s="1436"/>
      <c r="AE966" s="1436"/>
      <c r="AF966" s="1436"/>
    </row>
    <row r="967" spans="1:32">
      <c r="A967" s="1436"/>
      <c r="B967" s="1436"/>
      <c r="C967" s="1436"/>
      <c r="D967" s="1436"/>
      <c r="E967" s="1436"/>
      <c r="F967" s="1436"/>
      <c r="G967" s="1436"/>
      <c r="H967" s="1436"/>
      <c r="I967" s="1436"/>
      <c r="J967" s="1436"/>
      <c r="K967" s="1436"/>
      <c r="L967" s="1436"/>
      <c r="M967" s="1436"/>
      <c r="N967" s="1436"/>
      <c r="O967" s="1436"/>
      <c r="P967" s="1436"/>
      <c r="Q967" s="1436"/>
      <c r="R967" s="1436"/>
      <c r="S967" s="1436"/>
      <c r="T967" s="1436"/>
      <c r="U967" s="1436"/>
      <c r="V967" s="1436"/>
      <c r="W967" s="1436"/>
      <c r="X967" s="1436"/>
      <c r="Y967" s="1436"/>
      <c r="Z967" s="1436"/>
      <c r="AA967" s="1436"/>
      <c r="AB967" s="1436"/>
      <c r="AC967" s="1436"/>
      <c r="AD967" s="1436"/>
      <c r="AE967" s="1436"/>
      <c r="AF967" s="1436"/>
    </row>
    <row r="968" spans="1:32">
      <c r="A968" s="1436"/>
      <c r="B968" s="1436"/>
      <c r="C968" s="1436"/>
      <c r="D968" s="1436"/>
      <c r="E968" s="1436"/>
      <c r="F968" s="1436"/>
      <c r="G968" s="1436"/>
      <c r="H968" s="1436"/>
      <c r="I968" s="1436"/>
      <c r="J968" s="1436"/>
      <c r="K968" s="1436"/>
      <c r="L968" s="1436"/>
      <c r="M968" s="1436"/>
      <c r="N968" s="1436"/>
      <c r="O968" s="1436"/>
      <c r="P968" s="1436"/>
      <c r="Q968" s="1436"/>
      <c r="R968" s="1436"/>
      <c r="S968" s="1436"/>
      <c r="T968" s="1436"/>
      <c r="U968" s="1436"/>
      <c r="V968" s="1436"/>
      <c r="W968" s="1436"/>
      <c r="X968" s="1436"/>
      <c r="Y968" s="1436"/>
      <c r="Z968" s="1436"/>
      <c r="AA968" s="1436"/>
      <c r="AB968" s="1436"/>
      <c r="AC968" s="1436"/>
      <c r="AD968" s="1436"/>
      <c r="AE968" s="1436"/>
      <c r="AF968" s="1436"/>
    </row>
    <row r="969" spans="1:32">
      <c r="A969" s="1436"/>
      <c r="B969" s="1436"/>
      <c r="C969" s="1436"/>
      <c r="D969" s="1436"/>
      <c r="E969" s="1436"/>
      <c r="F969" s="1436"/>
      <c r="G969" s="1436"/>
      <c r="H969" s="1436"/>
      <c r="I969" s="1436"/>
      <c r="J969" s="1436"/>
      <c r="K969" s="1436"/>
      <c r="L969" s="1436"/>
      <c r="M969" s="1436"/>
      <c r="N969" s="1436"/>
      <c r="O969" s="1436"/>
      <c r="P969" s="1436"/>
      <c r="Q969" s="1436"/>
      <c r="R969" s="1436"/>
      <c r="S969" s="1436"/>
      <c r="T969" s="1436"/>
      <c r="U969" s="1436"/>
      <c r="V969" s="1436"/>
      <c r="W969" s="1436"/>
      <c r="X969" s="1436"/>
      <c r="Y969" s="1436"/>
      <c r="Z969" s="1436"/>
      <c r="AA969" s="1436"/>
      <c r="AB969" s="1436"/>
      <c r="AC969" s="1436"/>
      <c r="AD969" s="1436"/>
      <c r="AE969" s="1436"/>
      <c r="AF969" s="1436"/>
    </row>
    <row r="970" spans="1:32">
      <c r="A970" s="1436"/>
      <c r="B970" s="1436"/>
      <c r="C970" s="1436"/>
      <c r="D970" s="1436"/>
      <c r="E970" s="1436"/>
      <c r="F970" s="1436"/>
      <c r="G970" s="1436"/>
      <c r="H970" s="1436"/>
      <c r="I970" s="1436"/>
      <c r="J970" s="1436"/>
      <c r="K970" s="1436"/>
      <c r="L970" s="1436"/>
      <c r="M970" s="1436"/>
      <c r="N970" s="1436"/>
      <c r="O970" s="1436"/>
      <c r="P970" s="1436"/>
      <c r="Q970" s="1436"/>
      <c r="R970" s="1436"/>
      <c r="S970" s="1436"/>
      <c r="T970" s="1436"/>
      <c r="U970" s="1436"/>
      <c r="V970" s="1436"/>
      <c r="W970" s="1436"/>
      <c r="X970" s="1436"/>
      <c r="Y970" s="1436"/>
      <c r="Z970" s="1436"/>
      <c r="AA970" s="1436"/>
      <c r="AB970" s="1436"/>
      <c r="AC970" s="1436"/>
      <c r="AD970" s="1436"/>
      <c r="AE970" s="1436"/>
      <c r="AF970" s="1436"/>
    </row>
    <row r="971" spans="1:32">
      <c r="A971" s="1436"/>
      <c r="B971" s="1436"/>
      <c r="C971" s="1436"/>
      <c r="D971" s="1436"/>
      <c r="E971" s="1436"/>
      <c r="F971" s="1436"/>
      <c r="G971" s="1436"/>
      <c r="H971" s="1436"/>
      <c r="I971" s="1436"/>
      <c r="J971" s="1436"/>
      <c r="K971" s="1436"/>
      <c r="L971" s="1436"/>
      <c r="M971" s="1436"/>
      <c r="N971" s="1436"/>
      <c r="O971" s="1436"/>
      <c r="P971" s="1436"/>
      <c r="Q971" s="1436"/>
      <c r="R971" s="1436"/>
      <c r="S971" s="1436"/>
      <c r="T971" s="1436"/>
      <c r="U971" s="1436"/>
      <c r="V971" s="1436"/>
      <c r="W971" s="1436"/>
      <c r="X971" s="1436"/>
      <c r="Y971" s="1436"/>
      <c r="Z971" s="1436"/>
      <c r="AA971" s="1436"/>
      <c r="AB971" s="1436"/>
      <c r="AC971" s="1436"/>
      <c r="AD971" s="1436"/>
      <c r="AE971" s="1436"/>
      <c r="AF971" s="1436"/>
    </row>
    <row r="972" spans="1:32">
      <c r="A972" s="1436"/>
      <c r="B972" s="1436"/>
      <c r="C972" s="1436"/>
      <c r="D972" s="1436"/>
      <c r="E972" s="1436"/>
      <c r="F972" s="1436"/>
      <c r="G972" s="1436"/>
      <c r="H972" s="1436"/>
      <c r="I972" s="1436"/>
      <c r="J972" s="1436"/>
      <c r="K972" s="1436"/>
      <c r="L972" s="1436"/>
      <c r="M972" s="1436"/>
      <c r="N972" s="1436"/>
      <c r="O972" s="1436"/>
      <c r="P972" s="1436"/>
      <c r="Q972" s="1436"/>
      <c r="R972" s="1436"/>
      <c r="S972" s="1436"/>
      <c r="T972" s="1436"/>
      <c r="U972" s="1436"/>
      <c r="V972" s="1436"/>
      <c r="W972" s="1436"/>
      <c r="X972" s="1436"/>
      <c r="Y972" s="1436"/>
      <c r="Z972" s="1436"/>
      <c r="AA972" s="1436"/>
      <c r="AB972" s="1436"/>
      <c r="AC972" s="1436"/>
      <c r="AD972" s="1436"/>
      <c r="AE972" s="1436"/>
      <c r="AF972" s="1436"/>
    </row>
    <row r="973" spans="1:32">
      <c r="A973" s="1436"/>
      <c r="B973" s="1436"/>
      <c r="C973" s="1436"/>
      <c r="D973" s="1436"/>
      <c r="E973" s="1436"/>
      <c r="F973" s="1436"/>
      <c r="G973" s="1436"/>
      <c r="H973" s="1436"/>
      <c r="I973" s="1436"/>
      <c r="J973" s="1436"/>
      <c r="K973" s="1436"/>
      <c r="L973" s="1436"/>
      <c r="M973" s="1436"/>
      <c r="N973" s="1436"/>
      <c r="O973" s="1436"/>
      <c r="P973" s="1436"/>
      <c r="Q973" s="1436"/>
      <c r="R973" s="1436"/>
      <c r="S973" s="1436"/>
      <c r="T973" s="1436"/>
      <c r="U973" s="1436"/>
      <c r="V973" s="1436"/>
      <c r="W973" s="1436"/>
      <c r="X973" s="1436"/>
      <c r="Y973" s="1436"/>
      <c r="Z973" s="1436"/>
      <c r="AA973" s="1436"/>
      <c r="AB973" s="1436"/>
      <c r="AC973" s="1436"/>
      <c r="AD973" s="1436"/>
      <c r="AE973" s="1436"/>
      <c r="AF973" s="1436"/>
    </row>
    <row r="974" spans="1:32">
      <c r="A974" s="1436"/>
      <c r="B974" s="1436"/>
      <c r="C974" s="1436"/>
      <c r="D974" s="1436"/>
      <c r="E974" s="1436"/>
      <c r="F974" s="1436"/>
      <c r="G974" s="1436"/>
      <c r="H974" s="1436"/>
      <c r="I974" s="1436"/>
      <c r="J974" s="1436"/>
      <c r="K974" s="1436"/>
      <c r="L974" s="1436"/>
      <c r="M974" s="1436"/>
      <c r="N974" s="1436"/>
      <c r="O974" s="1436"/>
      <c r="P974" s="1436"/>
      <c r="Q974" s="1436"/>
      <c r="R974" s="1436"/>
      <c r="S974" s="1436"/>
      <c r="T974" s="1436"/>
      <c r="U974" s="1436"/>
      <c r="V974" s="1436"/>
      <c r="W974" s="1436"/>
      <c r="X974" s="1436"/>
      <c r="Y974" s="1436"/>
      <c r="Z974" s="1436"/>
      <c r="AA974" s="1436"/>
      <c r="AB974" s="1436"/>
      <c r="AC974" s="1436"/>
      <c r="AD974" s="1436"/>
      <c r="AE974" s="1436"/>
      <c r="AF974" s="1436"/>
    </row>
    <row r="975" spans="1:32">
      <c r="A975" s="1436"/>
      <c r="B975" s="1436"/>
      <c r="C975" s="1436"/>
      <c r="D975" s="1436"/>
      <c r="E975" s="1436"/>
      <c r="F975" s="1436"/>
      <c r="G975" s="1436"/>
      <c r="H975" s="1436"/>
      <c r="I975" s="1436"/>
      <c r="J975" s="1436"/>
      <c r="K975" s="1436"/>
      <c r="L975" s="1436"/>
      <c r="M975" s="1436"/>
      <c r="N975" s="1436"/>
      <c r="O975" s="1436"/>
      <c r="P975" s="1436"/>
      <c r="Q975" s="1436"/>
      <c r="R975" s="1436"/>
      <c r="S975" s="1436"/>
      <c r="T975" s="1436"/>
      <c r="U975" s="1436"/>
      <c r="V975" s="1436"/>
      <c r="W975" s="1436"/>
      <c r="X975" s="1436"/>
      <c r="Y975" s="1436"/>
      <c r="Z975" s="1436"/>
      <c r="AA975" s="1436"/>
      <c r="AB975" s="1436"/>
      <c r="AC975" s="1436"/>
      <c r="AD975" s="1436"/>
      <c r="AE975" s="1436"/>
      <c r="AF975" s="1436"/>
    </row>
    <row r="976" spans="1:32">
      <c r="A976" s="1436"/>
      <c r="B976" s="1436"/>
      <c r="C976" s="1436"/>
      <c r="D976" s="1436"/>
      <c r="E976" s="1436"/>
      <c r="F976" s="1436"/>
      <c r="G976" s="1436"/>
      <c r="H976" s="1436"/>
      <c r="I976" s="1436"/>
      <c r="J976" s="1436"/>
      <c r="K976" s="1436"/>
      <c r="L976" s="1436"/>
      <c r="M976" s="1436"/>
      <c r="N976" s="1436"/>
      <c r="O976" s="1436"/>
      <c r="P976" s="1436"/>
      <c r="Q976" s="1436"/>
      <c r="R976" s="1436"/>
      <c r="S976" s="1436"/>
      <c r="T976" s="1436"/>
      <c r="U976" s="1436"/>
      <c r="V976" s="1436"/>
      <c r="W976" s="1436"/>
      <c r="X976" s="1436"/>
      <c r="Y976" s="1436"/>
      <c r="Z976" s="1436"/>
      <c r="AA976" s="1436"/>
      <c r="AB976" s="1436"/>
      <c r="AC976" s="1436"/>
      <c r="AD976" s="1436"/>
      <c r="AE976" s="1436"/>
      <c r="AF976" s="1436"/>
    </row>
    <row r="977" spans="1:32">
      <c r="A977" s="1436"/>
      <c r="B977" s="1436"/>
      <c r="C977" s="1436"/>
      <c r="D977" s="1436"/>
      <c r="E977" s="1436"/>
      <c r="F977" s="1436"/>
      <c r="G977" s="1436"/>
      <c r="H977" s="1436"/>
      <c r="I977" s="1436"/>
      <c r="J977" s="1436"/>
      <c r="K977" s="1436"/>
      <c r="L977" s="1436"/>
      <c r="M977" s="1436"/>
      <c r="N977" s="1436"/>
      <c r="O977" s="1436"/>
      <c r="P977" s="1436"/>
      <c r="Q977" s="1436"/>
      <c r="R977" s="1436"/>
      <c r="S977" s="1436"/>
      <c r="T977" s="1436"/>
      <c r="U977" s="1436"/>
      <c r="V977" s="1436"/>
      <c r="W977" s="1436"/>
      <c r="X977" s="1436"/>
      <c r="Y977" s="1436"/>
      <c r="Z977" s="1436"/>
      <c r="AA977" s="1436"/>
      <c r="AB977" s="1436"/>
      <c r="AC977" s="1436"/>
      <c r="AD977" s="1436"/>
      <c r="AE977" s="1436"/>
      <c r="AF977" s="1436"/>
    </row>
    <row r="978" spans="1:32">
      <c r="A978" s="1436"/>
      <c r="B978" s="1436"/>
      <c r="C978" s="1436"/>
      <c r="D978" s="1436"/>
      <c r="E978" s="1436"/>
      <c r="F978" s="1436"/>
      <c r="G978" s="1436"/>
      <c r="H978" s="1436"/>
      <c r="I978" s="1436"/>
      <c r="J978" s="1436"/>
      <c r="K978" s="1436"/>
      <c r="L978" s="1436"/>
      <c r="M978" s="1436"/>
      <c r="N978" s="1436"/>
      <c r="O978" s="1436"/>
      <c r="P978" s="1436"/>
      <c r="Q978" s="1436"/>
      <c r="R978" s="1436"/>
      <c r="S978" s="1436"/>
      <c r="T978" s="1436"/>
      <c r="U978" s="1436"/>
      <c r="V978" s="1436"/>
      <c r="W978" s="1436"/>
      <c r="X978" s="1436"/>
      <c r="Y978" s="1436"/>
      <c r="Z978" s="1436"/>
      <c r="AA978" s="1436"/>
      <c r="AB978" s="1436"/>
      <c r="AC978" s="1436"/>
      <c r="AD978" s="1436"/>
      <c r="AE978" s="1436"/>
      <c r="AF978" s="1436"/>
    </row>
    <row r="979" spans="1:32">
      <c r="A979" s="1436"/>
      <c r="B979" s="1436"/>
      <c r="C979" s="1436"/>
      <c r="D979" s="1436"/>
      <c r="E979" s="1436"/>
      <c r="F979" s="1436"/>
      <c r="G979" s="1436"/>
      <c r="H979" s="1436"/>
      <c r="I979" s="1436"/>
      <c r="J979" s="1436"/>
      <c r="K979" s="1436"/>
      <c r="L979" s="1436"/>
      <c r="M979" s="1436"/>
      <c r="N979" s="1436"/>
      <c r="O979" s="1436"/>
      <c r="P979" s="1436"/>
      <c r="Q979" s="1436"/>
      <c r="R979" s="1436"/>
      <c r="S979" s="1436"/>
      <c r="T979" s="1436"/>
      <c r="U979" s="1436"/>
      <c r="V979" s="1436"/>
      <c r="W979" s="1436"/>
      <c r="X979" s="1436"/>
      <c r="Y979" s="1436"/>
      <c r="Z979" s="1436"/>
      <c r="AA979" s="1436"/>
      <c r="AB979" s="1436"/>
      <c r="AC979" s="1436"/>
      <c r="AD979" s="1436"/>
      <c r="AE979" s="1436"/>
      <c r="AF979" s="1436"/>
    </row>
    <row r="980" spans="1:32">
      <c r="A980" s="1436"/>
      <c r="B980" s="1436"/>
      <c r="C980" s="1436"/>
      <c r="D980" s="1436"/>
      <c r="E980" s="1436"/>
      <c r="F980" s="1436"/>
      <c r="G980" s="1436"/>
      <c r="H980" s="1436"/>
      <c r="I980" s="1436"/>
      <c r="J980" s="1436"/>
      <c r="K980" s="1436"/>
      <c r="L980" s="1436"/>
      <c r="M980" s="1436"/>
      <c r="N980" s="1436"/>
      <c r="O980" s="1436"/>
      <c r="P980" s="1436"/>
      <c r="Q980" s="1436"/>
      <c r="R980" s="1436"/>
      <c r="S980" s="1436"/>
      <c r="T980" s="1436"/>
      <c r="U980" s="1436"/>
      <c r="V980" s="1436"/>
      <c r="W980" s="1436"/>
      <c r="X980" s="1436"/>
      <c r="Y980" s="1436"/>
      <c r="Z980" s="1436"/>
      <c r="AA980" s="1436"/>
      <c r="AB980" s="1436"/>
      <c r="AC980" s="1436"/>
      <c r="AD980" s="1436"/>
      <c r="AE980" s="1436"/>
      <c r="AF980" s="1436"/>
    </row>
    <row r="981" spans="1:32">
      <c r="A981" s="1436"/>
      <c r="B981" s="1436"/>
      <c r="C981" s="1436"/>
      <c r="D981" s="1436"/>
      <c r="E981" s="1436"/>
      <c r="F981" s="1436"/>
      <c r="G981" s="1436"/>
      <c r="H981" s="1436"/>
      <c r="I981" s="1436"/>
      <c r="J981" s="1436"/>
      <c r="K981" s="1436"/>
      <c r="L981" s="1436"/>
      <c r="M981" s="1436"/>
      <c r="N981" s="1436"/>
      <c r="O981" s="1436"/>
      <c r="P981" s="1436"/>
      <c r="Q981" s="1436"/>
      <c r="R981" s="1436"/>
      <c r="S981" s="1436"/>
      <c r="T981" s="1436"/>
      <c r="U981" s="1436"/>
      <c r="V981" s="1436"/>
      <c r="W981" s="1436"/>
      <c r="X981" s="1436"/>
      <c r="Y981" s="1436"/>
      <c r="Z981" s="1436"/>
      <c r="AA981" s="1436"/>
      <c r="AB981" s="1436"/>
      <c r="AC981" s="1436"/>
      <c r="AD981" s="1436"/>
      <c r="AE981" s="1436"/>
      <c r="AF981" s="1436"/>
    </row>
    <row r="982" spans="1:32">
      <c r="A982" s="1436"/>
      <c r="B982" s="1436"/>
      <c r="C982" s="1436"/>
      <c r="D982" s="1436"/>
      <c r="E982" s="1436"/>
      <c r="F982" s="1436"/>
      <c r="G982" s="1436"/>
      <c r="H982" s="1436"/>
      <c r="I982" s="1436"/>
      <c r="J982" s="1436"/>
      <c r="K982" s="1436"/>
      <c r="L982" s="1436"/>
      <c r="M982" s="1436"/>
      <c r="N982" s="1436"/>
      <c r="O982" s="1436"/>
      <c r="P982" s="1436"/>
      <c r="Q982" s="1436"/>
      <c r="R982" s="1436"/>
      <c r="S982" s="1436"/>
      <c r="T982" s="1436"/>
      <c r="U982" s="1436"/>
      <c r="V982" s="1436"/>
      <c r="W982" s="1436"/>
      <c r="X982" s="1436"/>
      <c r="Y982" s="1436"/>
      <c r="Z982" s="1436"/>
      <c r="AA982" s="1436"/>
      <c r="AB982" s="1436"/>
      <c r="AC982" s="1436"/>
      <c r="AD982" s="1436"/>
      <c r="AE982" s="1436"/>
      <c r="AF982" s="1436"/>
    </row>
    <row r="983" spans="1:32">
      <c r="A983" s="1436"/>
      <c r="B983" s="1436"/>
      <c r="C983" s="1436"/>
      <c r="D983" s="1436"/>
      <c r="E983" s="1436"/>
      <c r="F983" s="1436"/>
      <c r="G983" s="1436"/>
      <c r="H983" s="1436"/>
      <c r="I983" s="1436"/>
      <c r="J983" s="1436"/>
      <c r="K983" s="1436"/>
      <c r="L983" s="1436"/>
      <c r="M983" s="1436"/>
      <c r="N983" s="1436"/>
      <c r="O983" s="1436"/>
      <c r="P983" s="1436"/>
      <c r="Q983" s="1436"/>
      <c r="R983" s="1436"/>
      <c r="S983" s="1436"/>
      <c r="T983" s="1436"/>
      <c r="U983" s="1436"/>
      <c r="V983" s="1436"/>
      <c r="W983" s="1436"/>
      <c r="X983" s="1436"/>
      <c r="Y983" s="1436"/>
      <c r="Z983" s="1436"/>
      <c r="AA983" s="1436"/>
      <c r="AB983" s="1436"/>
      <c r="AC983" s="1436"/>
      <c r="AD983" s="1436"/>
      <c r="AE983" s="1436"/>
      <c r="AF983" s="1436"/>
    </row>
    <row r="984" spans="1:32">
      <c r="A984" s="1436"/>
      <c r="B984" s="1436"/>
      <c r="C984" s="1436"/>
      <c r="D984" s="1436"/>
      <c r="E984" s="1436"/>
      <c r="F984" s="1436"/>
      <c r="G984" s="1436"/>
      <c r="H984" s="1436"/>
      <c r="I984" s="1436"/>
      <c r="J984" s="1436"/>
      <c r="K984" s="1436"/>
      <c r="L984" s="1436"/>
      <c r="M984" s="1436"/>
      <c r="N984" s="1436"/>
      <c r="O984" s="1436"/>
      <c r="P984" s="1436"/>
      <c r="Q984" s="1436"/>
      <c r="R984" s="1436"/>
      <c r="S984" s="1436"/>
      <c r="T984" s="1436"/>
      <c r="U984" s="1436"/>
      <c r="V984" s="1436"/>
      <c r="W984" s="1436"/>
      <c r="X984" s="1436"/>
      <c r="Y984" s="1436"/>
      <c r="Z984" s="1436"/>
      <c r="AA984" s="1436"/>
      <c r="AB984" s="1436"/>
      <c r="AC984" s="1436"/>
      <c r="AD984" s="1436"/>
      <c r="AE984" s="1436"/>
      <c r="AF984" s="1436"/>
    </row>
    <row r="985" spans="1:32">
      <c r="A985" s="1436"/>
      <c r="B985" s="1436"/>
      <c r="C985" s="1436"/>
      <c r="D985" s="1436"/>
      <c r="E985" s="1436"/>
      <c r="F985" s="1436"/>
      <c r="G985" s="1436"/>
      <c r="H985" s="1436"/>
      <c r="I985" s="1436"/>
      <c r="J985" s="1436"/>
      <c r="K985" s="1436"/>
      <c r="L985" s="1436"/>
      <c r="M985" s="1436"/>
      <c r="N985" s="1436"/>
      <c r="O985" s="1436"/>
      <c r="P985" s="1436"/>
      <c r="Q985" s="1436"/>
      <c r="R985" s="1436"/>
      <c r="S985" s="1436"/>
      <c r="T985" s="1436"/>
      <c r="U985" s="1436"/>
      <c r="V985" s="1436"/>
      <c r="W985" s="1436"/>
      <c r="X985" s="1436"/>
      <c r="Y985" s="1436"/>
      <c r="Z985" s="1436"/>
      <c r="AA985" s="1436"/>
      <c r="AB985" s="1436"/>
      <c r="AC985" s="1436"/>
      <c r="AD985" s="1436"/>
      <c r="AE985" s="1436"/>
      <c r="AF985" s="1436"/>
    </row>
    <row r="986" spans="1:32">
      <c r="A986" s="1436"/>
      <c r="B986" s="1436"/>
      <c r="C986" s="1436"/>
      <c r="D986" s="1436"/>
      <c r="E986" s="1436"/>
      <c r="F986" s="1436"/>
      <c r="G986" s="1436"/>
      <c r="H986" s="1436"/>
      <c r="I986" s="1436"/>
      <c r="J986" s="1436"/>
      <c r="K986" s="1436"/>
      <c r="L986" s="1436"/>
      <c r="M986" s="1436"/>
      <c r="N986" s="1436"/>
      <c r="O986" s="1436"/>
      <c r="P986" s="1436"/>
      <c r="Q986" s="1436"/>
      <c r="R986" s="1436"/>
      <c r="S986" s="1436"/>
      <c r="T986" s="1436"/>
      <c r="U986" s="1436"/>
      <c r="V986" s="1436"/>
      <c r="W986" s="1436"/>
      <c r="X986" s="1436"/>
      <c r="Y986" s="1436"/>
      <c r="Z986" s="1436"/>
      <c r="AA986" s="1436"/>
      <c r="AB986" s="1436"/>
      <c r="AC986" s="1436"/>
      <c r="AD986" s="1436"/>
      <c r="AE986" s="1436"/>
      <c r="AF986" s="1436"/>
    </row>
    <row r="987" spans="1:32">
      <c r="A987" s="1436"/>
      <c r="B987" s="1436"/>
      <c r="C987" s="1436"/>
      <c r="D987" s="1436"/>
      <c r="E987" s="1436"/>
      <c r="F987" s="1436"/>
      <c r="G987" s="1436"/>
      <c r="H987" s="1436"/>
      <c r="I987" s="1436"/>
      <c r="J987" s="1436"/>
      <c r="K987" s="1436"/>
      <c r="L987" s="1436"/>
      <c r="M987" s="1436"/>
      <c r="N987" s="1436"/>
      <c r="O987" s="1436"/>
      <c r="P987" s="1436"/>
      <c r="Q987" s="1436"/>
      <c r="R987" s="1436"/>
      <c r="S987" s="1436"/>
      <c r="T987" s="1436"/>
      <c r="U987" s="1436"/>
      <c r="V987" s="1436"/>
      <c r="W987" s="1436"/>
      <c r="X987" s="1436"/>
      <c r="Y987" s="1436"/>
      <c r="Z987" s="1436"/>
      <c r="AA987" s="1436"/>
      <c r="AB987" s="1436"/>
      <c r="AC987" s="1436"/>
      <c r="AD987" s="1436"/>
      <c r="AE987" s="1436"/>
      <c r="AF987" s="1436"/>
    </row>
    <row r="988" spans="1:32">
      <c r="A988" s="1436"/>
      <c r="B988" s="1436"/>
      <c r="C988" s="1436"/>
      <c r="D988" s="1436"/>
      <c r="E988" s="1436"/>
      <c r="F988" s="1436"/>
      <c r="G988" s="1436"/>
      <c r="H988" s="1436"/>
      <c r="I988" s="1436"/>
      <c r="J988" s="1436"/>
      <c r="K988" s="1436"/>
      <c r="L988" s="1436"/>
      <c r="M988" s="1436"/>
      <c r="N988" s="1436"/>
      <c r="O988" s="1436"/>
      <c r="P988" s="1436"/>
      <c r="Q988" s="1436"/>
      <c r="R988" s="1436"/>
      <c r="S988" s="1436"/>
      <c r="T988" s="1436"/>
      <c r="U988" s="1436"/>
      <c r="V988" s="1436"/>
      <c r="W988" s="1436"/>
      <c r="X988" s="1436"/>
      <c r="Y988" s="1436"/>
      <c r="Z988" s="1436"/>
      <c r="AA988" s="1436"/>
      <c r="AB988" s="1436"/>
      <c r="AC988" s="1436"/>
      <c r="AD988" s="1436"/>
      <c r="AE988" s="1436"/>
      <c r="AF988" s="1436"/>
    </row>
    <row r="989" spans="1:32">
      <c r="A989" s="1436"/>
      <c r="B989" s="1436"/>
      <c r="C989" s="1436"/>
      <c r="D989" s="1436"/>
      <c r="E989" s="1436"/>
      <c r="F989" s="1436"/>
      <c r="G989" s="1436"/>
      <c r="H989" s="1436"/>
      <c r="I989" s="1436"/>
      <c r="J989" s="1436"/>
      <c r="K989" s="1436"/>
      <c r="L989" s="1436"/>
      <c r="M989" s="1436"/>
      <c r="N989" s="1436"/>
      <c r="O989" s="1436"/>
      <c r="P989" s="1436"/>
      <c r="Q989" s="1436"/>
      <c r="R989" s="1436"/>
      <c r="S989" s="1436"/>
      <c r="T989" s="1436"/>
      <c r="U989" s="1436"/>
      <c r="V989" s="1436"/>
      <c r="W989" s="1436"/>
      <c r="X989" s="1436"/>
      <c r="Y989" s="1436"/>
      <c r="Z989" s="1436"/>
      <c r="AA989" s="1436"/>
      <c r="AB989" s="1436"/>
      <c r="AC989" s="1436"/>
      <c r="AD989" s="1436"/>
      <c r="AE989" s="1436"/>
      <c r="AF989" s="1436"/>
    </row>
    <row r="990" spans="1:32">
      <c r="A990" s="1436"/>
      <c r="B990" s="1436"/>
      <c r="C990" s="1436"/>
      <c r="D990" s="1436"/>
      <c r="E990" s="1436"/>
      <c r="F990" s="1436"/>
      <c r="G990" s="1436"/>
      <c r="H990" s="1436"/>
      <c r="I990" s="1436"/>
      <c r="J990" s="1436"/>
      <c r="K990" s="1436"/>
      <c r="L990" s="1436"/>
      <c r="M990" s="1436"/>
      <c r="N990" s="1436"/>
      <c r="O990" s="1436"/>
      <c r="P990" s="1436"/>
      <c r="Q990" s="1436"/>
      <c r="R990" s="1436"/>
      <c r="S990" s="1436"/>
      <c r="T990" s="1436"/>
      <c r="U990" s="1436"/>
      <c r="V990" s="1436"/>
      <c r="W990" s="1436"/>
      <c r="X990" s="1436"/>
      <c r="Y990" s="1436"/>
      <c r="Z990" s="1436"/>
      <c r="AA990" s="1436"/>
      <c r="AB990" s="1436"/>
      <c r="AC990" s="1436"/>
      <c r="AD990" s="1436"/>
      <c r="AE990" s="1436"/>
      <c r="AF990" s="1436"/>
    </row>
    <row r="991" spans="1:32">
      <c r="A991" s="1436"/>
      <c r="B991" s="1436"/>
      <c r="C991" s="1436"/>
      <c r="D991" s="1436"/>
      <c r="E991" s="1436"/>
      <c r="F991" s="1436"/>
      <c r="G991" s="1436"/>
      <c r="H991" s="1436"/>
      <c r="I991" s="1436"/>
      <c r="J991" s="1436"/>
      <c r="K991" s="1436"/>
      <c r="L991" s="1436"/>
      <c r="M991" s="1436"/>
      <c r="N991" s="1436"/>
      <c r="O991" s="1436"/>
      <c r="P991" s="1436"/>
      <c r="Q991" s="1436"/>
      <c r="R991" s="1436"/>
      <c r="S991" s="1436"/>
      <c r="T991" s="1436"/>
      <c r="U991" s="1436"/>
      <c r="V991" s="1436"/>
      <c r="W991" s="1436"/>
      <c r="X991" s="1436"/>
      <c r="Y991" s="1436"/>
      <c r="Z991" s="1436"/>
      <c r="AA991" s="1436"/>
      <c r="AB991" s="1436"/>
      <c r="AC991" s="1436"/>
      <c r="AD991" s="1436"/>
      <c r="AE991" s="1436"/>
      <c r="AF991" s="1436"/>
    </row>
    <row r="992" spans="1:32">
      <c r="A992" s="1436"/>
      <c r="B992" s="1436"/>
      <c r="C992" s="1436"/>
      <c r="D992" s="1436"/>
      <c r="E992" s="1436"/>
      <c r="F992" s="1436"/>
      <c r="G992" s="1436"/>
      <c r="H992" s="1436"/>
      <c r="I992" s="1436"/>
      <c r="J992" s="1436"/>
      <c r="K992" s="1436"/>
      <c r="L992" s="1436"/>
      <c r="M992" s="1436"/>
      <c r="N992" s="1436"/>
      <c r="O992" s="1436"/>
      <c r="P992" s="1436"/>
      <c r="Q992" s="1436"/>
      <c r="R992" s="1436"/>
      <c r="S992" s="1436"/>
      <c r="T992" s="1436"/>
      <c r="U992" s="1436"/>
      <c r="V992" s="1436"/>
      <c r="W992" s="1436"/>
      <c r="X992" s="1436"/>
      <c r="Y992" s="1436"/>
      <c r="Z992" s="1436"/>
      <c r="AA992" s="1436"/>
      <c r="AB992" s="1436"/>
      <c r="AC992" s="1436"/>
      <c r="AD992" s="1436"/>
      <c r="AE992" s="1436"/>
      <c r="AF992" s="1436"/>
    </row>
    <row r="993" spans="1:32">
      <c r="A993" s="1436"/>
      <c r="B993" s="1436"/>
      <c r="C993" s="1436"/>
      <c r="D993" s="1436"/>
      <c r="E993" s="1436"/>
      <c r="F993" s="1436"/>
      <c r="G993" s="1436"/>
      <c r="H993" s="1436"/>
      <c r="I993" s="1436"/>
      <c r="J993" s="1436"/>
      <c r="K993" s="1436"/>
      <c r="L993" s="1436"/>
      <c r="M993" s="1436"/>
      <c r="N993" s="1436"/>
      <c r="O993" s="1436"/>
      <c r="P993" s="1436"/>
      <c r="Q993" s="1436"/>
      <c r="R993" s="1436"/>
      <c r="S993" s="1436"/>
      <c r="T993" s="1436"/>
      <c r="U993" s="1436"/>
      <c r="V993" s="1436"/>
      <c r="W993" s="1436"/>
      <c r="X993" s="1436"/>
      <c r="Y993" s="1436"/>
      <c r="Z993" s="1436"/>
      <c r="AA993" s="1436"/>
      <c r="AB993" s="1436"/>
      <c r="AC993" s="1436"/>
      <c r="AD993" s="1436"/>
      <c r="AE993" s="1436"/>
      <c r="AF993" s="1436"/>
    </row>
    <row r="994" spans="1:32">
      <c r="A994" s="1436"/>
      <c r="B994" s="1436"/>
      <c r="C994" s="1436"/>
      <c r="D994" s="1436"/>
      <c r="E994" s="1436"/>
      <c r="F994" s="1436"/>
      <c r="G994" s="1436"/>
      <c r="H994" s="1436"/>
      <c r="I994" s="1436"/>
      <c r="J994" s="1436"/>
      <c r="K994" s="1436"/>
      <c r="L994" s="1436"/>
      <c r="M994" s="1436"/>
      <c r="N994" s="1436"/>
      <c r="O994" s="1436"/>
      <c r="P994" s="1436"/>
      <c r="Q994" s="1436"/>
      <c r="R994" s="1436"/>
      <c r="S994" s="1436"/>
      <c r="T994" s="1436"/>
      <c r="U994" s="1436"/>
      <c r="V994" s="1436"/>
      <c r="W994" s="1436"/>
      <c r="X994" s="1436"/>
      <c r="Y994" s="1436"/>
      <c r="Z994" s="1436"/>
      <c r="AA994" s="1436"/>
      <c r="AB994" s="1436"/>
      <c r="AC994" s="1436"/>
      <c r="AD994" s="1436"/>
      <c r="AE994" s="1436"/>
      <c r="AF994" s="1436"/>
    </row>
    <row r="995" spans="1:32">
      <c r="A995" s="1436"/>
      <c r="B995" s="1436"/>
      <c r="C995" s="1436"/>
      <c r="D995" s="1436"/>
      <c r="E995" s="1436"/>
      <c r="F995" s="1436"/>
      <c r="G995" s="1436"/>
      <c r="H995" s="1436"/>
      <c r="I995" s="1436"/>
      <c r="J995" s="1436"/>
      <c r="K995" s="1436"/>
      <c r="L995" s="1436"/>
      <c r="M995" s="1436"/>
      <c r="N995" s="1436"/>
      <c r="O995" s="1436"/>
      <c r="P995" s="1436"/>
      <c r="Q995" s="1436"/>
      <c r="R995" s="1436"/>
      <c r="S995" s="1436"/>
      <c r="T995" s="1436"/>
      <c r="U995" s="1436"/>
      <c r="V995" s="1436"/>
      <c r="W995" s="1436"/>
      <c r="X995" s="1436"/>
      <c r="Y995" s="1436"/>
      <c r="Z995" s="1436"/>
      <c r="AA995" s="1436"/>
      <c r="AB995" s="1436"/>
      <c r="AC995" s="1436"/>
      <c r="AD995" s="1436"/>
      <c r="AE995" s="1436"/>
      <c r="AF995" s="1436"/>
    </row>
    <row r="996" spans="1:32">
      <c r="A996" s="1436"/>
      <c r="B996" s="1436"/>
      <c r="C996" s="1436"/>
      <c r="D996" s="1436"/>
      <c r="E996" s="1436"/>
      <c r="F996" s="1436"/>
      <c r="G996" s="1436"/>
      <c r="H996" s="1436"/>
      <c r="I996" s="1436"/>
      <c r="J996" s="1436"/>
      <c r="K996" s="1436"/>
      <c r="L996" s="1436"/>
      <c r="M996" s="1436"/>
      <c r="N996" s="1436"/>
      <c r="O996" s="1436"/>
      <c r="P996" s="1436"/>
      <c r="Q996" s="1436"/>
      <c r="R996" s="1436"/>
      <c r="S996" s="1436"/>
      <c r="T996" s="1436"/>
      <c r="U996" s="1436"/>
      <c r="V996" s="1436"/>
      <c r="W996" s="1436"/>
      <c r="X996" s="1436"/>
      <c r="Y996" s="1436"/>
      <c r="Z996" s="1436"/>
      <c r="AA996" s="1436"/>
      <c r="AB996" s="1436"/>
      <c r="AC996" s="1436"/>
      <c r="AD996" s="1436"/>
      <c r="AE996" s="1436"/>
      <c r="AF996" s="1436"/>
    </row>
    <row r="997" spans="1:32">
      <c r="A997" s="1436"/>
      <c r="B997" s="1436"/>
      <c r="C997" s="1436"/>
      <c r="D997" s="1436"/>
      <c r="E997" s="1436"/>
      <c r="F997" s="1436"/>
      <c r="G997" s="1436"/>
      <c r="H997" s="1436"/>
      <c r="I997" s="1436"/>
      <c r="J997" s="1436"/>
      <c r="K997" s="1436"/>
      <c r="L997" s="1436"/>
      <c r="M997" s="1436"/>
      <c r="N997" s="1436"/>
      <c r="O997" s="1436"/>
      <c r="P997" s="1436"/>
      <c r="Q997" s="1436"/>
      <c r="R997" s="1436"/>
      <c r="S997" s="1436"/>
      <c r="T997" s="1436"/>
      <c r="U997" s="1436"/>
      <c r="V997" s="1436"/>
      <c r="W997" s="1436"/>
      <c r="X997" s="1436"/>
      <c r="Y997" s="1436"/>
      <c r="Z997" s="1436"/>
      <c r="AA997" s="1436"/>
      <c r="AB997" s="1436"/>
      <c r="AC997" s="1436"/>
      <c r="AD997" s="1436"/>
      <c r="AE997" s="1436"/>
      <c r="AF997" s="1436"/>
    </row>
    <row r="998" spans="1:32">
      <c r="A998" s="1436"/>
      <c r="B998" s="1436"/>
      <c r="C998" s="1436"/>
      <c r="D998" s="1436"/>
      <c r="E998" s="1436"/>
      <c r="F998" s="1436"/>
      <c r="G998" s="1436"/>
      <c r="H998" s="1436"/>
      <c r="I998" s="1436"/>
      <c r="J998" s="1436"/>
      <c r="K998" s="1436"/>
      <c r="L998" s="1436"/>
      <c r="M998" s="1436"/>
      <c r="N998" s="1436"/>
      <c r="O998" s="1436"/>
      <c r="P998" s="1436"/>
      <c r="Q998" s="1436"/>
      <c r="R998" s="1436"/>
      <c r="S998" s="1436"/>
      <c r="T998" s="1436"/>
      <c r="U998" s="1436"/>
      <c r="V998" s="1436"/>
      <c r="W998" s="1436"/>
      <c r="X998" s="1436"/>
      <c r="Y998" s="1436"/>
      <c r="Z998" s="1436"/>
      <c r="AA998" s="1436"/>
      <c r="AB998" s="1436"/>
      <c r="AC998" s="1436"/>
      <c r="AD998" s="1436"/>
      <c r="AE998" s="1436"/>
      <c r="AF998" s="1436"/>
    </row>
    <row r="999" spans="1:32">
      <c r="A999" s="1436"/>
      <c r="B999" s="1436"/>
      <c r="C999" s="1436"/>
      <c r="D999" s="1436"/>
      <c r="E999" s="1436"/>
      <c r="F999" s="1436"/>
      <c r="G999" s="1436"/>
      <c r="H999" s="1436"/>
      <c r="I999" s="1436"/>
      <c r="J999" s="1436"/>
      <c r="K999" s="1436"/>
      <c r="L999" s="1436"/>
      <c r="M999" s="1436"/>
      <c r="N999" s="1436"/>
      <c r="O999" s="1436"/>
      <c r="P999" s="1436"/>
      <c r="Q999" s="1436"/>
      <c r="R999" s="1436"/>
      <c r="S999" s="1436"/>
      <c r="T999" s="1436"/>
      <c r="U999" s="1436"/>
      <c r="V999" s="1436"/>
      <c r="W999" s="1436"/>
      <c r="X999" s="1436"/>
      <c r="Y999" s="1436"/>
      <c r="Z999" s="1436"/>
      <c r="AA999" s="1436"/>
      <c r="AB999" s="1436"/>
      <c r="AC999" s="1436"/>
      <c r="AD999" s="1436"/>
      <c r="AE999" s="1436"/>
      <c r="AF999" s="1436"/>
    </row>
    <row r="1000" spans="1:32">
      <c r="A1000" s="1436"/>
      <c r="B1000" s="1436"/>
      <c r="C1000" s="1436"/>
      <c r="D1000" s="1436"/>
      <c r="E1000" s="1436"/>
      <c r="F1000" s="1436"/>
      <c r="G1000" s="1436"/>
      <c r="H1000" s="1436"/>
      <c r="I1000" s="1436"/>
      <c r="J1000" s="1436"/>
      <c r="K1000" s="1436"/>
      <c r="L1000" s="1436"/>
      <c r="M1000" s="1436"/>
      <c r="N1000" s="1436"/>
      <c r="O1000" s="1436"/>
      <c r="P1000" s="1436"/>
      <c r="Q1000" s="1436"/>
      <c r="R1000" s="1436"/>
      <c r="S1000" s="1436"/>
      <c r="T1000" s="1436"/>
      <c r="U1000" s="1436"/>
      <c r="V1000" s="1436"/>
      <c r="W1000" s="1436"/>
      <c r="X1000" s="1436"/>
      <c r="Y1000" s="1436"/>
      <c r="Z1000" s="1436"/>
      <c r="AA1000" s="1436"/>
      <c r="AB1000" s="1436"/>
      <c r="AC1000" s="1436"/>
      <c r="AD1000" s="1436"/>
      <c r="AE1000" s="1436"/>
      <c r="AF1000" s="1436"/>
    </row>
    <row r="1001" spans="1:32">
      <c r="A1001" s="1436"/>
      <c r="B1001" s="1436"/>
      <c r="C1001" s="1436"/>
      <c r="D1001" s="1436"/>
      <c r="E1001" s="1436"/>
      <c r="F1001" s="1436"/>
      <c r="G1001" s="1436"/>
      <c r="H1001" s="1436"/>
      <c r="I1001" s="1436"/>
      <c r="J1001" s="1436"/>
      <c r="K1001" s="1436"/>
      <c r="L1001" s="1436"/>
      <c r="M1001" s="1436"/>
      <c r="N1001" s="1436"/>
      <c r="O1001" s="1436"/>
      <c r="P1001" s="1436"/>
      <c r="Q1001" s="1436"/>
      <c r="R1001" s="1436"/>
      <c r="S1001" s="1436"/>
      <c r="T1001" s="1436"/>
      <c r="U1001" s="1436"/>
      <c r="V1001" s="1436"/>
      <c r="W1001" s="1436"/>
      <c r="X1001" s="1436"/>
      <c r="Y1001" s="1436"/>
      <c r="Z1001" s="1436"/>
      <c r="AA1001" s="1436"/>
      <c r="AB1001" s="1436"/>
      <c r="AC1001" s="1436"/>
      <c r="AD1001" s="1436"/>
      <c r="AE1001" s="1436"/>
      <c r="AF1001" s="1436"/>
    </row>
    <row r="1002" spans="1:32">
      <c r="A1002" s="1436"/>
      <c r="B1002" s="1436"/>
      <c r="C1002" s="1436"/>
      <c r="D1002" s="1436"/>
      <c r="E1002" s="1436"/>
      <c r="F1002" s="1436"/>
      <c r="G1002" s="1436"/>
      <c r="H1002" s="1436"/>
      <c r="I1002" s="1436"/>
      <c r="J1002" s="1436"/>
      <c r="K1002" s="1436"/>
      <c r="L1002" s="1436"/>
      <c r="M1002" s="1436"/>
      <c r="N1002" s="1436"/>
      <c r="O1002" s="1436"/>
      <c r="P1002" s="1436"/>
      <c r="Q1002" s="1436"/>
      <c r="R1002" s="1436"/>
      <c r="S1002" s="1436"/>
      <c r="T1002" s="1436"/>
      <c r="U1002" s="1436"/>
      <c r="V1002" s="1436"/>
      <c r="W1002" s="1436"/>
      <c r="X1002" s="1436"/>
      <c r="Y1002" s="1436"/>
      <c r="Z1002" s="1436"/>
      <c r="AA1002" s="1436"/>
      <c r="AB1002" s="1436"/>
      <c r="AC1002" s="1436"/>
      <c r="AD1002" s="1436"/>
      <c r="AE1002" s="1436"/>
      <c r="AF1002" s="1436"/>
    </row>
    <row r="1003" spans="1:32">
      <c r="A1003" s="1436"/>
      <c r="B1003" s="1436"/>
      <c r="C1003" s="1436"/>
      <c r="D1003" s="1436"/>
      <c r="E1003" s="1436"/>
      <c r="F1003" s="1436"/>
      <c r="G1003" s="1436"/>
      <c r="H1003" s="1436"/>
      <c r="I1003" s="1436"/>
      <c r="J1003" s="1436"/>
      <c r="K1003" s="1436"/>
      <c r="L1003" s="1436"/>
      <c r="M1003" s="1436"/>
      <c r="N1003" s="1436"/>
      <c r="O1003" s="1436"/>
      <c r="P1003" s="1436"/>
      <c r="Q1003" s="1436"/>
      <c r="R1003" s="1436"/>
      <c r="S1003" s="1436"/>
      <c r="T1003" s="1436"/>
      <c r="U1003" s="1436"/>
      <c r="V1003" s="1436"/>
      <c r="W1003" s="1436"/>
      <c r="X1003" s="1436"/>
      <c r="Y1003" s="1436"/>
      <c r="Z1003" s="1436"/>
      <c r="AA1003" s="1436"/>
      <c r="AB1003" s="1436"/>
      <c r="AC1003" s="1436"/>
      <c r="AD1003" s="1436"/>
      <c r="AE1003" s="1436"/>
      <c r="AF1003" s="1436"/>
    </row>
    <row r="1004" spans="1:32">
      <c r="A1004" s="1436"/>
      <c r="B1004" s="1436"/>
      <c r="C1004" s="1436"/>
      <c r="D1004" s="1436"/>
      <c r="E1004" s="1436"/>
      <c r="F1004" s="1436"/>
      <c r="G1004" s="1436"/>
      <c r="H1004" s="1436"/>
      <c r="I1004" s="1436"/>
      <c r="J1004" s="1436"/>
      <c r="K1004" s="1436"/>
      <c r="L1004" s="1436"/>
      <c r="M1004" s="1436"/>
      <c r="N1004" s="1436"/>
      <c r="O1004" s="1436"/>
      <c r="P1004" s="1436"/>
      <c r="Q1004" s="1436"/>
      <c r="R1004" s="1436"/>
      <c r="S1004" s="1436"/>
      <c r="T1004" s="1436"/>
      <c r="U1004" s="1436"/>
      <c r="V1004" s="1436"/>
      <c r="W1004" s="1436"/>
      <c r="X1004" s="1436"/>
      <c r="Y1004" s="1436"/>
      <c r="Z1004" s="1436"/>
      <c r="AA1004" s="1436"/>
      <c r="AB1004" s="1436"/>
      <c r="AC1004" s="1436"/>
      <c r="AD1004" s="1436"/>
      <c r="AE1004" s="1436"/>
      <c r="AF1004" s="1436"/>
    </row>
    <row r="1005" spans="1:32">
      <c r="A1005" s="1436"/>
      <c r="B1005" s="1436"/>
      <c r="C1005" s="1436"/>
      <c r="D1005" s="1436"/>
      <c r="E1005" s="1436"/>
      <c r="F1005" s="1436"/>
      <c r="G1005" s="1436"/>
      <c r="H1005" s="1436"/>
      <c r="I1005" s="1436"/>
      <c r="J1005" s="1436"/>
      <c r="K1005" s="1436"/>
      <c r="L1005" s="1436"/>
      <c r="M1005" s="1436"/>
      <c r="N1005" s="1436"/>
      <c r="O1005" s="1436"/>
      <c r="P1005" s="1436"/>
      <c r="Q1005" s="1436"/>
      <c r="R1005" s="1436"/>
      <c r="S1005" s="1436"/>
      <c r="T1005" s="1436"/>
      <c r="U1005" s="1436"/>
      <c r="V1005" s="1436"/>
      <c r="W1005" s="1436"/>
      <c r="X1005" s="1436"/>
      <c r="Y1005" s="1436"/>
      <c r="Z1005" s="1436"/>
      <c r="AA1005" s="1436"/>
      <c r="AB1005" s="1436"/>
      <c r="AC1005" s="1436"/>
      <c r="AD1005" s="1436"/>
      <c r="AE1005" s="1436"/>
      <c r="AF1005" s="1436"/>
    </row>
    <row r="1006" spans="1:32">
      <c r="A1006" s="1436"/>
      <c r="B1006" s="1436"/>
      <c r="C1006" s="1436"/>
      <c r="D1006" s="1436"/>
      <c r="E1006" s="1436"/>
      <c r="F1006" s="1436"/>
      <c r="G1006" s="1436"/>
      <c r="H1006" s="1436"/>
      <c r="I1006" s="1436"/>
      <c r="J1006" s="1436"/>
      <c r="K1006" s="1436"/>
      <c r="L1006" s="1436"/>
      <c r="M1006" s="1436"/>
      <c r="N1006" s="1436"/>
      <c r="O1006" s="1436"/>
      <c r="P1006" s="1436"/>
      <c r="Q1006" s="1436"/>
      <c r="R1006" s="1436"/>
      <c r="S1006" s="1436"/>
      <c r="T1006" s="1436"/>
      <c r="U1006" s="1436"/>
      <c r="V1006" s="1436"/>
      <c r="W1006" s="1436"/>
      <c r="X1006" s="1436"/>
      <c r="Y1006" s="1436"/>
      <c r="Z1006" s="1436"/>
      <c r="AA1006" s="1436"/>
      <c r="AB1006" s="1436"/>
      <c r="AC1006" s="1436"/>
      <c r="AD1006" s="1436"/>
      <c r="AE1006" s="1436"/>
      <c r="AF1006" s="1436"/>
    </row>
    <row r="1007" spans="1:32">
      <c r="A1007" s="1436"/>
      <c r="B1007" s="1436"/>
      <c r="C1007" s="1436"/>
      <c r="D1007" s="1436"/>
      <c r="E1007" s="1436"/>
      <c r="F1007" s="1436"/>
      <c r="G1007" s="1436"/>
      <c r="H1007" s="1436"/>
      <c r="I1007" s="1436"/>
      <c r="J1007" s="1436"/>
      <c r="K1007" s="1436"/>
      <c r="L1007" s="1436"/>
      <c r="M1007" s="1436"/>
      <c r="N1007" s="1436"/>
      <c r="O1007" s="1436"/>
      <c r="P1007" s="1436"/>
      <c r="Q1007" s="1436"/>
      <c r="R1007" s="1436"/>
      <c r="S1007" s="1436"/>
      <c r="T1007" s="1436"/>
      <c r="U1007" s="1436"/>
      <c r="V1007" s="1436"/>
      <c r="W1007" s="1436"/>
      <c r="X1007" s="1436"/>
      <c r="Y1007" s="1436"/>
      <c r="Z1007" s="1436"/>
      <c r="AA1007" s="1436"/>
      <c r="AB1007" s="1436"/>
      <c r="AC1007" s="1436"/>
      <c r="AD1007" s="1436"/>
      <c r="AE1007" s="1436"/>
      <c r="AF1007" s="1436"/>
    </row>
    <row r="1008" spans="1:32">
      <c r="A1008" s="1436"/>
      <c r="B1008" s="1436"/>
      <c r="C1008" s="1436"/>
      <c r="D1008" s="1436"/>
      <c r="E1008" s="1436"/>
      <c r="F1008" s="1436"/>
      <c r="G1008" s="1436"/>
      <c r="H1008" s="1436"/>
      <c r="I1008" s="1436"/>
      <c r="J1008" s="1436"/>
      <c r="K1008" s="1436"/>
      <c r="L1008" s="1436"/>
      <c r="M1008" s="1436"/>
      <c r="N1008" s="1436"/>
      <c r="O1008" s="1436"/>
      <c r="P1008" s="1436"/>
      <c r="Q1008" s="1436"/>
      <c r="R1008" s="1436"/>
      <c r="S1008" s="1436"/>
      <c r="T1008" s="1436"/>
      <c r="U1008" s="1436"/>
      <c r="V1008" s="1436"/>
      <c r="W1008" s="1436"/>
      <c r="X1008" s="1436"/>
      <c r="Y1008" s="1436"/>
      <c r="Z1008" s="1436"/>
      <c r="AA1008" s="1436"/>
      <c r="AB1008" s="1436"/>
      <c r="AC1008" s="1436"/>
      <c r="AD1008" s="1436"/>
      <c r="AE1008" s="1436"/>
      <c r="AF1008" s="1436"/>
    </row>
    <row r="1009" spans="1:32">
      <c r="A1009" s="1436"/>
      <c r="B1009" s="1436"/>
      <c r="C1009" s="1436"/>
      <c r="D1009" s="1436"/>
      <c r="E1009" s="1436"/>
      <c r="F1009" s="1436"/>
      <c r="G1009" s="1436"/>
      <c r="H1009" s="1436"/>
      <c r="I1009" s="1436"/>
      <c r="J1009" s="1436"/>
      <c r="K1009" s="1436"/>
      <c r="L1009" s="1436"/>
      <c r="M1009" s="1436"/>
      <c r="N1009" s="1436"/>
      <c r="O1009" s="1436"/>
      <c r="P1009" s="1436"/>
      <c r="Q1009" s="1436"/>
      <c r="R1009" s="1436"/>
      <c r="S1009" s="1436"/>
      <c r="T1009" s="1436"/>
      <c r="U1009" s="1436"/>
      <c r="V1009" s="1436"/>
      <c r="W1009" s="1436"/>
      <c r="X1009" s="1436"/>
      <c r="Y1009" s="1436"/>
      <c r="Z1009" s="1436"/>
      <c r="AA1009" s="1436"/>
      <c r="AB1009" s="1436"/>
      <c r="AC1009" s="1436"/>
      <c r="AD1009" s="1436"/>
      <c r="AE1009" s="1436"/>
      <c r="AF1009" s="1436"/>
    </row>
    <row r="1010" spans="1:32">
      <c r="A1010" s="1436"/>
      <c r="B1010" s="1436"/>
      <c r="C1010" s="1436"/>
      <c r="D1010" s="1436"/>
      <c r="E1010" s="1436"/>
      <c r="F1010" s="1436"/>
      <c r="G1010" s="1436"/>
      <c r="H1010" s="1436"/>
      <c r="I1010" s="1436"/>
      <c r="J1010" s="1436"/>
      <c r="K1010" s="1436"/>
      <c r="L1010" s="1436"/>
      <c r="M1010" s="1436"/>
      <c r="N1010" s="1436"/>
      <c r="O1010" s="1436"/>
      <c r="P1010" s="1436"/>
      <c r="Q1010" s="1436"/>
      <c r="R1010" s="1436"/>
      <c r="S1010" s="1436"/>
      <c r="T1010" s="1436"/>
      <c r="U1010" s="1436"/>
      <c r="V1010" s="1436"/>
      <c r="W1010" s="1436"/>
      <c r="X1010" s="1436"/>
      <c r="Y1010" s="1436"/>
      <c r="Z1010" s="1436"/>
      <c r="AA1010" s="1436"/>
      <c r="AB1010" s="1436"/>
      <c r="AC1010" s="1436"/>
      <c r="AD1010" s="1436"/>
      <c r="AE1010" s="1436"/>
      <c r="AF1010" s="1436"/>
    </row>
    <row r="1011" spans="1:32">
      <c r="A1011" s="1436"/>
      <c r="B1011" s="1436"/>
      <c r="C1011" s="1436"/>
      <c r="D1011" s="1436"/>
      <c r="E1011" s="1436"/>
      <c r="F1011" s="1436"/>
      <c r="G1011" s="1436"/>
      <c r="H1011" s="1436"/>
      <c r="I1011" s="1436"/>
      <c r="J1011" s="1436"/>
      <c r="K1011" s="1436"/>
      <c r="L1011" s="1436"/>
      <c r="M1011" s="1436"/>
      <c r="N1011" s="1436"/>
      <c r="O1011" s="1436"/>
      <c r="P1011" s="1436"/>
      <c r="Q1011" s="1436"/>
      <c r="R1011" s="1436"/>
      <c r="S1011" s="1436"/>
      <c r="T1011" s="1436"/>
      <c r="U1011" s="1436"/>
      <c r="V1011" s="1436"/>
      <c r="W1011" s="1436"/>
      <c r="X1011" s="1436"/>
      <c r="Y1011" s="1436"/>
      <c r="Z1011" s="1436"/>
      <c r="AA1011" s="1436"/>
      <c r="AB1011" s="1436"/>
      <c r="AC1011" s="1436"/>
      <c r="AD1011" s="1436"/>
      <c r="AE1011" s="1436"/>
      <c r="AF1011" s="1436"/>
    </row>
    <row r="1012" spans="1:32">
      <c r="A1012" s="1436"/>
      <c r="B1012" s="1436"/>
      <c r="C1012" s="1436"/>
      <c r="D1012" s="1436"/>
      <c r="E1012" s="1436"/>
      <c r="F1012" s="1436"/>
      <c r="G1012" s="1436"/>
      <c r="H1012" s="1436"/>
      <c r="I1012" s="1436"/>
      <c r="J1012" s="1436"/>
      <c r="K1012" s="1436"/>
      <c r="L1012" s="1436"/>
      <c r="M1012" s="1436"/>
      <c r="N1012" s="1436"/>
      <c r="O1012" s="1436"/>
      <c r="P1012" s="1436"/>
      <c r="Q1012" s="1436"/>
      <c r="R1012" s="1436"/>
      <c r="S1012" s="1436"/>
      <c r="T1012" s="1436"/>
      <c r="U1012" s="1436"/>
      <c r="V1012" s="1436"/>
      <c r="W1012" s="1436"/>
      <c r="X1012" s="1436"/>
      <c r="Y1012" s="1436"/>
      <c r="Z1012" s="1436"/>
      <c r="AA1012" s="1436"/>
      <c r="AB1012" s="1436"/>
      <c r="AC1012" s="1436"/>
      <c r="AD1012" s="1436"/>
      <c r="AE1012" s="1436"/>
      <c r="AF1012" s="1436"/>
    </row>
    <row r="1013" spans="1:32">
      <c r="A1013" s="1436"/>
      <c r="B1013" s="1436"/>
      <c r="C1013" s="1436"/>
      <c r="D1013" s="1436"/>
      <c r="E1013" s="1436"/>
      <c r="F1013" s="1436"/>
      <c r="G1013" s="1436"/>
      <c r="H1013" s="1436"/>
      <c r="I1013" s="1436"/>
      <c r="J1013" s="1436"/>
      <c r="K1013" s="1436"/>
      <c r="L1013" s="1436"/>
      <c r="M1013" s="1436"/>
      <c r="N1013" s="1436"/>
      <c r="O1013" s="1436"/>
      <c r="P1013" s="1436"/>
      <c r="Q1013" s="1436"/>
      <c r="R1013" s="1436"/>
      <c r="S1013" s="1436"/>
      <c r="T1013" s="1436"/>
      <c r="U1013" s="1436"/>
      <c r="V1013" s="1436"/>
      <c r="W1013" s="1436"/>
      <c r="X1013" s="1436"/>
      <c r="Y1013" s="1436"/>
      <c r="Z1013" s="1436"/>
      <c r="AA1013" s="1436"/>
      <c r="AB1013" s="1436"/>
      <c r="AC1013" s="1436"/>
      <c r="AD1013" s="1436"/>
      <c r="AE1013" s="1436"/>
      <c r="AF1013" s="1436"/>
    </row>
    <row r="1014" spans="1:32">
      <c r="A1014" s="1436"/>
      <c r="B1014" s="1436"/>
      <c r="C1014" s="1436"/>
      <c r="D1014" s="1436"/>
      <c r="E1014" s="1436"/>
      <c r="F1014" s="1436"/>
      <c r="G1014" s="1436"/>
      <c r="H1014" s="1436"/>
      <c r="I1014" s="1436"/>
      <c r="J1014" s="1436"/>
      <c r="K1014" s="1436"/>
      <c r="L1014" s="1436"/>
      <c r="M1014" s="1436"/>
      <c r="N1014" s="1436"/>
      <c r="O1014" s="1436"/>
      <c r="P1014" s="1436"/>
      <c r="Q1014" s="1436"/>
      <c r="R1014" s="1436"/>
      <c r="S1014" s="1436"/>
      <c r="T1014" s="1436"/>
      <c r="U1014" s="1436"/>
      <c r="V1014" s="1436"/>
      <c r="W1014" s="1436"/>
      <c r="X1014" s="1436"/>
      <c r="Y1014" s="1436"/>
      <c r="Z1014" s="1436"/>
      <c r="AA1014" s="1436"/>
      <c r="AB1014" s="1436"/>
      <c r="AC1014" s="1436"/>
      <c r="AD1014" s="1436"/>
      <c r="AE1014" s="1436"/>
      <c r="AF1014" s="1436"/>
    </row>
    <row r="1015" spans="1:32">
      <c r="A1015" s="1436"/>
      <c r="B1015" s="1436"/>
      <c r="C1015" s="1436"/>
      <c r="D1015" s="1436"/>
      <c r="E1015" s="1436"/>
      <c r="F1015" s="1436"/>
      <c r="G1015" s="1436"/>
      <c r="H1015" s="1436"/>
      <c r="I1015" s="1436"/>
      <c r="J1015" s="1436"/>
      <c r="K1015" s="1436"/>
      <c r="L1015" s="1436"/>
      <c r="M1015" s="1436"/>
      <c r="N1015" s="1436"/>
      <c r="O1015" s="1436"/>
      <c r="P1015" s="1436"/>
      <c r="Q1015" s="1436"/>
      <c r="R1015" s="1436"/>
      <c r="S1015" s="1436"/>
      <c r="T1015" s="1436"/>
      <c r="U1015" s="1436"/>
      <c r="V1015" s="1436"/>
      <c r="W1015" s="1436"/>
      <c r="X1015" s="1436"/>
      <c r="Y1015" s="1436"/>
      <c r="Z1015" s="1436"/>
      <c r="AA1015" s="1436"/>
      <c r="AB1015" s="1436"/>
      <c r="AC1015" s="1436"/>
      <c r="AD1015" s="1436"/>
      <c r="AE1015" s="1436"/>
      <c r="AF1015" s="1436"/>
    </row>
    <row r="1016" spans="1:32">
      <c r="A1016" s="1436"/>
      <c r="B1016" s="1436"/>
      <c r="C1016" s="1436"/>
      <c r="D1016" s="1436"/>
      <c r="E1016" s="1436"/>
      <c r="F1016" s="1436"/>
      <c r="G1016" s="1436"/>
      <c r="H1016" s="1436"/>
      <c r="I1016" s="1436"/>
      <c r="J1016" s="1436"/>
      <c r="K1016" s="1436"/>
      <c r="L1016" s="1436"/>
      <c r="M1016" s="1436"/>
      <c r="N1016" s="1436"/>
      <c r="O1016" s="1436"/>
      <c r="P1016" s="1436"/>
      <c r="Q1016" s="1436"/>
      <c r="R1016" s="1436"/>
      <c r="S1016" s="1436"/>
      <c r="T1016" s="1436"/>
      <c r="U1016" s="1436"/>
      <c r="V1016" s="1436"/>
      <c r="W1016" s="1436"/>
      <c r="X1016" s="1436"/>
      <c r="Y1016" s="1436"/>
      <c r="Z1016" s="1436"/>
      <c r="AA1016" s="1436"/>
      <c r="AB1016" s="1436"/>
      <c r="AC1016" s="1436"/>
      <c r="AD1016" s="1436"/>
      <c r="AE1016" s="1436"/>
      <c r="AF1016" s="1436"/>
    </row>
    <row r="1017" spans="1:32">
      <c r="A1017" s="1436"/>
      <c r="B1017" s="1436"/>
      <c r="C1017" s="1436"/>
      <c r="D1017" s="1436"/>
      <c r="E1017" s="1436"/>
      <c r="F1017" s="1436"/>
      <c r="G1017" s="1436"/>
      <c r="H1017" s="1436"/>
      <c r="I1017" s="1436"/>
      <c r="J1017" s="1436"/>
      <c r="K1017" s="1436"/>
      <c r="L1017" s="1436"/>
      <c r="M1017" s="1436"/>
      <c r="N1017" s="1436"/>
      <c r="O1017" s="1436"/>
      <c r="P1017" s="1436"/>
      <c r="Q1017" s="1436"/>
      <c r="R1017" s="1436"/>
      <c r="S1017" s="1436"/>
      <c r="T1017" s="1436"/>
      <c r="U1017" s="1436"/>
      <c r="V1017" s="1436"/>
      <c r="W1017" s="1436"/>
      <c r="X1017" s="1436"/>
      <c r="Y1017" s="1436"/>
      <c r="Z1017" s="1436"/>
      <c r="AA1017" s="1436"/>
      <c r="AB1017" s="1436"/>
      <c r="AC1017" s="1436"/>
      <c r="AD1017" s="1436"/>
      <c r="AE1017" s="1436"/>
      <c r="AF1017" s="1436"/>
    </row>
    <row r="1018" spans="1:32">
      <c r="A1018" s="1436"/>
      <c r="B1018" s="1436"/>
      <c r="C1018" s="1436"/>
      <c r="D1018" s="1436"/>
      <c r="E1018" s="1436"/>
      <c r="F1018" s="1436"/>
      <c r="G1018" s="1436"/>
      <c r="H1018" s="1436"/>
      <c r="I1018" s="1436"/>
      <c r="J1018" s="1436"/>
      <c r="K1018" s="1436"/>
      <c r="L1018" s="1436"/>
      <c r="M1018" s="1436"/>
      <c r="N1018" s="1436"/>
      <c r="O1018" s="1436"/>
      <c r="P1018" s="1436"/>
      <c r="Q1018" s="1436"/>
      <c r="R1018" s="1436"/>
      <c r="S1018" s="1436"/>
      <c r="T1018" s="1436"/>
      <c r="U1018" s="1436"/>
      <c r="V1018" s="1436"/>
      <c r="W1018" s="1436"/>
      <c r="X1018" s="1436"/>
      <c r="Y1018" s="1436"/>
      <c r="Z1018" s="1436"/>
      <c r="AA1018" s="1436"/>
      <c r="AB1018" s="1436"/>
      <c r="AC1018" s="1436"/>
      <c r="AD1018" s="1436"/>
      <c r="AE1018" s="1436"/>
      <c r="AF1018" s="1436"/>
    </row>
    <row r="1019" spans="1:32">
      <c r="A1019" s="1436"/>
      <c r="B1019" s="1436"/>
      <c r="C1019" s="1436"/>
      <c r="D1019" s="1436"/>
      <c r="E1019" s="1436"/>
      <c r="F1019" s="1436"/>
      <c r="G1019" s="1436"/>
      <c r="H1019" s="1436"/>
      <c r="I1019" s="1436"/>
      <c r="J1019" s="1436"/>
      <c r="K1019" s="1436"/>
      <c r="L1019" s="1436"/>
      <c r="M1019" s="1436"/>
      <c r="N1019" s="1436"/>
      <c r="O1019" s="1436"/>
      <c r="P1019" s="1436"/>
      <c r="Q1019" s="1436"/>
      <c r="R1019" s="1436"/>
      <c r="S1019" s="1436"/>
      <c r="T1019" s="1436"/>
      <c r="U1019" s="1436"/>
      <c r="V1019" s="1436"/>
      <c r="W1019" s="1436"/>
      <c r="X1019" s="1436"/>
      <c r="Y1019" s="1436"/>
      <c r="Z1019" s="1436"/>
      <c r="AA1019" s="1436"/>
      <c r="AB1019" s="1436"/>
      <c r="AC1019" s="1436"/>
      <c r="AD1019" s="1436"/>
      <c r="AE1019" s="1436"/>
      <c r="AF1019" s="1436"/>
    </row>
    <row r="1020" spans="1:32">
      <c r="A1020" s="1436"/>
      <c r="B1020" s="1436"/>
      <c r="C1020" s="1436"/>
      <c r="D1020" s="1436"/>
      <c r="E1020" s="1436"/>
      <c r="F1020" s="1436"/>
      <c r="G1020" s="1436"/>
      <c r="H1020" s="1436"/>
      <c r="I1020" s="1436"/>
      <c r="J1020" s="1436"/>
      <c r="K1020" s="1436"/>
      <c r="L1020" s="1436"/>
      <c r="M1020" s="1436"/>
      <c r="N1020" s="1436"/>
      <c r="O1020" s="1436"/>
      <c r="P1020" s="1436"/>
      <c r="Q1020" s="1436"/>
      <c r="R1020" s="1436"/>
      <c r="S1020" s="1436"/>
      <c r="T1020" s="1436"/>
      <c r="U1020" s="1436"/>
      <c r="V1020" s="1436"/>
      <c r="W1020" s="1436"/>
      <c r="X1020" s="1436"/>
      <c r="Y1020" s="1436"/>
      <c r="Z1020" s="1436"/>
      <c r="AA1020" s="1436"/>
      <c r="AB1020" s="1436"/>
      <c r="AC1020" s="1436"/>
      <c r="AD1020" s="1436"/>
      <c r="AE1020" s="1436"/>
      <c r="AF1020" s="1436"/>
    </row>
    <row r="1021" spans="1:32">
      <c r="A1021" s="1436"/>
      <c r="B1021" s="1436"/>
      <c r="C1021" s="1436"/>
      <c r="D1021" s="1436"/>
      <c r="E1021" s="1436"/>
      <c r="F1021" s="1436"/>
      <c r="G1021" s="1436"/>
      <c r="H1021" s="1436"/>
      <c r="I1021" s="1436"/>
      <c r="J1021" s="1436"/>
      <c r="K1021" s="1436"/>
      <c r="L1021" s="1436"/>
      <c r="M1021" s="1436"/>
      <c r="N1021" s="1436"/>
      <c r="O1021" s="1436"/>
      <c r="P1021" s="1436"/>
      <c r="Q1021" s="1436"/>
      <c r="R1021" s="1436"/>
      <c r="S1021" s="1436"/>
      <c r="T1021" s="1436"/>
      <c r="U1021" s="1436"/>
      <c r="V1021" s="1436"/>
      <c r="W1021" s="1436"/>
      <c r="X1021" s="1436"/>
      <c r="Y1021" s="1436"/>
      <c r="Z1021" s="1436"/>
      <c r="AA1021" s="1436"/>
      <c r="AB1021" s="1436"/>
      <c r="AC1021" s="1436"/>
      <c r="AD1021" s="1436"/>
      <c r="AE1021" s="1436"/>
      <c r="AF1021" s="1436"/>
    </row>
    <row r="1022" spans="1:32">
      <c r="A1022" s="1436"/>
      <c r="B1022" s="1436"/>
      <c r="C1022" s="1436"/>
      <c r="D1022" s="1436"/>
      <c r="E1022" s="1436"/>
      <c r="F1022" s="1436"/>
      <c r="G1022" s="1436"/>
      <c r="H1022" s="1436"/>
      <c r="I1022" s="1436"/>
      <c r="J1022" s="1436"/>
      <c r="K1022" s="1436"/>
      <c r="L1022" s="1436"/>
      <c r="M1022" s="1436"/>
      <c r="N1022" s="1436"/>
      <c r="O1022" s="1436"/>
      <c r="P1022" s="1436"/>
      <c r="Q1022" s="1436"/>
      <c r="R1022" s="1436"/>
      <c r="S1022" s="1436"/>
      <c r="T1022" s="1436"/>
      <c r="U1022" s="1436"/>
      <c r="V1022" s="1436"/>
      <c r="W1022" s="1436"/>
      <c r="X1022" s="1436"/>
      <c r="Y1022" s="1436"/>
      <c r="Z1022" s="1436"/>
      <c r="AA1022" s="1436"/>
      <c r="AB1022" s="1436"/>
      <c r="AC1022" s="1436"/>
      <c r="AD1022" s="1436"/>
      <c r="AE1022" s="1436"/>
      <c r="AF1022" s="1436"/>
    </row>
    <row r="1023" spans="1:32">
      <c r="A1023" s="1436"/>
      <c r="B1023" s="1436"/>
      <c r="C1023" s="1436"/>
      <c r="D1023" s="1436"/>
      <c r="E1023" s="1436"/>
      <c r="F1023" s="1436"/>
      <c r="G1023" s="1436"/>
      <c r="H1023" s="1436"/>
      <c r="I1023" s="1436"/>
      <c r="J1023" s="1436"/>
      <c r="K1023" s="1436"/>
      <c r="L1023" s="1436"/>
      <c r="M1023" s="1436"/>
      <c r="N1023" s="1436"/>
      <c r="O1023" s="1436"/>
      <c r="P1023" s="1436"/>
      <c r="Q1023" s="1436"/>
      <c r="R1023" s="1436"/>
      <c r="S1023" s="1436"/>
      <c r="T1023" s="1436"/>
      <c r="U1023" s="1436"/>
      <c r="V1023" s="1436"/>
      <c r="W1023" s="1436"/>
      <c r="X1023" s="1436"/>
      <c r="Y1023" s="1436"/>
      <c r="Z1023" s="1436"/>
      <c r="AA1023" s="1436"/>
      <c r="AB1023" s="1436"/>
      <c r="AC1023" s="1436"/>
      <c r="AD1023" s="1436"/>
      <c r="AE1023" s="1436"/>
      <c r="AF1023" s="1436"/>
    </row>
    <row r="1024" spans="1:32">
      <c r="A1024" s="1436"/>
      <c r="B1024" s="1436"/>
      <c r="C1024" s="1436"/>
      <c r="D1024" s="1436"/>
      <c r="E1024" s="1436"/>
      <c r="F1024" s="1436"/>
      <c r="G1024" s="1436"/>
      <c r="H1024" s="1436"/>
      <c r="I1024" s="1436"/>
      <c r="J1024" s="1436"/>
      <c r="K1024" s="1436"/>
      <c r="L1024" s="1436"/>
      <c r="M1024" s="1436"/>
      <c r="N1024" s="1436"/>
      <c r="O1024" s="1436"/>
      <c r="P1024" s="1436"/>
      <c r="Q1024" s="1436"/>
      <c r="R1024" s="1436"/>
      <c r="S1024" s="1436"/>
      <c r="T1024" s="1436"/>
      <c r="U1024" s="1436"/>
      <c r="V1024" s="1436"/>
      <c r="W1024" s="1436"/>
      <c r="X1024" s="1436"/>
      <c r="Y1024" s="1436"/>
      <c r="Z1024" s="1436"/>
      <c r="AA1024" s="1436"/>
      <c r="AB1024" s="1436"/>
      <c r="AC1024" s="1436"/>
      <c r="AD1024" s="1436"/>
      <c r="AE1024" s="1436"/>
      <c r="AF1024" s="1436"/>
    </row>
    <row r="1025" spans="1:32">
      <c r="A1025" s="1436"/>
      <c r="B1025" s="1436"/>
      <c r="C1025" s="1436"/>
      <c r="D1025" s="1436"/>
      <c r="E1025" s="1436"/>
      <c r="F1025" s="1436"/>
      <c r="G1025" s="1436"/>
      <c r="H1025" s="1436"/>
      <c r="I1025" s="1436"/>
      <c r="J1025" s="1436"/>
      <c r="K1025" s="1436"/>
      <c r="L1025" s="1436"/>
      <c r="M1025" s="1436"/>
      <c r="N1025" s="1436"/>
      <c r="O1025" s="1436"/>
      <c r="P1025" s="1436"/>
      <c r="Q1025" s="1436"/>
      <c r="R1025" s="1436"/>
      <c r="S1025" s="1436"/>
      <c r="T1025" s="1436"/>
      <c r="U1025" s="1436"/>
      <c r="V1025" s="1436"/>
      <c r="W1025" s="1436"/>
      <c r="X1025" s="1436"/>
      <c r="Y1025" s="1436"/>
      <c r="Z1025" s="1436"/>
      <c r="AA1025" s="1436"/>
      <c r="AB1025" s="1436"/>
      <c r="AC1025" s="1436"/>
      <c r="AD1025" s="1436"/>
      <c r="AE1025" s="1436"/>
      <c r="AF1025" s="1436"/>
    </row>
    <row r="1026" spans="1:32">
      <c r="A1026" s="1436"/>
      <c r="B1026" s="1436"/>
      <c r="C1026" s="1436"/>
      <c r="D1026" s="1436"/>
      <c r="E1026" s="1436"/>
      <c r="F1026" s="1436"/>
      <c r="G1026" s="1436"/>
      <c r="H1026" s="1436"/>
      <c r="I1026" s="1436"/>
      <c r="J1026" s="1436"/>
      <c r="K1026" s="1436"/>
      <c r="L1026" s="1436"/>
      <c r="M1026" s="1436"/>
      <c r="N1026" s="1436"/>
      <c r="O1026" s="1436"/>
      <c r="P1026" s="1436"/>
      <c r="Q1026" s="1436"/>
      <c r="R1026" s="1436"/>
      <c r="S1026" s="1436"/>
      <c r="T1026" s="1436"/>
      <c r="U1026" s="1436"/>
      <c r="V1026" s="1436"/>
      <c r="W1026" s="1436"/>
      <c r="X1026" s="1436"/>
      <c r="Y1026" s="1436"/>
      <c r="Z1026" s="1436"/>
      <c r="AA1026" s="1436"/>
      <c r="AB1026" s="1436"/>
      <c r="AC1026" s="1436"/>
      <c r="AD1026" s="1436"/>
      <c r="AE1026" s="1436"/>
      <c r="AF1026" s="1436"/>
    </row>
    <row r="1027" spans="1:32">
      <c r="A1027" s="1436"/>
      <c r="B1027" s="1436"/>
      <c r="C1027" s="1436"/>
      <c r="D1027" s="1436"/>
      <c r="E1027" s="1436"/>
      <c r="F1027" s="1436"/>
      <c r="G1027" s="1436"/>
      <c r="H1027" s="1436"/>
      <c r="I1027" s="1436"/>
      <c r="J1027" s="1436"/>
      <c r="K1027" s="1436"/>
      <c r="L1027" s="1436"/>
      <c r="M1027" s="1436"/>
      <c r="N1027" s="1436"/>
      <c r="O1027" s="1436"/>
      <c r="P1027" s="1436"/>
      <c r="Q1027" s="1436"/>
      <c r="R1027" s="1436"/>
      <c r="S1027" s="1436"/>
      <c r="T1027" s="1436"/>
      <c r="U1027" s="1436"/>
      <c r="V1027" s="1436"/>
      <c r="W1027" s="1436"/>
      <c r="X1027" s="1436"/>
      <c r="Y1027" s="1436"/>
      <c r="Z1027" s="1436"/>
      <c r="AA1027" s="1436"/>
      <c r="AB1027" s="1436"/>
      <c r="AC1027" s="1436"/>
      <c r="AD1027" s="1436"/>
      <c r="AE1027" s="1436"/>
      <c r="AF1027" s="1436"/>
    </row>
    <row r="1028" spans="1:32">
      <c r="A1028" s="1436"/>
      <c r="B1028" s="1436"/>
      <c r="C1028" s="1436"/>
      <c r="D1028" s="1436"/>
      <c r="E1028" s="1436"/>
      <c r="F1028" s="1436"/>
      <c r="G1028" s="1436"/>
      <c r="H1028" s="1436"/>
      <c r="I1028" s="1436"/>
      <c r="J1028" s="1436"/>
      <c r="K1028" s="1436"/>
      <c r="L1028" s="1436"/>
      <c r="M1028" s="1436"/>
      <c r="N1028" s="1436"/>
      <c r="O1028" s="1436"/>
      <c r="P1028" s="1436"/>
      <c r="Q1028" s="1436"/>
      <c r="R1028" s="1436"/>
      <c r="S1028" s="1436"/>
      <c r="T1028" s="1436"/>
      <c r="U1028" s="1436"/>
      <c r="V1028" s="1436"/>
      <c r="W1028" s="1436"/>
      <c r="X1028" s="1436"/>
      <c r="Y1028" s="1436"/>
      <c r="Z1028" s="1436"/>
      <c r="AA1028" s="1436"/>
      <c r="AB1028" s="1436"/>
      <c r="AC1028" s="1436"/>
      <c r="AD1028" s="1436"/>
      <c r="AE1028" s="1436"/>
      <c r="AF1028" s="1436"/>
    </row>
    <row r="1029" spans="1:32">
      <c r="A1029" s="1436"/>
      <c r="B1029" s="1436"/>
      <c r="C1029" s="1436"/>
      <c r="D1029" s="1436"/>
      <c r="E1029" s="1436"/>
      <c r="F1029" s="1436"/>
      <c r="G1029" s="1436"/>
      <c r="H1029" s="1436"/>
      <c r="I1029" s="1436"/>
      <c r="J1029" s="1436"/>
      <c r="K1029" s="1436"/>
      <c r="L1029" s="1436"/>
      <c r="M1029" s="1436"/>
      <c r="N1029" s="1436"/>
      <c r="O1029" s="1436"/>
      <c r="P1029" s="1436"/>
      <c r="Q1029" s="1436"/>
      <c r="R1029" s="1436"/>
      <c r="S1029" s="1436"/>
      <c r="T1029" s="1436"/>
      <c r="U1029" s="1436"/>
      <c r="V1029" s="1436"/>
      <c r="W1029" s="1436"/>
      <c r="X1029" s="1436"/>
      <c r="Y1029" s="1436"/>
      <c r="Z1029" s="1436"/>
      <c r="AA1029" s="1436"/>
      <c r="AB1029" s="1436"/>
      <c r="AC1029" s="1436"/>
      <c r="AD1029" s="1436"/>
      <c r="AE1029" s="1436"/>
      <c r="AF1029" s="1436"/>
    </row>
    <row r="1030" spans="1:32">
      <c r="A1030" s="1436"/>
      <c r="B1030" s="1436"/>
      <c r="C1030" s="1436"/>
      <c r="D1030" s="1436"/>
      <c r="E1030" s="1436"/>
      <c r="F1030" s="1436"/>
      <c r="G1030" s="1436"/>
      <c r="H1030" s="1436"/>
      <c r="I1030" s="1436"/>
      <c r="J1030" s="1436"/>
      <c r="K1030" s="1436"/>
      <c r="L1030" s="1436"/>
      <c r="M1030" s="1436"/>
      <c r="N1030" s="1436"/>
      <c r="O1030" s="1436"/>
      <c r="P1030" s="1436"/>
      <c r="Q1030" s="1436"/>
      <c r="R1030" s="1436"/>
      <c r="S1030" s="1436"/>
      <c r="T1030" s="1436"/>
      <c r="U1030" s="1436"/>
      <c r="V1030" s="1436"/>
      <c r="W1030" s="1436"/>
      <c r="X1030" s="1436"/>
      <c r="Y1030" s="1436"/>
      <c r="Z1030" s="1436"/>
      <c r="AA1030" s="1436"/>
      <c r="AB1030" s="1436"/>
      <c r="AC1030" s="1436"/>
      <c r="AD1030" s="1436"/>
      <c r="AE1030" s="1436"/>
      <c r="AF1030" s="1436"/>
    </row>
    <row r="1031" spans="1:32">
      <c r="A1031" s="1436"/>
      <c r="B1031" s="1436"/>
      <c r="C1031" s="1436"/>
      <c r="D1031" s="1436"/>
      <c r="E1031" s="1436"/>
      <c r="F1031" s="1436"/>
      <c r="G1031" s="1436"/>
      <c r="H1031" s="1436"/>
      <c r="I1031" s="1436"/>
      <c r="J1031" s="1436"/>
      <c r="K1031" s="1436"/>
      <c r="L1031" s="1436"/>
      <c r="M1031" s="1436"/>
      <c r="N1031" s="1436"/>
      <c r="O1031" s="1436"/>
      <c r="P1031" s="1436"/>
      <c r="Q1031" s="1436"/>
      <c r="R1031" s="1436"/>
      <c r="S1031" s="1436"/>
      <c r="T1031" s="1436"/>
      <c r="U1031" s="1436"/>
      <c r="V1031" s="1436"/>
      <c r="W1031" s="1436"/>
      <c r="X1031" s="1436"/>
      <c r="Y1031" s="1436"/>
      <c r="Z1031" s="1436"/>
      <c r="AA1031" s="1436"/>
      <c r="AB1031" s="1436"/>
      <c r="AC1031" s="1436"/>
      <c r="AD1031" s="1436"/>
      <c r="AE1031" s="1436"/>
      <c r="AF1031" s="1436"/>
    </row>
    <row r="1032" spans="1:32">
      <c r="A1032" s="1436"/>
      <c r="B1032" s="1436"/>
      <c r="C1032" s="1436"/>
      <c r="D1032" s="1436"/>
      <c r="E1032" s="1436"/>
      <c r="F1032" s="1436"/>
      <c r="G1032" s="1436"/>
      <c r="H1032" s="1436"/>
      <c r="I1032" s="1436"/>
      <c r="J1032" s="1436"/>
      <c r="K1032" s="1436"/>
      <c r="L1032" s="1436"/>
      <c r="M1032" s="1436"/>
      <c r="N1032" s="1436"/>
      <c r="O1032" s="1436"/>
      <c r="P1032" s="1436"/>
      <c r="Q1032" s="1436"/>
      <c r="R1032" s="1436"/>
      <c r="S1032" s="1436"/>
      <c r="T1032" s="1436"/>
      <c r="U1032" s="1436"/>
      <c r="V1032" s="1436"/>
      <c r="W1032" s="1436"/>
      <c r="X1032" s="1436"/>
      <c r="Y1032" s="1436"/>
      <c r="Z1032" s="1436"/>
      <c r="AA1032" s="1436"/>
      <c r="AB1032" s="1436"/>
      <c r="AC1032" s="1436"/>
      <c r="AD1032" s="1436"/>
      <c r="AE1032" s="1436"/>
      <c r="AF1032" s="1436"/>
    </row>
    <row r="1033" spans="1:32">
      <c r="A1033" s="1436"/>
      <c r="B1033" s="1436"/>
      <c r="C1033" s="1436"/>
      <c r="D1033" s="1436"/>
      <c r="E1033" s="1436"/>
      <c r="F1033" s="1436"/>
      <c r="G1033" s="1436"/>
      <c r="H1033" s="1436"/>
      <c r="I1033" s="1436"/>
      <c r="J1033" s="1436"/>
      <c r="K1033" s="1436"/>
      <c r="L1033" s="1436"/>
      <c r="M1033" s="1436"/>
      <c r="N1033" s="1436"/>
      <c r="O1033" s="1436"/>
      <c r="P1033" s="1436"/>
      <c r="Q1033" s="1436"/>
      <c r="R1033" s="1436"/>
      <c r="S1033" s="1436"/>
      <c r="T1033" s="1436"/>
      <c r="U1033" s="1436"/>
      <c r="V1033" s="1436"/>
      <c r="W1033" s="1436"/>
      <c r="X1033" s="1436"/>
      <c r="Y1033" s="1436"/>
      <c r="Z1033" s="1436"/>
      <c r="AA1033" s="1436"/>
      <c r="AB1033" s="1436"/>
      <c r="AC1033" s="1436"/>
      <c r="AD1033" s="1436"/>
      <c r="AE1033" s="1436"/>
      <c r="AF1033" s="1436"/>
    </row>
    <row r="1034" spans="1:32">
      <c r="A1034" s="1436"/>
      <c r="B1034" s="1436"/>
      <c r="C1034" s="1436"/>
      <c r="D1034" s="1436"/>
      <c r="E1034" s="1436"/>
      <c r="F1034" s="1436"/>
      <c r="G1034" s="1436"/>
      <c r="H1034" s="1436"/>
      <c r="I1034" s="1436"/>
      <c r="J1034" s="1436"/>
      <c r="K1034" s="1436"/>
      <c r="L1034" s="1436"/>
      <c r="M1034" s="1436"/>
      <c r="N1034" s="1436"/>
      <c r="O1034" s="1436"/>
      <c r="P1034" s="1436"/>
      <c r="Q1034" s="1436"/>
      <c r="R1034" s="1436"/>
      <c r="S1034" s="1436"/>
      <c r="T1034" s="1436"/>
      <c r="U1034" s="1436"/>
      <c r="V1034" s="1436"/>
      <c r="W1034" s="1436"/>
      <c r="X1034" s="1436"/>
      <c r="Y1034" s="1436"/>
      <c r="Z1034" s="1436"/>
      <c r="AA1034" s="1436"/>
      <c r="AB1034" s="1436"/>
      <c r="AC1034" s="1436"/>
      <c r="AD1034" s="1436"/>
      <c r="AE1034" s="1436"/>
      <c r="AF1034" s="1436"/>
    </row>
    <row r="1035" spans="1:32">
      <c r="A1035" s="1436"/>
      <c r="B1035" s="1436"/>
      <c r="C1035" s="1436"/>
      <c r="D1035" s="1436"/>
      <c r="E1035" s="1436"/>
      <c r="F1035" s="1436"/>
      <c r="G1035" s="1436"/>
      <c r="H1035" s="1436"/>
      <c r="I1035" s="1436"/>
      <c r="J1035" s="1436"/>
      <c r="K1035" s="1436"/>
      <c r="L1035" s="1436"/>
      <c r="M1035" s="1436"/>
      <c r="N1035" s="1436"/>
      <c r="O1035" s="1436"/>
      <c r="P1035" s="1436"/>
      <c r="Q1035" s="1436"/>
      <c r="R1035" s="1436"/>
      <c r="S1035" s="1436"/>
      <c r="T1035" s="1436"/>
      <c r="U1035" s="1436"/>
      <c r="V1035" s="1436"/>
      <c r="W1035" s="1436"/>
      <c r="X1035" s="1436"/>
      <c r="Y1035" s="1436"/>
      <c r="Z1035" s="1436"/>
      <c r="AA1035" s="1436"/>
      <c r="AB1035" s="1436"/>
      <c r="AC1035" s="1436"/>
      <c r="AD1035" s="1436"/>
      <c r="AE1035" s="1436"/>
      <c r="AF1035" s="1436"/>
    </row>
    <row r="1036" spans="1:32">
      <c r="A1036" s="1436"/>
      <c r="B1036" s="1436"/>
      <c r="C1036" s="1436"/>
      <c r="D1036" s="1436"/>
      <c r="E1036" s="1436"/>
      <c r="F1036" s="1436"/>
      <c r="G1036" s="1436"/>
      <c r="H1036" s="1436"/>
      <c r="I1036" s="1436"/>
      <c r="J1036" s="1436"/>
      <c r="K1036" s="1436"/>
      <c r="L1036" s="1436"/>
      <c r="M1036" s="1436"/>
      <c r="N1036" s="1436"/>
      <c r="O1036" s="1436"/>
      <c r="P1036" s="1436"/>
      <c r="Q1036" s="1436"/>
      <c r="R1036" s="1436"/>
      <c r="S1036" s="1436"/>
      <c r="T1036" s="1436"/>
      <c r="U1036" s="1436"/>
      <c r="V1036" s="1436"/>
      <c r="W1036" s="1436"/>
      <c r="X1036" s="1436"/>
      <c r="Y1036" s="1436"/>
      <c r="Z1036" s="1436"/>
      <c r="AA1036" s="1436"/>
      <c r="AB1036" s="1436"/>
      <c r="AC1036" s="1436"/>
      <c r="AD1036" s="1436"/>
      <c r="AE1036" s="1436"/>
      <c r="AF1036" s="1436"/>
    </row>
    <row r="1037" spans="1:32">
      <c r="A1037" s="1436"/>
      <c r="B1037" s="1436"/>
      <c r="C1037" s="1436"/>
      <c r="D1037" s="1436"/>
      <c r="E1037" s="1436"/>
      <c r="F1037" s="1436"/>
      <c r="G1037" s="1436"/>
      <c r="H1037" s="1436"/>
      <c r="I1037" s="1436"/>
      <c r="J1037" s="1436"/>
      <c r="K1037" s="1436"/>
      <c r="L1037" s="1436"/>
      <c r="M1037" s="1436"/>
      <c r="N1037" s="1436"/>
      <c r="O1037" s="1436"/>
      <c r="P1037" s="1436"/>
      <c r="Q1037" s="1436"/>
      <c r="R1037" s="1436"/>
      <c r="S1037" s="1436"/>
      <c r="T1037" s="1436"/>
      <c r="U1037" s="1436"/>
      <c r="V1037" s="1436"/>
      <c r="W1037" s="1436"/>
      <c r="X1037" s="1436"/>
      <c r="Y1037" s="1436"/>
      <c r="Z1037" s="1436"/>
      <c r="AA1037" s="1436"/>
      <c r="AB1037" s="1436"/>
      <c r="AC1037" s="1436"/>
      <c r="AD1037" s="1436"/>
      <c r="AE1037" s="1436"/>
      <c r="AF1037" s="1436"/>
    </row>
    <row r="1038" spans="1:32">
      <c r="A1038" s="1436"/>
      <c r="B1038" s="1436"/>
      <c r="C1038" s="1436"/>
      <c r="D1038" s="1436"/>
      <c r="E1038" s="1436"/>
      <c r="F1038" s="1436"/>
      <c r="G1038" s="1436"/>
      <c r="H1038" s="1436"/>
      <c r="I1038" s="1436"/>
      <c r="J1038" s="1436"/>
      <c r="K1038" s="1436"/>
      <c r="L1038" s="1436"/>
      <c r="M1038" s="1436"/>
      <c r="N1038" s="1436"/>
      <c r="O1038" s="1436"/>
      <c r="P1038" s="1436"/>
      <c r="Q1038" s="1436"/>
      <c r="R1038" s="1436"/>
      <c r="S1038" s="1436"/>
      <c r="T1038" s="1436"/>
      <c r="U1038" s="1436"/>
      <c r="V1038" s="1436"/>
      <c r="W1038" s="1436"/>
      <c r="X1038" s="1436"/>
      <c r="Y1038" s="1436"/>
      <c r="Z1038" s="1436"/>
      <c r="AA1038" s="1436"/>
      <c r="AB1038" s="1436"/>
      <c r="AC1038" s="1436"/>
      <c r="AD1038" s="1436"/>
      <c r="AE1038" s="1436"/>
      <c r="AF1038" s="1436"/>
    </row>
    <row r="1039" spans="1:32">
      <c r="A1039" s="1436"/>
      <c r="B1039" s="1436"/>
      <c r="C1039" s="1436"/>
      <c r="D1039" s="1436"/>
      <c r="E1039" s="1436"/>
      <c r="F1039" s="1436"/>
      <c r="G1039" s="1436"/>
      <c r="H1039" s="1436"/>
      <c r="I1039" s="1436"/>
      <c r="J1039" s="1436"/>
      <c r="K1039" s="1436"/>
      <c r="L1039" s="1436"/>
      <c r="M1039" s="1436"/>
      <c r="N1039" s="1436"/>
      <c r="O1039" s="1436"/>
      <c r="P1039" s="1436"/>
      <c r="Q1039" s="1436"/>
      <c r="R1039" s="1436"/>
      <c r="S1039" s="1436"/>
      <c r="T1039" s="1436"/>
      <c r="U1039" s="1436"/>
      <c r="V1039" s="1436"/>
      <c r="W1039" s="1436"/>
      <c r="X1039" s="1436"/>
      <c r="Y1039" s="1436"/>
      <c r="Z1039" s="1436"/>
      <c r="AA1039" s="1436"/>
      <c r="AB1039" s="1436"/>
      <c r="AC1039" s="1436"/>
      <c r="AD1039" s="1436"/>
      <c r="AE1039" s="1436"/>
      <c r="AF1039" s="1436"/>
    </row>
    <row r="1040" spans="1:32">
      <c r="A1040" s="1436"/>
      <c r="B1040" s="1436"/>
      <c r="C1040" s="1436"/>
      <c r="D1040" s="1436"/>
      <c r="E1040" s="1436"/>
      <c r="F1040" s="1436"/>
      <c r="G1040" s="1436"/>
      <c r="H1040" s="1436"/>
      <c r="I1040" s="1436"/>
      <c r="J1040" s="1436"/>
      <c r="K1040" s="1436"/>
      <c r="L1040" s="1436"/>
      <c r="M1040" s="1436"/>
      <c r="N1040" s="1436"/>
      <c r="O1040" s="1436"/>
      <c r="P1040" s="1436"/>
      <c r="Q1040" s="1436"/>
      <c r="R1040" s="1436"/>
      <c r="S1040" s="1436"/>
      <c r="T1040" s="1436"/>
      <c r="U1040" s="1436"/>
      <c r="V1040" s="1436"/>
      <c r="W1040" s="1436"/>
      <c r="X1040" s="1436"/>
      <c r="Y1040" s="1436"/>
      <c r="Z1040" s="1436"/>
      <c r="AA1040" s="1436"/>
      <c r="AB1040" s="1436"/>
      <c r="AC1040" s="1436"/>
      <c r="AD1040" s="1436"/>
      <c r="AE1040" s="1436"/>
      <c r="AF1040" s="1436"/>
    </row>
    <row r="1041" spans="1:32">
      <c r="A1041" s="1436"/>
      <c r="B1041" s="1436"/>
      <c r="C1041" s="1436"/>
      <c r="D1041" s="1436"/>
      <c r="E1041" s="1436"/>
      <c r="F1041" s="1436"/>
      <c r="G1041" s="1436"/>
      <c r="H1041" s="1436"/>
      <c r="I1041" s="1436"/>
      <c r="J1041" s="1436"/>
      <c r="K1041" s="1436"/>
      <c r="L1041" s="1436"/>
      <c r="M1041" s="1436"/>
      <c r="N1041" s="1436"/>
      <c r="O1041" s="1436"/>
      <c r="P1041" s="1436"/>
      <c r="Q1041" s="1436"/>
      <c r="R1041" s="1436"/>
      <c r="S1041" s="1436"/>
      <c r="T1041" s="1436"/>
      <c r="U1041" s="1436"/>
      <c r="V1041" s="1436"/>
      <c r="W1041" s="1436"/>
      <c r="X1041" s="1436"/>
      <c r="Y1041" s="1436"/>
      <c r="Z1041" s="1436"/>
      <c r="AA1041" s="1436"/>
      <c r="AB1041" s="1436"/>
      <c r="AC1041" s="1436"/>
      <c r="AD1041" s="1436"/>
      <c r="AE1041" s="1436"/>
      <c r="AF1041" s="1436"/>
    </row>
    <row r="1042" spans="1:32">
      <c r="A1042" s="1436"/>
      <c r="B1042" s="1436"/>
      <c r="C1042" s="1436"/>
      <c r="D1042" s="1436"/>
      <c r="E1042" s="1436"/>
      <c r="F1042" s="1436"/>
      <c r="G1042" s="1436"/>
      <c r="H1042" s="1436"/>
      <c r="I1042" s="1436"/>
      <c r="J1042" s="1436"/>
      <c r="K1042" s="1436"/>
      <c r="L1042" s="1436"/>
      <c r="M1042" s="1436"/>
      <c r="N1042" s="1436"/>
      <c r="O1042" s="1436"/>
      <c r="P1042" s="1436"/>
      <c r="Q1042" s="1436"/>
      <c r="R1042" s="1436"/>
      <c r="S1042" s="1436"/>
      <c r="T1042" s="1436"/>
      <c r="U1042" s="1436"/>
      <c r="V1042" s="1436"/>
      <c r="W1042" s="1436"/>
      <c r="X1042" s="1436"/>
      <c r="Y1042" s="1436"/>
      <c r="Z1042" s="1436"/>
      <c r="AA1042" s="1436"/>
      <c r="AB1042" s="1436"/>
      <c r="AC1042" s="1436"/>
      <c r="AD1042" s="1436"/>
      <c r="AE1042" s="1436"/>
      <c r="AF1042" s="1436"/>
    </row>
    <row r="1043" spans="1:32">
      <c r="A1043" s="1436"/>
      <c r="B1043" s="1436"/>
      <c r="C1043" s="1436"/>
      <c r="D1043" s="1436"/>
      <c r="E1043" s="1436"/>
      <c r="F1043" s="1436"/>
      <c r="G1043" s="1436"/>
      <c r="H1043" s="1436"/>
      <c r="I1043" s="1436"/>
      <c r="J1043" s="1436"/>
      <c r="K1043" s="1436"/>
      <c r="L1043" s="1436"/>
      <c r="M1043" s="1436"/>
      <c r="N1043" s="1436"/>
      <c r="O1043" s="1436"/>
      <c r="P1043" s="1436"/>
      <c r="Q1043" s="1436"/>
      <c r="R1043" s="1436"/>
      <c r="S1043" s="1436"/>
      <c r="T1043" s="1436"/>
      <c r="U1043" s="1436"/>
      <c r="V1043" s="1436"/>
      <c r="W1043" s="1436"/>
      <c r="X1043" s="1436"/>
      <c r="Y1043" s="1436"/>
      <c r="Z1043" s="1436"/>
      <c r="AA1043" s="1436"/>
      <c r="AB1043" s="1436"/>
      <c r="AC1043" s="1436"/>
      <c r="AD1043" s="1436"/>
      <c r="AE1043" s="1436"/>
      <c r="AF1043" s="1436"/>
    </row>
    <row r="1044" spans="1:32">
      <c r="A1044" s="1436"/>
      <c r="B1044" s="1436"/>
      <c r="C1044" s="1436"/>
      <c r="D1044" s="1436"/>
      <c r="E1044" s="1436"/>
      <c r="F1044" s="1436"/>
      <c r="G1044" s="1436"/>
      <c r="H1044" s="1436"/>
      <c r="I1044" s="1436"/>
      <c r="J1044" s="1436"/>
      <c r="K1044" s="1436"/>
      <c r="L1044" s="1436"/>
      <c r="M1044" s="1436"/>
      <c r="N1044" s="1436"/>
      <c r="O1044" s="1436"/>
      <c r="P1044" s="1436"/>
      <c r="Q1044" s="1436"/>
      <c r="R1044" s="1436"/>
      <c r="S1044" s="1436"/>
      <c r="T1044" s="1436"/>
      <c r="U1044" s="1436"/>
      <c r="V1044" s="1436"/>
      <c r="W1044" s="1436"/>
      <c r="X1044" s="1436"/>
      <c r="Y1044" s="1436"/>
      <c r="Z1044" s="1436"/>
      <c r="AA1044" s="1436"/>
      <c r="AB1044" s="1436"/>
      <c r="AC1044" s="1436"/>
      <c r="AD1044" s="1436"/>
      <c r="AE1044" s="1436"/>
      <c r="AF1044" s="1436"/>
    </row>
    <row r="1045" spans="1:32">
      <c r="A1045" s="1436"/>
      <c r="B1045" s="1436"/>
      <c r="C1045" s="1436"/>
      <c r="D1045" s="1436"/>
      <c r="E1045" s="1436"/>
      <c r="F1045" s="1436"/>
      <c r="G1045" s="1436"/>
      <c r="H1045" s="1436"/>
      <c r="I1045" s="1436"/>
      <c r="J1045" s="1436"/>
      <c r="K1045" s="1436"/>
      <c r="L1045" s="1436"/>
      <c r="M1045" s="1436"/>
      <c r="N1045" s="1436"/>
      <c r="O1045" s="1436"/>
      <c r="P1045" s="1436"/>
      <c r="Q1045" s="1436"/>
      <c r="R1045" s="1436"/>
      <c r="S1045" s="1436"/>
      <c r="T1045" s="1436"/>
      <c r="U1045" s="1436"/>
      <c r="V1045" s="1436"/>
      <c r="W1045" s="1436"/>
      <c r="X1045" s="1436"/>
      <c r="Y1045" s="1436"/>
      <c r="Z1045" s="1436"/>
      <c r="AA1045" s="1436"/>
      <c r="AB1045" s="1436"/>
      <c r="AC1045" s="1436"/>
      <c r="AD1045" s="1436"/>
      <c r="AE1045" s="1436"/>
      <c r="AF1045" s="1436"/>
    </row>
    <row r="1046" spans="1:32">
      <c r="A1046" s="1436"/>
      <c r="B1046" s="1436"/>
      <c r="C1046" s="1436"/>
      <c r="D1046" s="1436"/>
      <c r="E1046" s="1436"/>
      <c r="F1046" s="1436"/>
      <c r="G1046" s="1436"/>
      <c r="H1046" s="1436"/>
      <c r="I1046" s="1436"/>
      <c r="J1046" s="1436"/>
      <c r="K1046" s="1436"/>
      <c r="L1046" s="1436"/>
      <c r="M1046" s="1436"/>
      <c r="N1046" s="1436"/>
      <c r="O1046" s="1436"/>
      <c r="P1046" s="1436"/>
      <c r="Q1046" s="1436"/>
      <c r="R1046" s="1436"/>
      <c r="S1046" s="1436"/>
      <c r="T1046" s="1436"/>
      <c r="U1046" s="1436"/>
      <c r="V1046" s="1436"/>
      <c r="W1046" s="1436"/>
      <c r="X1046" s="1436"/>
      <c r="Y1046" s="1436"/>
      <c r="Z1046" s="1436"/>
      <c r="AA1046" s="1436"/>
      <c r="AB1046" s="1436"/>
      <c r="AC1046" s="1436"/>
      <c r="AD1046" s="1436"/>
      <c r="AE1046" s="1436"/>
      <c r="AF1046" s="1436"/>
    </row>
    <row r="1047" spans="1:32">
      <c r="A1047" s="1436"/>
      <c r="B1047" s="1436"/>
      <c r="C1047" s="1436"/>
      <c r="D1047" s="1436"/>
      <c r="E1047" s="1436"/>
      <c r="F1047" s="1436"/>
      <c r="G1047" s="1436"/>
      <c r="H1047" s="1436"/>
      <c r="I1047" s="1436"/>
      <c r="J1047" s="1436"/>
      <c r="K1047" s="1436"/>
      <c r="L1047" s="1436"/>
      <c r="M1047" s="1436"/>
      <c r="N1047" s="1436"/>
      <c r="O1047" s="1436"/>
      <c r="P1047" s="1436"/>
      <c r="Q1047" s="1436"/>
      <c r="R1047" s="1436"/>
      <c r="S1047" s="1436"/>
      <c r="T1047" s="1436"/>
      <c r="U1047" s="1436"/>
      <c r="V1047" s="1436"/>
      <c r="W1047" s="1436"/>
      <c r="X1047" s="1436"/>
      <c r="Y1047" s="1436"/>
      <c r="Z1047" s="1436"/>
      <c r="AA1047" s="1436"/>
      <c r="AB1047" s="1436"/>
      <c r="AC1047" s="1436"/>
      <c r="AD1047" s="1436"/>
      <c r="AE1047" s="1436"/>
      <c r="AF1047" s="1436"/>
    </row>
    <row r="1048" spans="1:32">
      <c r="A1048" s="1436"/>
      <c r="B1048" s="1436"/>
      <c r="C1048" s="1436"/>
      <c r="D1048" s="1436"/>
      <c r="E1048" s="1436"/>
      <c r="F1048" s="1436"/>
      <c r="G1048" s="1436"/>
      <c r="H1048" s="1436"/>
      <c r="I1048" s="1436"/>
      <c r="J1048" s="1436"/>
      <c r="K1048" s="1436"/>
      <c r="L1048" s="1436"/>
      <c r="M1048" s="1436"/>
      <c r="N1048" s="1436"/>
      <c r="O1048" s="1436"/>
      <c r="P1048" s="1436"/>
      <c r="Q1048" s="1436"/>
      <c r="R1048" s="1436"/>
      <c r="S1048" s="1436"/>
      <c r="T1048" s="1436"/>
      <c r="U1048" s="1436"/>
      <c r="V1048" s="1436"/>
      <c r="W1048" s="1436"/>
      <c r="X1048" s="1436"/>
      <c r="Y1048" s="1436"/>
      <c r="Z1048" s="1436"/>
      <c r="AA1048" s="1436"/>
      <c r="AB1048" s="1436"/>
      <c r="AC1048" s="1436"/>
      <c r="AD1048" s="1436"/>
      <c r="AE1048" s="1436"/>
      <c r="AF1048" s="1436"/>
    </row>
    <row r="1049" spans="1:32">
      <c r="A1049" s="1436"/>
      <c r="B1049" s="1436"/>
      <c r="C1049" s="1436"/>
      <c r="D1049" s="1436"/>
      <c r="E1049" s="1436"/>
      <c r="F1049" s="1436"/>
      <c r="G1049" s="1436"/>
      <c r="H1049" s="1436"/>
      <c r="I1049" s="1436"/>
      <c r="J1049" s="1436"/>
      <c r="K1049" s="1436"/>
      <c r="L1049" s="1436"/>
      <c r="M1049" s="1436"/>
      <c r="N1049" s="1436"/>
      <c r="O1049" s="1436"/>
      <c r="P1049" s="1436"/>
      <c r="Q1049" s="1436"/>
      <c r="R1049" s="1436"/>
      <c r="S1049" s="1436"/>
      <c r="T1049" s="1436"/>
      <c r="U1049" s="1436"/>
      <c r="V1049" s="1436"/>
      <c r="W1049" s="1436"/>
      <c r="X1049" s="1436"/>
      <c r="Y1049" s="1436"/>
      <c r="Z1049" s="1436"/>
      <c r="AA1049" s="1436"/>
      <c r="AB1049" s="1436"/>
      <c r="AC1049" s="1436"/>
      <c r="AD1049" s="1436"/>
      <c r="AE1049" s="1436"/>
      <c r="AF1049" s="1436"/>
    </row>
    <row r="1050" spans="1:32">
      <c r="A1050" s="1436"/>
      <c r="B1050" s="1436"/>
      <c r="C1050" s="1436"/>
      <c r="D1050" s="1436"/>
      <c r="E1050" s="1436"/>
      <c r="F1050" s="1436"/>
      <c r="G1050" s="1436"/>
      <c r="H1050" s="1436"/>
      <c r="I1050" s="1436"/>
      <c r="J1050" s="1436"/>
      <c r="K1050" s="1436"/>
      <c r="L1050" s="1436"/>
      <c r="M1050" s="1436"/>
      <c r="N1050" s="1436"/>
      <c r="O1050" s="1436"/>
      <c r="P1050" s="1436"/>
      <c r="Q1050" s="1436"/>
      <c r="R1050" s="1436"/>
      <c r="S1050" s="1436"/>
      <c r="T1050" s="1436"/>
      <c r="U1050" s="1436"/>
      <c r="V1050" s="1436"/>
      <c r="W1050" s="1436"/>
      <c r="X1050" s="1436"/>
      <c r="Y1050" s="1436"/>
      <c r="Z1050" s="1436"/>
      <c r="AA1050" s="1436"/>
      <c r="AB1050" s="1436"/>
      <c r="AC1050" s="1436"/>
      <c r="AD1050" s="1436"/>
      <c r="AE1050" s="1436"/>
      <c r="AF1050" s="1436"/>
    </row>
    <row r="1051" spans="1:32">
      <c r="A1051" s="1436"/>
      <c r="B1051" s="1436"/>
      <c r="C1051" s="1436"/>
      <c r="D1051" s="1436"/>
      <c r="E1051" s="1436"/>
      <c r="F1051" s="1436"/>
      <c r="G1051" s="1436"/>
      <c r="H1051" s="1436"/>
      <c r="I1051" s="1436"/>
      <c r="J1051" s="1436"/>
      <c r="K1051" s="1436"/>
      <c r="L1051" s="1436"/>
      <c r="M1051" s="1436"/>
      <c r="N1051" s="1436"/>
      <c r="O1051" s="1436"/>
      <c r="P1051" s="1436"/>
      <c r="Q1051" s="1436"/>
      <c r="R1051" s="1436"/>
      <c r="S1051" s="1436"/>
      <c r="T1051" s="1436"/>
      <c r="U1051" s="1436"/>
      <c r="V1051" s="1436"/>
      <c r="W1051" s="1436"/>
      <c r="X1051" s="1436"/>
      <c r="Y1051" s="1436"/>
      <c r="Z1051" s="1436"/>
      <c r="AA1051" s="1436"/>
      <c r="AB1051" s="1436"/>
      <c r="AC1051" s="1436"/>
      <c r="AD1051" s="1436"/>
      <c r="AE1051" s="1436"/>
      <c r="AF1051" s="1436"/>
    </row>
    <row r="1052" spans="1:32">
      <c r="A1052" s="1436"/>
      <c r="B1052" s="1436"/>
      <c r="C1052" s="1436"/>
      <c r="D1052" s="1436"/>
      <c r="E1052" s="1436"/>
      <c r="F1052" s="1436"/>
      <c r="G1052" s="1436"/>
      <c r="H1052" s="1436"/>
      <c r="I1052" s="1436"/>
      <c r="J1052" s="1436"/>
      <c r="K1052" s="1436"/>
      <c r="L1052" s="1436"/>
      <c r="M1052" s="1436"/>
      <c r="N1052" s="1436"/>
      <c r="O1052" s="1436"/>
      <c r="P1052" s="1436"/>
      <c r="Q1052" s="1436"/>
      <c r="R1052" s="1436"/>
      <c r="S1052" s="1436"/>
      <c r="T1052" s="1436"/>
      <c r="U1052" s="1436"/>
      <c r="V1052" s="1436"/>
      <c r="W1052" s="1436"/>
      <c r="X1052" s="1436"/>
      <c r="Y1052" s="1436"/>
      <c r="Z1052" s="1436"/>
      <c r="AA1052" s="1436"/>
      <c r="AB1052" s="1436"/>
      <c r="AC1052" s="1436"/>
      <c r="AD1052" s="1436"/>
      <c r="AE1052" s="1436"/>
      <c r="AF1052" s="1436"/>
    </row>
    <row r="1053" spans="1:32">
      <c r="A1053" s="1436"/>
      <c r="B1053" s="1436"/>
      <c r="C1053" s="1436"/>
      <c r="D1053" s="1436"/>
      <c r="E1053" s="1436"/>
      <c r="F1053" s="1436"/>
      <c r="G1053" s="1436"/>
      <c r="H1053" s="1436"/>
      <c r="I1053" s="1436"/>
      <c r="J1053" s="1436"/>
      <c r="K1053" s="1436"/>
      <c r="L1053" s="1436"/>
      <c r="M1053" s="1436"/>
      <c r="N1053" s="1436"/>
      <c r="O1053" s="1436"/>
      <c r="P1053" s="1436"/>
      <c r="Q1053" s="1436"/>
      <c r="R1053" s="1436"/>
      <c r="S1053" s="1436"/>
      <c r="T1053" s="1436"/>
      <c r="U1053" s="1436"/>
      <c r="V1053" s="1436"/>
      <c r="W1053" s="1436"/>
      <c r="X1053" s="1436"/>
      <c r="Y1053" s="1436"/>
      <c r="Z1053" s="1436"/>
      <c r="AA1053" s="1436"/>
      <c r="AB1053" s="1436"/>
      <c r="AC1053" s="1436"/>
      <c r="AD1053" s="1436"/>
      <c r="AE1053" s="1436"/>
      <c r="AF1053" s="1436"/>
    </row>
    <row r="1054" spans="1:32">
      <c r="A1054" s="1436"/>
      <c r="B1054" s="1436"/>
      <c r="C1054" s="1436"/>
      <c r="D1054" s="1436"/>
      <c r="E1054" s="1436"/>
      <c r="F1054" s="1436"/>
      <c r="G1054" s="1436"/>
      <c r="H1054" s="1436"/>
      <c r="I1054" s="1436"/>
      <c r="J1054" s="1436"/>
      <c r="K1054" s="1436"/>
      <c r="L1054" s="1436"/>
      <c r="M1054" s="1436"/>
      <c r="N1054" s="1436"/>
      <c r="O1054" s="1436"/>
      <c r="P1054" s="1436"/>
      <c r="Q1054" s="1436"/>
      <c r="R1054" s="1436"/>
      <c r="S1054" s="1436"/>
      <c r="T1054" s="1436"/>
      <c r="U1054" s="1436"/>
      <c r="V1054" s="1436"/>
      <c r="W1054" s="1436"/>
      <c r="X1054" s="1436"/>
      <c r="Y1054" s="1436"/>
      <c r="Z1054" s="1436"/>
      <c r="AA1054" s="1436"/>
      <c r="AB1054" s="1436"/>
      <c r="AC1054" s="1436"/>
      <c r="AD1054" s="1436"/>
      <c r="AE1054" s="1436"/>
      <c r="AF1054" s="1436"/>
    </row>
    <row r="1055" spans="1:32">
      <c r="A1055" s="1436"/>
      <c r="B1055" s="1436"/>
      <c r="C1055" s="1436"/>
      <c r="D1055" s="1436"/>
      <c r="E1055" s="1436"/>
      <c r="F1055" s="1436"/>
      <c r="G1055" s="1436"/>
      <c r="H1055" s="1436"/>
      <c r="I1055" s="1436"/>
      <c r="J1055" s="1436"/>
      <c r="K1055" s="1436"/>
      <c r="L1055" s="1436"/>
      <c r="M1055" s="1436"/>
      <c r="N1055" s="1436"/>
      <c r="O1055" s="1436"/>
      <c r="P1055" s="1436"/>
      <c r="Q1055" s="1436"/>
      <c r="R1055" s="1436"/>
      <c r="S1055" s="1436"/>
      <c r="T1055" s="1436"/>
      <c r="U1055" s="1436"/>
      <c r="V1055" s="1436"/>
      <c r="W1055" s="1436"/>
      <c r="X1055" s="1436"/>
      <c r="Y1055" s="1436"/>
      <c r="Z1055" s="1436"/>
      <c r="AA1055" s="1436"/>
      <c r="AB1055" s="1436"/>
      <c r="AC1055" s="1436"/>
      <c r="AD1055" s="1436"/>
      <c r="AE1055" s="1436"/>
      <c r="AF1055" s="1436"/>
    </row>
    <row r="1056" spans="1:32">
      <c r="A1056" s="1436"/>
      <c r="B1056" s="1436"/>
      <c r="C1056" s="1436"/>
      <c r="D1056" s="1436"/>
      <c r="E1056" s="1436"/>
      <c r="F1056" s="1436"/>
      <c r="G1056" s="1436"/>
      <c r="H1056" s="1436"/>
      <c r="I1056" s="1436"/>
      <c r="J1056" s="1436"/>
      <c r="K1056" s="1436"/>
      <c r="L1056" s="1436"/>
      <c r="M1056" s="1436"/>
      <c r="N1056" s="1436"/>
      <c r="O1056" s="1436"/>
      <c r="P1056" s="1436"/>
      <c r="Q1056" s="1436"/>
      <c r="R1056" s="1436"/>
      <c r="S1056" s="1436"/>
      <c r="T1056" s="1436"/>
      <c r="U1056" s="1436"/>
      <c r="V1056" s="1436"/>
      <c r="W1056" s="1436"/>
      <c r="X1056" s="1436"/>
      <c r="Y1056" s="1436"/>
      <c r="Z1056" s="1436"/>
      <c r="AA1056" s="1436"/>
      <c r="AB1056" s="1436"/>
      <c r="AC1056" s="1436"/>
      <c r="AD1056" s="1436"/>
      <c r="AE1056" s="1436"/>
      <c r="AF1056" s="1436"/>
    </row>
    <row r="1057" spans="1:32">
      <c r="A1057" s="1436"/>
      <c r="B1057" s="1436"/>
      <c r="C1057" s="1436"/>
      <c r="D1057" s="1436"/>
      <c r="E1057" s="1436"/>
      <c r="F1057" s="1436"/>
      <c r="G1057" s="1436"/>
      <c r="H1057" s="1436"/>
      <c r="I1057" s="1436"/>
      <c r="J1057" s="1436"/>
      <c r="K1057" s="1436"/>
      <c r="L1057" s="1436"/>
      <c r="M1057" s="1436"/>
      <c r="N1057" s="1436"/>
      <c r="O1057" s="1436"/>
      <c r="P1057" s="1436"/>
      <c r="Q1057" s="1436"/>
      <c r="R1057" s="1436"/>
      <c r="S1057" s="1436"/>
      <c r="T1057" s="1436"/>
      <c r="U1057" s="1436"/>
      <c r="V1057" s="1436"/>
      <c r="W1057" s="1436"/>
      <c r="X1057" s="1436"/>
      <c r="Y1057" s="1436"/>
      <c r="Z1057" s="1436"/>
      <c r="AA1057" s="1436"/>
      <c r="AB1057" s="1436"/>
      <c r="AC1057" s="1436"/>
      <c r="AD1057" s="1436"/>
      <c r="AE1057" s="1436"/>
      <c r="AF1057" s="1436"/>
    </row>
    <row r="1058" spans="1:32">
      <c r="A1058" s="1436"/>
      <c r="B1058" s="1436"/>
      <c r="C1058" s="1436"/>
      <c r="D1058" s="1436"/>
      <c r="E1058" s="1436"/>
      <c r="F1058" s="1436"/>
      <c r="G1058" s="1436"/>
      <c r="H1058" s="1436"/>
      <c r="I1058" s="1436"/>
      <c r="J1058" s="1436"/>
      <c r="K1058" s="1436"/>
      <c r="L1058" s="1436"/>
      <c r="M1058" s="1436"/>
      <c r="N1058" s="1436"/>
      <c r="O1058" s="1436"/>
      <c r="P1058" s="1436"/>
      <c r="Q1058" s="1436"/>
      <c r="R1058" s="1436"/>
      <c r="S1058" s="1436"/>
      <c r="T1058" s="1436"/>
      <c r="U1058" s="1436"/>
      <c r="V1058" s="1436"/>
      <c r="W1058" s="1436"/>
      <c r="X1058" s="1436"/>
      <c r="Y1058" s="1436"/>
      <c r="Z1058" s="1436"/>
      <c r="AA1058" s="1436"/>
      <c r="AB1058" s="1436"/>
      <c r="AC1058" s="1436"/>
      <c r="AD1058" s="1436"/>
      <c r="AE1058" s="1436"/>
      <c r="AF1058" s="1436"/>
    </row>
    <row r="1059" spans="1:32">
      <c r="A1059" s="1436"/>
      <c r="B1059" s="1436"/>
      <c r="C1059" s="1436"/>
      <c r="D1059" s="1436"/>
      <c r="E1059" s="1436"/>
      <c r="F1059" s="1436"/>
      <c r="G1059" s="1436"/>
      <c r="H1059" s="1436"/>
      <c r="I1059" s="1436"/>
      <c r="J1059" s="1436"/>
      <c r="K1059" s="1436"/>
      <c r="L1059" s="1436"/>
      <c r="M1059" s="1436"/>
      <c r="N1059" s="1436"/>
      <c r="O1059" s="1436"/>
      <c r="P1059" s="1436"/>
      <c r="Q1059" s="1436"/>
      <c r="R1059" s="1436"/>
      <c r="S1059" s="1436"/>
      <c r="T1059" s="1436"/>
      <c r="U1059" s="1436"/>
      <c r="V1059" s="1436"/>
      <c r="W1059" s="1436"/>
      <c r="X1059" s="1436"/>
      <c r="Y1059" s="1436"/>
      <c r="Z1059" s="1436"/>
      <c r="AA1059" s="1436"/>
      <c r="AB1059" s="1436"/>
      <c r="AC1059" s="1436"/>
      <c r="AD1059" s="1436"/>
      <c r="AE1059" s="1436"/>
      <c r="AF1059" s="1436"/>
    </row>
    <row r="1060" spans="1:32">
      <c r="A1060" s="1436"/>
      <c r="B1060" s="1436"/>
      <c r="C1060" s="1436"/>
      <c r="D1060" s="1436"/>
      <c r="E1060" s="1436"/>
      <c r="F1060" s="1436"/>
      <c r="G1060" s="1436"/>
      <c r="H1060" s="1436"/>
      <c r="I1060" s="1436"/>
      <c r="J1060" s="1436"/>
      <c r="K1060" s="1436"/>
      <c r="L1060" s="1436"/>
      <c r="M1060" s="1436"/>
      <c r="N1060" s="1436"/>
      <c r="O1060" s="1436"/>
      <c r="P1060" s="1436"/>
      <c r="Q1060" s="1436"/>
      <c r="R1060" s="1436"/>
      <c r="S1060" s="1436"/>
      <c r="T1060" s="1436"/>
      <c r="U1060" s="1436"/>
      <c r="V1060" s="1436"/>
      <c r="W1060" s="1436"/>
      <c r="X1060" s="1436"/>
      <c r="Y1060" s="1436"/>
      <c r="Z1060" s="1436"/>
      <c r="AA1060" s="1436"/>
      <c r="AB1060" s="1436"/>
      <c r="AC1060" s="1436"/>
      <c r="AD1060" s="1436"/>
      <c r="AE1060" s="1436"/>
      <c r="AF1060" s="1436"/>
    </row>
    <row r="1061" spans="1:32">
      <c r="A1061" s="1436"/>
      <c r="B1061" s="1436"/>
      <c r="C1061" s="1436"/>
      <c r="D1061" s="1436"/>
      <c r="E1061" s="1436"/>
      <c r="F1061" s="1436"/>
      <c r="G1061" s="1436"/>
      <c r="H1061" s="1436"/>
      <c r="I1061" s="1436"/>
      <c r="J1061" s="1436"/>
      <c r="K1061" s="1436"/>
      <c r="L1061" s="1436"/>
      <c r="M1061" s="1436"/>
      <c r="N1061" s="1436"/>
      <c r="O1061" s="1436"/>
      <c r="P1061" s="1436"/>
      <c r="Q1061" s="1436"/>
      <c r="R1061" s="1436"/>
      <c r="S1061" s="1436"/>
      <c r="T1061" s="1436"/>
      <c r="U1061" s="1436"/>
      <c r="V1061" s="1436"/>
      <c r="W1061" s="1436"/>
      <c r="X1061" s="1436"/>
      <c r="Y1061" s="1436"/>
      <c r="Z1061" s="1436"/>
      <c r="AA1061" s="1436"/>
      <c r="AB1061" s="1436"/>
      <c r="AC1061" s="1436"/>
      <c r="AD1061" s="1436"/>
      <c r="AE1061" s="1436"/>
      <c r="AF1061" s="1436"/>
    </row>
    <row r="1062" spans="1:32">
      <c r="A1062" s="1436"/>
      <c r="B1062" s="1436"/>
      <c r="C1062" s="1436"/>
      <c r="D1062" s="1436"/>
      <c r="E1062" s="1436"/>
      <c r="F1062" s="1436"/>
      <c r="G1062" s="1436"/>
      <c r="H1062" s="1436"/>
      <c r="I1062" s="1436"/>
      <c r="J1062" s="1436"/>
      <c r="K1062" s="1436"/>
      <c r="L1062" s="1436"/>
      <c r="M1062" s="1436"/>
      <c r="N1062" s="1436"/>
      <c r="O1062" s="1436"/>
      <c r="P1062" s="1436"/>
      <c r="Q1062" s="1436"/>
      <c r="R1062" s="1436"/>
      <c r="S1062" s="1436"/>
      <c r="T1062" s="1436"/>
      <c r="U1062" s="1436"/>
      <c r="V1062" s="1436"/>
      <c r="W1062" s="1436"/>
      <c r="X1062" s="1436"/>
      <c r="Y1062" s="1436"/>
      <c r="Z1062" s="1436"/>
      <c r="AA1062" s="1436"/>
      <c r="AB1062" s="1436"/>
      <c r="AC1062" s="1436"/>
      <c r="AD1062" s="1436"/>
      <c r="AE1062" s="1436"/>
      <c r="AF1062" s="1436"/>
    </row>
    <row r="1063" spans="1:32">
      <c r="A1063" s="1436"/>
      <c r="B1063" s="1436"/>
      <c r="C1063" s="1436"/>
      <c r="D1063" s="1436"/>
      <c r="E1063" s="1436"/>
      <c r="F1063" s="1436"/>
      <c r="G1063" s="1436"/>
      <c r="H1063" s="1436"/>
      <c r="I1063" s="1436"/>
      <c r="J1063" s="1436"/>
      <c r="K1063" s="1436"/>
      <c r="L1063" s="1436"/>
      <c r="M1063" s="1436"/>
      <c r="N1063" s="1436"/>
      <c r="O1063" s="1436"/>
      <c r="P1063" s="1436"/>
      <c r="Q1063" s="1436"/>
      <c r="R1063" s="1436"/>
      <c r="S1063" s="1436"/>
      <c r="T1063" s="1436"/>
      <c r="U1063" s="1436"/>
      <c r="V1063" s="1436"/>
      <c r="W1063" s="1436"/>
      <c r="X1063" s="1436"/>
      <c r="Y1063" s="1436"/>
      <c r="Z1063" s="1436"/>
      <c r="AA1063" s="1436"/>
      <c r="AB1063" s="1436"/>
      <c r="AC1063" s="1436"/>
      <c r="AD1063" s="1436"/>
      <c r="AE1063" s="1436"/>
      <c r="AF1063" s="1436"/>
    </row>
    <row r="1064" spans="1:32">
      <c r="A1064" s="1436"/>
      <c r="B1064" s="1436"/>
      <c r="C1064" s="1436"/>
      <c r="D1064" s="1436"/>
      <c r="E1064" s="1436"/>
      <c r="F1064" s="1436"/>
      <c r="G1064" s="1436"/>
      <c r="H1064" s="1436"/>
      <c r="I1064" s="1436"/>
      <c r="J1064" s="1436"/>
      <c r="K1064" s="1436"/>
      <c r="L1064" s="1436"/>
      <c r="M1064" s="1436"/>
      <c r="N1064" s="1436"/>
      <c r="O1064" s="1436"/>
      <c r="P1064" s="1436"/>
      <c r="Q1064" s="1436"/>
      <c r="R1064" s="1436"/>
      <c r="S1064" s="1436"/>
      <c r="T1064" s="1436"/>
      <c r="U1064" s="1436"/>
      <c r="V1064" s="1436"/>
      <c r="W1064" s="1436"/>
      <c r="X1064" s="1436"/>
      <c r="Y1064" s="1436"/>
      <c r="Z1064" s="1436"/>
      <c r="AA1064" s="1436"/>
      <c r="AB1064" s="1436"/>
      <c r="AC1064" s="1436"/>
      <c r="AD1064" s="1436"/>
      <c r="AE1064" s="1436"/>
      <c r="AF1064" s="1436"/>
    </row>
    <row r="1065" spans="1:32">
      <c r="A1065" s="1436"/>
      <c r="B1065" s="1436"/>
      <c r="C1065" s="1436"/>
      <c r="D1065" s="1436"/>
      <c r="E1065" s="1436"/>
      <c r="F1065" s="1436"/>
      <c r="G1065" s="1436"/>
      <c r="H1065" s="1436"/>
      <c r="I1065" s="1436"/>
      <c r="J1065" s="1436"/>
      <c r="K1065" s="1436"/>
      <c r="L1065" s="1436"/>
      <c r="M1065" s="1436"/>
      <c r="N1065" s="1436"/>
      <c r="O1065" s="1436"/>
      <c r="P1065" s="1436"/>
      <c r="Q1065" s="1436"/>
      <c r="R1065" s="1436"/>
      <c r="S1065" s="1436"/>
      <c r="T1065" s="1436"/>
      <c r="U1065" s="1436"/>
      <c r="V1065" s="1436"/>
      <c r="W1065" s="1436"/>
      <c r="X1065" s="1436"/>
      <c r="Y1065" s="1436"/>
      <c r="Z1065" s="1436"/>
      <c r="AA1065" s="1436"/>
      <c r="AB1065" s="1436"/>
      <c r="AC1065" s="1436"/>
      <c r="AD1065" s="1436"/>
      <c r="AE1065" s="1436"/>
      <c r="AF1065" s="1436"/>
    </row>
    <row r="1066" spans="1:32">
      <c r="A1066" s="1436"/>
      <c r="B1066" s="1436"/>
      <c r="C1066" s="1436"/>
      <c r="D1066" s="1436"/>
      <c r="E1066" s="1436"/>
      <c r="F1066" s="1436"/>
      <c r="G1066" s="1436"/>
      <c r="H1066" s="1436"/>
      <c r="I1066" s="1436"/>
      <c r="J1066" s="1436"/>
      <c r="K1066" s="1436"/>
      <c r="L1066" s="1436"/>
      <c r="M1066" s="1436"/>
      <c r="N1066" s="1436"/>
      <c r="O1066" s="1436"/>
      <c r="P1066" s="1436"/>
      <c r="Q1066" s="1436"/>
      <c r="R1066" s="1436"/>
      <c r="S1066" s="1436"/>
      <c r="T1066" s="1436"/>
      <c r="U1066" s="1436"/>
      <c r="V1066" s="1436"/>
      <c r="W1066" s="1436"/>
      <c r="X1066" s="1436"/>
      <c r="Y1066" s="1436"/>
      <c r="Z1066" s="1436"/>
      <c r="AA1066" s="1436"/>
      <c r="AB1066" s="1436"/>
      <c r="AC1066" s="1436"/>
      <c r="AD1066" s="1436"/>
      <c r="AE1066" s="1436"/>
      <c r="AF1066" s="1436"/>
    </row>
    <row r="1067" spans="1:32">
      <c r="A1067" s="1436"/>
      <c r="B1067" s="1436"/>
      <c r="C1067" s="1436"/>
      <c r="D1067" s="1436"/>
      <c r="E1067" s="1436"/>
      <c r="F1067" s="1436"/>
      <c r="G1067" s="1436"/>
      <c r="H1067" s="1436"/>
      <c r="I1067" s="1436"/>
      <c r="J1067" s="1436"/>
      <c r="K1067" s="1436"/>
      <c r="L1067" s="1436"/>
      <c r="M1067" s="1436"/>
      <c r="N1067" s="1436"/>
      <c r="O1067" s="1436"/>
      <c r="P1067" s="1436"/>
      <c r="Q1067" s="1436"/>
      <c r="R1067" s="1436"/>
      <c r="S1067" s="1436"/>
      <c r="T1067" s="1436"/>
      <c r="U1067" s="1436"/>
      <c r="V1067" s="1436"/>
      <c r="W1067" s="1436"/>
      <c r="X1067" s="1436"/>
      <c r="Y1067" s="1436"/>
      <c r="Z1067" s="1436"/>
      <c r="AA1067" s="1436"/>
      <c r="AB1067" s="1436"/>
      <c r="AC1067" s="1436"/>
      <c r="AD1067" s="1436"/>
      <c r="AE1067" s="1436"/>
      <c r="AF1067" s="1436"/>
    </row>
    <row r="1068" spans="1:32">
      <c r="A1068" s="1436"/>
      <c r="B1068" s="1436"/>
      <c r="C1068" s="1436"/>
      <c r="D1068" s="1436"/>
      <c r="E1068" s="1436"/>
      <c r="F1068" s="1436"/>
      <c r="G1068" s="1436"/>
      <c r="H1068" s="1436"/>
      <c r="I1068" s="1436"/>
      <c r="J1068" s="1436"/>
      <c r="K1068" s="1436"/>
      <c r="L1068" s="1436"/>
      <c r="M1068" s="1436"/>
      <c r="N1068" s="1436"/>
      <c r="O1068" s="1436"/>
      <c r="P1068" s="1436"/>
      <c r="Q1068" s="1436"/>
      <c r="R1068" s="1436"/>
      <c r="S1068" s="1436"/>
      <c r="T1068" s="1436"/>
      <c r="U1068" s="1436"/>
      <c r="V1068" s="1436"/>
      <c r="W1068" s="1436"/>
      <c r="X1068" s="1436"/>
      <c r="Y1068" s="1436"/>
      <c r="Z1068" s="1436"/>
      <c r="AA1068" s="1436"/>
      <c r="AB1068" s="1436"/>
      <c r="AC1068" s="1436"/>
      <c r="AD1068" s="1436"/>
      <c r="AE1068" s="1436"/>
      <c r="AF1068" s="1436"/>
    </row>
    <row r="1069" spans="1:32">
      <c r="A1069" s="1436"/>
      <c r="B1069" s="1436"/>
      <c r="C1069" s="1436"/>
      <c r="D1069" s="1436"/>
      <c r="E1069" s="1436"/>
      <c r="F1069" s="1436"/>
      <c r="G1069" s="1436"/>
      <c r="H1069" s="1436"/>
      <c r="I1069" s="1436"/>
      <c r="J1069" s="1436"/>
      <c r="K1069" s="1436"/>
      <c r="L1069" s="1436"/>
      <c r="M1069" s="1436"/>
      <c r="N1069" s="1436"/>
      <c r="O1069" s="1436"/>
      <c r="P1069" s="1436"/>
      <c r="Q1069" s="1436"/>
      <c r="R1069" s="1436"/>
      <c r="S1069" s="1436"/>
      <c r="T1069" s="1436"/>
      <c r="U1069" s="1436"/>
      <c r="V1069" s="1436"/>
      <c r="W1069" s="1436"/>
      <c r="X1069" s="1436"/>
      <c r="Y1069" s="1436"/>
      <c r="Z1069" s="1436"/>
      <c r="AA1069" s="1436"/>
      <c r="AB1069" s="1436"/>
      <c r="AC1069" s="1436"/>
      <c r="AD1069" s="1436"/>
      <c r="AE1069" s="1436"/>
      <c r="AF1069" s="1436"/>
    </row>
    <row r="1070" spans="1:32">
      <c r="A1070" s="1436"/>
      <c r="B1070" s="1436"/>
      <c r="C1070" s="1436"/>
      <c r="D1070" s="1436"/>
      <c r="E1070" s="1436"/>
      <c r="F1070" s="1436"/>
      <c r="G1070" s="1436"/>
      <c r="H1070" s="1436"/>
      <c r="I1070" s="1436"/>
      <c r="J1070" s="1436"/>
      <c r="K1070" s="1436"/>
      <c r="L1070" s="1436"/>
      <c r="M1070" s="1436"/>
      <c r="N1070" s="1436"/>
      <c r="O1070" s="1436"/>
      <c r="P1070" s="1436"/>
      <c r="Q1070" s="1436"/>
      <c r="R1070" s="1436"/>
      <c r="S1070" s="1436"/>
      <c r="T1070" s="1436"/>
      <c r="U1070" s="1436"/>
      <c r="V1070" s="1436"/>
      <c r="W1070" s="1436"/>
      <c r="X1070" s="1436"/>
      <c r="Y1070" s="1436"/>
      <c r="Z1070" s="1436"/>
      <c r="AA1070" s="1436"/>
      <c r="AB1070" s="1436"/>
      <c r="AC1070" s="1436"/>
      <c r="AD1070" s="1436"/>
      <c r="AE1070" s="1436"/>
      <c r="AF1070" s="1436"/>
    </row>
    <row r="1071" spans="1:32">
      <c r="A1071" s="1436"/>
      <c r="B1071" s="1436"/>
      <c r="C1071" s="1436"/>
      <c r="D1071" s="1436"/>
      <c r="E1071" s="1436"/>
      <c r="F1071" s="1436"/>
      <c r="G1071" s="1436"/>
      <c r="H1071" s="1436"/>
      <c r="I1071" s="1436"/>
      <c r="J1071" s="1436"/>
      <c r="K1071" s="1436"/>
      <c r="L1071" s="1436"/>
      <c r="M1071" s="1436"/>
      <c r="N1071" s="1436"/>
      <c r="O1071" s="1436"/>
      <c r="P1071" s="1436"/>
      <c r="Q1071" s="1436"/>
      <c r="R1071" s="1436"/>
      <c r="S1071" s="1436"/>
      <c r="T1071" s="1436"/>
      <c r="U1071" s="1436"/>
      <c r="V1071" s="1436"/>
      <c r="W1071" s="1436"/>
      <c r="X1071" s="1436"/>
      <c r="Y1071" s="1436"/>
      <c r="Z1071" s="1436"/>
      <c r="AA1071" s="1436"/>
      <c r="AB1071" s="1436"/>
      <c r="AC1071" s="1436"/>
      <c r="AD1071" s="1436"/>
      <c r="AE1071" s="1436"/>
      <c r="AF1071" s="1436"/>
    </row>
    <row r="1072" spans="1:32">
      <c r="A1072" s="1436"/>
      <c r="B1072" s="1436"/>
      <c r="C1072" s="1436"/>
      <c r="D1072" s="1436"/>
      <c r="E1072" s="1436"/>
      <c r="F1072" s="1436"/>
      <c r="G1072" s="1436"/>
      <c r="H1072" s="1436"/>
      <c r="I1072" s="1436"/>
      <c r="J1072" s="1436"/>
      <c r="K1072" s="1436"/>
      <c r="L1072" s="1436"/>
      <c r="M1072" s="1436"/>
      <c r="N1072" s="1436"/>
      <c r="O1072" s="1436"/>
      <c r="P1072" s="1436"/>
      <c r="Q1072" s="1436"/>
      <c r="R1072" s="1436"/>
      <c r="S1072" s="1436"/>
      <c r="T1072" s="1436"/>
      <c r="U1072" s="1436"/>
      <c r="V1072" s="1436"/>
      <c r="W1072" s="1436"/>
      <c r="X1072" s="1436"/>
      <c r="Y1072" s="1436"/>
      <c r="Z1072" s="1436"/>
      <c r="AA1072" s="1436"/>
      <c r="AB1072" s="1436"/>
      <c r="AC1072" s="1436"/>
      <c r="AD1072" s="1436"/>
      <c r="AE1072" s="1436"/>
      <c r="AF1072" s="1436"/>
    </row>
    <row r="1073" spans="1:32">
      <c r="A1073" s="1436"/>
      <c r="B1073" s="1436"/>
      <c r="C1073" s="1436"/>
      <c r="D1073" s="1436"/>
      <c r="E1073" s="1436"/>
      <c r="F1073" s="1436"/>
      <c r="G1073" s="1436"/>
      <c r="H1073" s="1436"/>
      <c r="I1073" s="1436"/>
      <c r="J1073" s="1436"/>
      <c r="K1073" s="1436"/>
      <c r="L1073" s="1436"/>
      <c r="M1073" s="1436"/>
      <c r="N1073" s="1436"/>
      <c r="O1073" s="1436"/>
      <c r="P1073" s="1436"/>
      <c r="Q1073" s="1436"/>
      <c r="R1073" s="1436"/>
      <c r="S1073" s="1436"/>
      <c r="T1073" s="1436"/>
      <c r="U1073" s="1436"/>
      <c r="V1073" s="1436"/>
      <c r="W1073" s="1436"/>
      <c r="X1073" s="1436"/>
      <c r="Y1073" s="1436"/>
      <c r="Z1073" s="1436"/>
      <c r="AA1073" s="1436"/>
      <c r="AB1073" s="1436"/>
      <c r="AC1073" s="1436"/>
      <c r="AD1073" s="1436"/>
      <c r="AE1073" s="1436"/>
      <c r="AF1073" s="1436"/>
    </row>
    <row r="1074" spans="1:32">
      <c r="A1074" s="1436"/>
      <c r="B1074" s="1436"/>
      <c r="C1074" s="1436"/>
      <c r="D1074" s="1436"/>
      <c r="E1074" s="1436"/>
      <c r="F1074" s="1436"/>
      <c r="G1074" s="1436"/>
      <c r="H1074" s="1436"/>
      <c r="I1074" s="1436"/>
      <c r="J1074" s="1436"/>
      <c r="K1074" s="1436"/>
      <c r="L1074" s="1436"/>
      <c r="M1074" s="1436"/>
      <c r="N1074" s="1436"/>
      <c r="O1074" s="1436"/>
      <c r="P1074" s="1436"/>
      <c r="Q1074" s="1436"/>
      <c r="R1074" s="1436"/>
      <c r="S1074" s="1436"/>
      <c r="T1074" s="1436"/>
      <c r="U1074" s="1436"/>
      <c r="V1074" s="1436"/>
      <c r="W1074" s="1436"/>
      <c r="X1074" s="1436"/>
      <c r="Y1074" s="1436"/>
      <c r="Z1074" s="1436"/>
      <c r="AA1074" s="1436"/>
      <c r="AB1074" s="1436"/>
      <c r="AC1074" s="1436"/>
      <c r="AD1074" s="1436"/>
      <c r="AE1074" s="1436"/>
      <c r="AF1074" s="1436"/>
    </row>
    <row r="1075" spans="1:32">
      <c r="A1075" s="1436"/>
      <c r="B1075" s="1436"/>
      <c r="C1075" s="1436"/>
      <c r="D1075" s="1436"/>
      <c r="E1075" s="1436"/>
      <c r="F1075" s="1436"/>
      <c r="G1075" s="1436"/>
      <c r="H1075" s="1436"/>
      <c r="I1075" s="1436"/>
      <c r="J1075" s="1436"/>
      <c r="K1075" s="1436"/>
      <c r="L1075" s="1436"/>
      <c r="M1075" s="1436"/>
      <c r="N1075" s="1436"/>
      <c r="O1075" s="1436"/>
      <c r="P1075" s="1436"/>
      <c r="Q1075" s="1436"/>
      <c r="R1075" s="1436"/>
      <c r="S1075" s="1436"/>
      <c r="T1075" s="1436"/>
      <c r="U1075" s="1436"/>
      <c r="V1075" s="1436"/>
      <c r="W1075" s="1436"/>
      <c r="X1075" s="1436"/>
      <c r="Y1075" s="1436"/>
      <c r="Z1075" s="1436"/>
      <c r="AA1075" s="1436"/>
      <c r="AB1075" s="1436"/>
      <c r="AC1075" s="1436"/>
      <c r="AD1075" s="1436"/>
      <c r="AE1075" s="1436"/>
      <c r="AF1075" s="1436"/>
    </row>
    <row r="1076" spans="1:32">
      <c r="A1076" s="1436"/>
      <c r="B1076" s="1436"/>
      <c r="C1076" s="1436"/>
      <c r="D1076" s="1436"/>
      <c r="E1076" s="1436"/>
      <c r="F1076" s="1436"/>
      <c r="G1076" s="1436"/>
      <c r="H1076" s="1436"/>
      <c r="I1076" s="1436"/>
      <c r="J1076" s="1436"/>
      <c r="K1076" s="1436"/>
      <c r="L1076" s="1436"/>
      <c r="M1076" s="1436"/>
      <c r="N1076" s="1436"/>
      <c r="O1076" s="1436"/>
      <c r="P1076" s="1436"/>
      <c r="Q1076" s="1436"/>
      <c r="R1076" s="1436"/>
      <c r="S1076" s="1436"/>
      <c r="T1076" s="1436"/>
      <c r="U1076" s="1436"/>
      <c r="V1076" s="1436"/>
      <c r="W1076" s="1436"/>
      <c r="X1076" s="1436"/>
      <c r="Y1076" s="1436"/>
      <c r="Z1076" s="1436"/>
      <c r="AA1076" s="1436"/>
      <c r="AB1076" s="1436"/>
      <c r="AC1076" s="1436"/>
      <c r="AD1076" s="1436"/>
      <c r="AE1076" s="1436"/>
      <c r="AF1076" s="1436"/>
    </row>
    <row r="1077" spans="1:32">
      <c r="A1077" s="1436"/>
      <c r="B1077" s="1436"/>
      <c r="C1077" s="1436"/>
      <c r="D1077" s="1436"/>
      <c r="E1077" s="1436"/>
      <c r="F1077" s="1436"/>
      <c r="G1077" s="1436"/>
      <c r="H1077" s="1436"/>
      <c r="I1077" s="1436"/>
      <c r="J1077" s="1436"/>
      <c r="K1077" s="1436"/>
      <c r="L1077" s="1436"/>
      <c r="M1077" s="1436"/>
      <c r="N1077" s="1436"/>
      <c r="O1077" s="1436"/>
      <c r="P1077" s="1436"/>
      <c r="Q1077" s="1436"/>
      <c r="R1077" s="1436"/>
      <c r="S1077" s="1436"/>
      <c r="T1077" s="1436"/>
      <c r="U1077" s="1436"/>
      <c r="V1077" s="1436"/>
      <c r="W1077" s="1436"/>
      <c r="X1077" s="1436"/>
      <c r="Y1077" s="1436"/>
      <c r="Z1077" s="1436"/>
      <c r="AA1077" s="1436"/>
      <c r="AB1077" s="1436"/>
      <c r="AC1077" s="1436"/>
      <c r="AD1077" s="1436"/>
      <c r="AE1077" s="1436"/>
      <c r="AF1077" s="1436"/>
    </row>
    <row r="1078" spans="1:32">
      <c r="A1078" s="1436"/>
      <c r="B1078" s="1436"/>
      <c r="C1078" s="1436"/>
      <c r="D1078" s="1436"/>
      <c r="E1078" s="1436"/>
      <c r="F1078" s="1436"/>
      <c r="G1078" s="1436"/>
      <c r="H1078" s="1436"/>
      <c r="I1078" s="1436"/>
      <c r="J1078" s="1436"/>
      <c r="K1078" s="1436"/>
      <c r="L1078" s="1436"/>
      <c r="M1078" s="1436"/>
      <c r="N1078" s="1436"/>
      <c r="O1078" s="1436"/>
      <c r="P1078" s="1436"/>
      <c r="Q1078" s="1436"/>
      <c r="R1078" s="1436"/>
      <c r="S1078" s="1436"/>
      <c r="T1078" s="1436"/>
      <c r="U1078" s="1436"/>
      <c r="V1078" s="1436"/>
      <c r="W1078" s="1436"/>
      <c r="X1078" s="1436"/>
      <c r="Y1078" s="1436"/>
      <c r="Z1078" s="1436"/>
      <c r="AA1078" s="1436"/>
      <c r="AB1078" s="1436"/>
      <c r="AC1078" s="1436"/>
      <c r="AD1078" s="1436"/>
      <c r="AE1078" s="1436"/>
      <c r="AF1078" s="1436"/>
    </row>
    <row r="1079" spans="1:32">
      <c r="A1079" s="1436"/>
      <c r="B1079" s="1436"/>
      <c r="C1079" s="1436"/>
      <c r="D1079" s="1436"/>
      <c r="E1079" s="1436"/>
      <c r="F1079" s="1436"/>
      <c r="G1079" s="1436"/>
      <c r="H1079" s="1436"/>
      <c r="I1079" s="1436"/>
      <c r="J1079" s="1436"/>
      <c r="K1079" s="1436"/>
      <c r="L1079" s="1436"/>
      <c r="M1079" s="1436"/>
      <c r="N1079" s="1436"/>
      <c r="O1079" s="1436"/>
      <c r="P1079" s="1436"/>
      <c r="Q1079" s="1436"/>
      <c r="R1079" s="1436"/>
      <c r="S1079" s="1436"/>
      <c r="T1079" s="1436"/>
      <c r="U1079" s="1436"/>
      <c r="V1079" s="1436"/>
      <c r="W1079" s="1436"/>
      <c r="X1079" s="1436"/>
      <c r="Y1079" s="1436"/>
      <c r="Z1079" s="1436"/>
      <c r="AA1079" s="1436"/>
      <c r="AB1079" s="1436"/>
      <c r="AC1079" s="1436"/>
      <c r="AD1079" s="1436"/>
      <c r="AE1079" s="1436"/>
      <c r="AF1079" s="1436"/>
    </row>
    <row r="1080" spans="1:32">
      <c r="A1080" s="1436"/>
      <c r="B1080" s="1436"/>
      <c r="C1080" s="1436"/>
      <c r="D1080" s="1436"/>
      <c r="E1080" s="1436"/>
      <c r="F1080" s="1436"/>
      <c r="G1080" s="1436"/>
      <c r="H1080" s="1436"/>
      <c r="I1080" s="1436"/>
      <c r="J1080" s="1436"/>
      <c r="K1080" s="1436"/>
      <c r="L1080" s="1436"/>
      <c r="M1080" s="1436"/>
      <c r="N1080" s="1436"/>
      <c r="O1080" s="1436"/>
      <c r="P1080" s="1436"/>
      <c r="Q1080" s="1436"/>
      <c r="R1080" s="1436"/>
      <c r="S1080" s="1436"/>
      <c r="T1080" s="1436"/>
      <c r="U1080" s="1436"/>
      <c r="V1080" s="1436"/>
      <c r="W1080" s="1436"/>
      <c r="X1080" s="1436"/>
      <c r="Y1080" s="1436"/>
      <c r="Z1080" s="1436"/>
      <c r="AA1080" s="1436"/>
      <c r="AB1080" s="1436"/>
      <c r="AC1080" s="1436"/>
      <c r="AD1080" s="1436"/>
      <c r="AE1080" s="1436"/>
      <c r="AF1080" s="1436"/>
    </row>
    <row r="1081" spans="1:32">
      <c r="A1081" s="1436"/>
      <c r="B1081" s="1436"/>
      <c r="C1081" s="1436"/>
      <c r="D1081" s="1436"/>
      <c r="E1081" s="1436"/>
      <c r="F1081" s="1436"/>
      <c r="G1081" s="1436"/>
      <c r="H1081" s="1436"/>
      <c r="I1081" s="1436"/>
      <c r="J1081" s="1436"/>
      <c r="K1081" s="1436"/>
      <c r="L1081" s="1436"/>
      <c r="M1081" s="1436"/>
      <c r="N1081" s="1436"/>
      <c r="O1081" s="1436"/>
      <c r="P1081" s="1436"/>
      <c r="Q1081" s="1436"/>
      <c r="R1081" s="1436"/>
      <c r="S1081" s="1436"/>
      <c r="T1081" s="1436"/>
      <c r="U1081" s="1436"/>
      <c r="V1081" s="1436"/>
      <c r="W1081" s="1436"/>
      <c r="X1081" s="1436"/>
      <c r="Y1081" s="1436"/>
      <c r="Z1081" s="1436"/>
      <c r="AA1081" s="1436"/>
      <c r="AB1081" s="1436"/>
      <c r="AC1081" s="1436"/>
      <c r="AD1081" s="1436"/>
      <c r="AE1081" s="1436"/>
      <c r="AF1081" s="1436"/>
    </row>
    <row r="1082" spans="1:32">
      <c r="A1082" s="1436"/>
      <c r="B1082" s="1436"/>
      <c r="C1082" s="1436"/>
      <c r="D1082" s="1436"/>
      <c r="E1082" s="1436"/>
      <c r="F1082" s="1436"/>
      <c r="G1082" s="1436"/>
      <c r="H1082" s="1436"/>
      <c r="I1082" s="1436"/>
      <c r="J1082" s="1436"/>
      <c r="K1082" s="1436"/>
      <c r="L1082" s="1436"/>
      <c r="M1082" s="1436"/>
      <c r="N1082" s="1436"/>
      <c r="O1082" s="1436"/>
      <c r="P1082" s="1436"/>
      <c r="Q1082" s="1436"/>
      <c r="R1082" s="1436"/>
      <c r="S1082" s="1436"/>
      <c r="T1082" s="1436"/>
      <c r="U1082" s="1436"/>
      <c r="V1082" s="1436"/>
      <c r="W1082" s="1436"/>
      <c r="X1082" s="1436"/>
      <c r="Y1082" s="1436"/>
      <c r="Z1082" s="1436"/>
      <c r="AA1082" s="1436"/>
      <c r="AB1082" s="1436"/>
      <c r="AC1082" s="1436"/>
      <c r="AD1082" s="1436"/>
      <c r="AE1082" s="1436"/>
      <c r="AF1082" s="1436"/>
    </row>
    <row r="1083" spans="1:32">
      <c r="A1083" s="1436"/>
      <c r="B1083" s="1436"/>
      <c r="C1083" s="1436"/>
      <c r="D1083" s="1436"/>
      <c r="E1083" s="1436"/>
      <c r="F1083" s="1436"/>
      <c r="G1083" s="1436"/>
      <c r="H1083" s="1436"/>
      <c r="I1083" s="1436"/>
      <c r="J1083" s="1436"/>
      <c r="K1083" s="1436"/>
      <c r="L1083" s="1436"/>
      <c r="M1083" s="1436"/>
      <c r="N1083" s="1436"/>
      <c r="O1083" s="1436"/>
      <c r="P1083" s="1436"/>
      <c r="Q1083" s="1436"/>
      <c r="R1083" s="1436"/>
      <c r="S1083" s="1436"/>
      <c r="T1083" s="1436"/>
      <c r="U1083" s="1436"/>
      <c r="V1083" s="1436"/>
      <c r="W1083" s="1436"/>
      <c r="X1083" s="1436"/>
      <c r="Y1083" s="1436"/>
      <c r="Z1083" s="1436"/>
      <c r="AA1083" s="1436"/>
      <c r="AB1083" s="1436"/>
      <c r="AC1083" s="1436"/>
      <c r="AD1083" s="1436"/>
      <c r="AE1083" s="1436"/>
      <c r="AF1083" s="1436"/>
    </row>
    <row r="1084" spans="1:32">
      <c r="A1084" s="1436"/>
      <c r="B1084" s="1436"/>
      <c r="C1084" s="1436"/>
      <c r="D1084" s="1436"/>
      <c r="E1084" s="1436"/>
      <c r="F1084" s="1436"/>
      <c r="G1084" s="1436"/>
      <c r="H1084" s="1436"/>
      <c r="I1084" s="1436"/>
      <c r="J1084" s="1436"/>
      <c r="K1084" s="1436"/>
      <c r="L1084" s="1436"/>
      <c r="M1084" s="1436"/>
      <c r="N1084" s="1436"/>
      <c r="O1084" s="1436"/>
      <c r="P1084" s="1436"/>
      <c r="Q1084" s="1436"/>
      <c r="R1084" s="1436"/>
      <c r="S1084" s="1436"/>
      <c r="T1084" s="1436"/>
      <c r="U1084" s="1436"/>
      <c r="V1084" s="1436"/>
      <c r="W1084" s="1436"/>
      <c r="X1084" s="1436"/>
      <c r="Y1084" s="1436"/>
      <c r="Z1084" s="1436"/>
      <c r="AA1084" s="1436"/>
      <c r="AB1084" s="1436"/>
      <c r="AC1084" s="1436"/>
      <c r="AD1084" s="1436"/>
      <c r="AE1084" s="1436"/>
      <c r="AF1084" s="1436"/>
    </row>
    <row r="1085" spans="1:32">
      <c r="A1085" s="1436"/>
      <c r="B1085" s="1436"/>
      <c r="C1085" s="1436"/>
      <c r="D1085" s="1436"/>
      <c r="E1085" s="1436"/>
      <c r="F1085" s="1436"/>
      <c r="G1085" s="1436"/>
      <c r="H1085" s="1436"/>
      <c r="I1085" s="1436"/>
      <c r="J1085" s="1436"/>
      <c r="K1085" s="1436"/>
      <c r="L1085" s="1436"/>
      <c r="M1085" s="1436"/>
      <c r="N1085" s="1436"/>
      <c r="O1085" s="1436"/>
      <c r="P1085" s="1436"/>
      <c r="Q1085" s="1436"/>
      <c r="R1085" s="1436"/>
      <c r="S1085" s="1436"/>
      <c r="T1085" s="1436"/>
      <c r="U1085" s="1436"/>
      <c r="V1085" s="1436"/>
      <c r="W1085" s="1436"/>
      <c r="X1085" s="1436"/>
      <c r="Y1085" s="1436"/>
      <c r="Z1085" s="1436"/>
      <c r="AA1085" s="1436"/>
      <c r="AB1085" s="1436"/>
      <c r="AC1085" s="1436"/>
      <c r="AD1085" s="1436"/>
      <c r="AE1085" s="1436"/>
      <c r="AF1085" s="1436"/>
    </row>
    <row r="1086" spans="1:32">
      <c r="A1086" s="1436"/>
      <c r="B1086" s="1436"/>
      <c r="C1086" s="1436"/>
      <c r="D1086" s="1436"/>
      <c r="E1086" s="1436"/>
      <c r="F1086" s="1436"/>
      <c r="G1086" s="1436"/>
      <c r="H1086" s="1436"/>
      <c r="I1086" s="1436"/>
      <c r="J1086" s="1436"/>
      <c r="K1086" s="1436"/>
      <c r="L1086" s="1436"/>
      <c r="M1086" s="1436"/>
      <c r="N1086" s="1436"/>
      <c r="O1086" s="1436"/>
      <c r="P1086" s="1436"/>
      <c r="Q1086" s="1436"/>
      <c r="R1086" s="1436"/>
      <c r="S1086" s="1436"/>
      <c r="T1086" s="1436"/>
      <c r="U1086" s="1436"/>
      <c r="V1086" s="1436"/>
      <c r="W1086" s="1436"/>
      <c r="X1086" s="1436"/>
      <c r="Y1086" s="1436"/>
      <c r="Z1086" s="1436"/>
      <c r="AA1086" s="1436"/>
      <c r="AB1086" s="1436"/>
      <c r="AC1086" s="1436"/>
      <c r="AD1086" s="1436"/>
      <c r="AE1086" s="1436"/>
      <c r="AF1086" s="1436"/>
    </row>
    <row r="1087" spans="1:32">
      <c r="A1087" s="1436"/>
      <c r="B1087" s="1436"/>
      <c r="C1087" s="1436"/>
      <c r="D1087" s="1436"/>
      <c r="E1087" s="1436"/>
      <c r="F1087" s="1436"/>
      <c r="G1087" s="1436"/>
      <c r="H1087" s="1436"/>
      <c r="I1087" s="1436"/>
      <c r="J1087" s="1436"/>
      <c r="K1087" s="1436"/>
      <c r="L1087" s="1436"/>
      <c r="M1087" s="1436"/>
      <c r="N1087" s="1436"/>
      <c r="O1087" s="1436"/>
      <c r="P1087" s="1436"/>
      <c r="Q1087" s="1436"/>
      <c r="R1087" s="1436"/>
      <c r="S1087" s="1436"/>
      <c r="T1087" s="1436"/>
      <c r="U1087" s="1436"/>
      <c r="V1087" s="1436"/>
      <c r="W1087" s="1436"/>
      <c r="X1087" s="1436"/>
      <c r="Y1087" s="1436"/>
      <c r="Z1087" s="1436"/>
      <c r="AA1087" s="1436"/>
      <c r="AB1087" s="1436"/>
      <c r="AC1087" s="1436"/>
      <c r="AD1087" s="1436"/>
      <c r="AE1087" s="1436"/>
      <c r="AF1087" s="1436"/>
    </row>
    <row r="1088" spans="1:32">
      <c r="A1088" s="1436"/>
      <c r="B1088" s="1436"/>
      <c r="C1088" s="1436"/>
      <c r="D1088" s="1436"/>
      <c r="E1088" s="1436"/>
      <c r="F1088" s="1436"/>
      <c r="G1088" s="1436"/>
      <c r="H1088" s="1436"/>
      <c r="I1088" s="1436"/>
      <c r="J1088" s="1436"/>
      <c r="K1088" s="1436"/>
      <c r="L1088" s="1436"/>
      <c r="M1088" s="1436"/>
      <c r="N1088" s="1436"/>
      <c r="O1088" s="1436"/>
      <c r="P1088" s="1436"/>
      <c r="Q1088" s="1436"/>
      <c r="R1088" s="1436"/>
      <c r="S1088" s="1436"/>
      <c r="T1088" s="1436"/>
      <c r="U1088" s="1436"/>
      <c r="V1088" s="1436"/>
      <c r="W1088" s="1436"/>
      <c r="X1088" s="1436"/>
      <c r="Y1088" s="1436"/>
      <c r="Z1088" s="1436"/>
      <c r="AA1088" s="1436"/>
      <c r="AB1088" s="1436"/>
      <c r="AC1088" s="1436"/>
      <c r="AD1088" s="1436"/>
      <c r="AE1088" s="1436"/>
      <c r="AF1088" s="1436"/>
    </row>
    <row r="1089" spans="1:32">
      <c r="A1089" s="1436"/>
      <c r="B1089" s="1436"/>
      <c r="C1089" s="1436"/>
      <c r="D1089" s="1436"/>
      <c r="E1089" s="1436"/>
      <c r="F1089" s="1436"/>
      <c r="G1089" s="1436"/>
      <c r="H1089" s="1436"/>
      <c r="I1089" s="1436"/>
      <c r="J1089" s="1436"/>
      <c r="K1089" s="1436"/>
      <c r="L1089" s="1436"/>
      <c r="M1089" s="1436"/>
      <c r="N1089" s="1436"/>
      <c r="O1089" s="1436"/>
      <c r="P1089" s="1436"/>
      <c r="Q1089" s="1436"/>
      <c r="R1089" s="1436"/>
      <c r="S1089" s="1436"/>
      <c r="T1089" s="1436"/>
      <c r="U1089" s="1436"/>
      <c r="V1089" s="1436"/>
      <c r="W1089" s="1436"/>
      <c r="X1089" s="1436"/>
      <c r="Y1089" s="1436"/>
      <c r="Z1089" s="1436"/>
      <c r="AA1089" s="1436"/>
      <c r="AB1089" s="1436"/>
      <c r="AC1089" s="1436"/>
      <c r="AD1089" s="1436"/>
      <c r="AE1089" s="1436"/>
      <c r="AF1089" s="1436"/>
    </row>
    <row r="1090" spans="1:32">
      <c r="A1090" s="1436"/>
      <c r="B1090" s="1436"/>
      <c r="C1090" s="1436"/>
      <c r="D1090" s="1436"/>
      <c r="E1090" s="1436"/>
      <c r="F1090" s="1436"/>
      <c r="G1090" s="1436"/>
      <c r="H1090" s="1436"/>
      <c r="I1090" s="1436"/>
      <c r="J1090" s="1436"/>
      <c r="K1090" s="1436"/>
      <c r="L1090" s="1436"/>
      <c r="M1090" s="1436"/>
      <c r="N1090" s="1436"/>
      <c r="O1090" s="1436"/>
      <c r="P1090" s="1436"/>
      <c r="Q1090" s="1436"/>
      <c r="R1090" s="1436"/>
      <c r="S1090" s="1436"/>
      <c r="T1090" s="1436"/>
      <c r="U1090" s="1436"/>
      <c r="V1090" s="1436"/>
      <c r="W1090" s="1436"/>
      <c r="X1090" s="1436"/>
      <c r="Y1090" s="1436"/>
      <c r="Z1090" s="1436"/>
      <c r="AA1090" s="1436"/>
      <c r="AB1090" s="1436"/>
      <c r="AC1090" s="1436"/>
      <c r="AD1090" s="1436"/>
      <c r="AE1090" s="1436"/>
      <c r="AF1090" s="1436"/>
    </row>
    <row r="1091" spans="1:32">
      <c r="A1091" s="1436"/>
      <c r="B1091" s="1436"/>
      <c r="C1091" s="1436"/>
      <c r="D1091" s="1436"/>
      <c r="E1091" s="1436"/>
      <c r="F1091" s="1436"/>
      <c r="G1091" s="1436"/>
      <c r="H1091" s="1436"/>
      <c r="I1091" s="1436"/>
      <c r="J1091" s="1436"/>
      <c r="K1091" s="1436"/>
      <c r="L1091" s="1436"/>
      <c r="M1091" s="1436"/>
      <c r="N1091" s="1436"/>
      <c r="O1091" s="1436"/>
      <c r="P1091" s="1436"/>
      <c r="Q1091" s="1436"/>
      <c r="R1091" s="1436"/>
      <c r="S1091" s="1436"/>
      <c r="T1091" s="1436"/>
      <c r="U1091" s="1436"/>
      <c r="V1091" s="1436"/>
      <c r="W1091" s="1436"/>
      <c r="X1091" s="1436"/>
      <c r="Y1091" s="1436"/>
      <c r="Z1091" s="1436"/>
      <c r="AA1091" s="1436"/>
      <c r="AB1091" s="1436"/>
      <c r="AC1091" s="1436"/>
      <c r="AD1091" s="1436"/>
      <c r="AE1091" s="1436"/>
      <c r="AF1091" s="1436"/>
    </row>
    <row r="1092" spans="1:32">
      <c r="A1092" s="1436"/>
      <c r="B1092" s="1436"/>
      <c r="C1092" s="1436"/>
      <c r="D1092" s="1436"/>
      <c r="E1092" s="1436"/>
      <c r="F1092" s="1436"/>
      <c r="G1092" s="1436"/>
      <c r="H1092" s="1436"/>
      <c r="I1092" s="1436"/>
      <c r="J1092" s="1436"/>
      <c r="K1092" s="1436"/>
      <c r="L1092" s="1436"/>
      <c r="M1092" s="1436"/>
      <c r="N1092" s="1436"/>
      <c r="O1092" s="1436"/>
      <c r="P1092" s="1436"/>
      <c r="Q1092" s="1436"/>
      <c r="R1092" s="1436"/>
      <c r="S1092" s="1436"/>
      <c r="T1092" s="1436"/>
      <c r="U1092" s="1436"/>
      <c r="V1092" s="1436"/>
      <c r="W1092" s="1436"/>
      <c r="X1092" s="1436"/>
      <c r="Y1092" s="1436"/>
      <c r="Z1092" s="1436"/>
      <c r="AA1092" s="1436"/>
      <c r="AB1092" s="1436"/>
      <c r="AC1092" s="1436"/>
      <c r="AD1092" s="1436"/>
      <c r="AE1092" s="1436"/>
      <c r="AF1092" s="1436"/>
    </row>
    <row r="1093" spans="1:32">
      <c r="A1093" s="1436"/>
      <c r="B1093" s="1436"/>
      <c r="C1093" s="1436"/>
      <c r="D1093" s="1436"/>
      <c r="E1093" s="1436"/>
      <c r="F1093" s="1436"/>
      <c r="G1093" s="1436"/>
      <c r="H1093" s="1436"/>
      <c r="I1093" s="1436"/>
      <c r="J1093" s="1436"/>
      <c r="K1093" s="1436"/>
      <c r="L1093" s="1436"/>
      <c r="M1093" s="1436"/>
      <c r="N1093" s="1436"/>
      <c r="O1093" s="1436"/>
      <c r="P1093" s="1436"/>
      <c r="Q1093" s="1436"/>
      <c r="R1093" s="1436"/>
      <c r="S1093" s="1436"/>
      <c r="T1093" s="1436"/>
      <c r="U1093" s="1436"/>
      <c r="V1093" s="1436"/>
      <c r="W1093" s="1436"/>
      <c r="X1093" s="1436"/>
      <c r="Y1093" s="1436"/>
      <c r="Z1093" s="1436"/>
      <c r="AA1093" s="1436"/>
      <c r="AB1093" s="1436"/>
      <c r="AC1093" s="1436"/>
      <c r="AD1093" s="1436"/>
      <c r="AE1093" s="1436"/>
      <c r="AF1093" s="1436"/>
    </row>
    <row r="1094" spans="1:32">
      <c r="A1094" s="1436"/>
      <c r="B1094" s="1436"/>
      <c r="C1094" s="1436"/>
      <c r="D1094" s="1436"/>
      <c r="E1094" s="1436"/>
      <c r="F1094" s="1436"/>
      <c r="G1094" s="1436"/>
      <c r="H1094" s="1436"/>
      <c r="I1094" s="1436"/>
      <c r="J1094" s="1436"/>
      <c r="K1094" s="1436"/>
      <c r="L1094" s="1436"/>
      <c r="M1094" s="1436"/>
      <c r="N1094" s="1436"/>
      <c r="O1094" s="1436"/>
      <c r="P1094" s="1436"/>
      <c r="Q1094" s="1436"/>
      <c r="R1094" s="1436"/>
      <c r="S1094" s="1436"/>
      <c r="T1094" s="1436"/>
      <c r="U1094" s="1436"/>
      <c r="V1094" s="1436"/>
      <c r="W1094" s="1436"/>
      <c r="X1094" s="1436"/>
      <c r="Y1094" s="1436"/>
      <c r="Z1094" s="1436"/>
      <c r="AA1094" s="1436"/>
      <c r="AB1094" s="1436"/>
      <c r="AC1094" s="1436"/>
      <c r="AD1094" s="1436"/>
      <c r="AE1094" s="1436"/>
      <c r="AF1094" s="1436"/>
    </row>
    <row r="1095" spans="1:32">
      <c r="A1095" s="1436"/>
      <c r="B1095" s="1436"/>
      <c r="C1095" s="1436"/>
      <c r="D1095" s="1436"/>
      <c r="E1095" s="1436"/>
      <c r="F1095" s="1436"/>
      <c r="G1095" s="1436"/>
      <c r="H1095" s="1436"/>
      <c r="I1095" s="1436"/>
      <c r="J1095" s="1436"/>
      <c r="K1095" s="1436"/>
      <c r="L1095" s="1436"/>
      <c r="M1095" s="1436"/>
      <c r="N1095" s="1436"/>
      <c r="O1095" s="1436"/>
      <c r="P1095" s="1436"/>
      <c r="Q1095" s="1436"/>
      <c r="R1095" s="1436"/>
      <c r="S1095" s="1436"/>
      <c r="T1095" s="1436"/>
      <c r="U1095" s="1436"/>
      <c r="V1095" s="1436"/>
      <c r="W1095" s="1436"/>
      <c r="X1095" s="1436"/>
      <c r="Y1095" s="1436"/>
      <c r="Z1095" s="1436"/>
      <c r="AA1095" s="1436"/>
      <c r="AB1095" s="1436"/>
      <c r="AC1095" s="1436"/>
      <c r="AD1095" s="1436"/>
      <c r="AE1095" s="1436"/>
      <c r="AF1095" s="1436"/>
    </row>
    <row r="1096" spans="1:32">
      <c r="A1096" s="1436"/>
      <c r="B1096" s="1436"/>
      <c r="C1096" s="1436"/>
      <c r="D1096" s="1436"/>
      <c r="E1096" s="1436"/>
      <c r="F1096" s="1436"/>
      <c r="G1096" s="1436"/>
      <c r="H1096" s="1436"/>
      <c r="I1096" s="1436"/>
      <c r="J1096" s="1436"/>
      <c r="K1096" s="1436"/>
      <c r="L1096" s="1436"/>
      <c r="M1096" s="1436"/>
      <c r="N1096" s="1436"/>
      <c r="O1096" s="1436"/>
      <c r="P1096" s="1436"/>
      <c r="Q1096" s="1436"/>
      <c r="R1096" s="1436"/>
      <c r="S1096" s="1436"/>
      <c r="T1096" s="1436"/>
      <c r="U1096" s="1436"/>
      <c r="V1096" s="1436"/>
      <c r="W1096" s="1436"/>
      <c r="X1096" s="1436"/>
      <c r="Y1096" s="1436"/>
      <c r="Z1096" s="1436"/>
      <c r="AA1096" s="1436"/>
      <c r="AB1096" s="1436"/>
      <c r="AC1096" s="1436"/>
      <c r="AD1096" s="1436"/>
      <c r="AE1096" s="1436"/>
      <c r="AF1096" s="1436"/>
    </row>
    <row r="1097" spans="1:32">
      <c r="A1097" s="1436"/>
      <c r="B1097" s="1436"/>
      <c r="C1097" s="1436"/>
      <c r="D1097" s="1436"/>
      <c r="E1097" s="1436"/>
      <c r="F1097" s="1436"/>
      <c r="G1097" s="1436"/>
      <c r="H1097" s="1436"/>
      <c r="I1097" s="1436"/>
      <c r="J1097" s="1436"/>
      <c r="K1097" s="1436"/>
      <c r="L1097" s="1436"/>
      <c r="M1097" s="1436"/>
      <c r="N1097" s="1436"/>
      <c r="O1097" s="1436"/>
      <c r="P1097" s="1436"/>
      <c r="Q1097" s="1436"/>
      <c r="R1097" s="1436"/>
      <c r="S1097" s="1436"/>
      <c r="T1097" s="1436"/>
      <c r="U1097" s="1436"/>
      <c r="V1097" s="1436"/>
      <c r="W1097" s="1436"/>
      <c r="X1097" s="1436"/>
      <c r="Y1097" s="1436"/>
      <c r="Z1097" s="1436"/>
      <c r="AA1097" s="1436"/>
      <c r="AB1097" s="1436"/>
      <c r="AC1097" s="1436"/>
      <c r="AD1097" s="1436"/>
      <c r="AE1097" s="1436"/>
      <c r="AF1097" s="1436"/>
    </row>
    <row r="1098" spans="1:32">
      <c r="A1098" s="1436"/>
      <c r="B1098" s="1436"/>
      <c r="C1098" s="1436"/>
      <c r="D1098" s="1436"/>
      <c r="E1098" s="1436"/>
      <c r="F1098" s="1436"/>
      <c r="G1098" s="1436"/>
      <c r="H1098" s="1436"/>
      <c r="I1098" s="1436"/>
      <c r="J1098" s="1436"/>
      <c r="K1098" s="1436"/>
      <c r="L1098" s="1436"/>
      <c r="M1098" s="1436"/>
      <c r="N1098" s="1436"/>
      <c r="O1098" s="1436"/>
      <c r="P1098" s="1436"/>
      <c r="Q1098" s="1436"/>
      <c r="R1098" s="1436"/>
      <c r="S1098" s="1436"/>
      <c r="T1098" s="1436"/>
      <c r="U1098" s="1436"/>
      <c r="V1098" s="1436"/>
      <c r="W1098" s="1436"/>
      <c r="X1098" s="1436"/>
      <c r="Y1098" s="1436"/>
      <c r="Z1098" s="1436"/>
      <c r="AA1098" s="1436"/>
      <c r="AB1098" s="1436"/>
      <c r="AC1098" s="1436"/>
      <c r="AD1098" s="1436"/>
      <c r="AE1098" s="1436"/>
      <c r="AF1098" s="1436"/>
    </row>
    <row r="1099" spans="1:32">
      <c r="A1099" s="1436"/>
      <c r="B1099" s="1436"/>
      <c r="C1099" s="1436"/>
      <c r="D1099" s="1436"/>
      <c r="E1099" s="1436"/>
      <c r="F1099" s="1436"/>
      <c r="G1099" s="1436"/>
      <c r="H1099" s="1436"/>
      <c r="I1099" s="1436"/>
      <c r="J1099" s="1436"/>
      <c r="K1099" s="1436"/>
      <c r="L1099" s="1436"/>
      <c r="M1099" s="1436"/>
      <c r="N1099" s="1436"/>
      <c r="O1099" s="1436"/>
      <c r="P1099" s="1436"/>
      <c r="Q1099" s="1436"/>
      <c r="R1099" s="1436"/>
      <c r="S1099" s="1436"/>
      <c r="T1099" s="1436"/>
      <c r="U1099" s="1436"/>
      <c r="V1099" s="1436"/>
      <c r="W1099" s="1436"/>
      <c r="X1099" s="1436"/>
      <c r="Y1099" s="1436"/>
      <c r="Z1099" s="1436"/>
      <c r="AA1099" s="1436"/>
      <c r="AB1099" s="1436"/>
      <c r="AC1099" s="1436"/>
      <c r="AD1099" s="1436"/>
      <c r="AE1099" s="1436"/>
      <c r="AF1099" s="1436"/>
    </row>
    <row r="1100" spans="1:32">
      <c r="A1100" s="1436"/>
      <c r="B1100" s="1436"/>
      <c r="C1100" s="1436"/>
      <c r="D1100" s="1436"/>
      <c r="E1100" s="1436"/>
      <c r="F1100" s="1436"/>
      <c r="G1100" s="1436"/>
      <c r="H1100" s="1436"/>
      <c r="I1100" s="1436"/>
      <c r="J1100" s="1436"/>
      <c r="K1100" s="1436"/>
      <c r="L1100" s="1436"/>
      <c r="M1100" s="1436"/>
      <c r="N1100" s="1436"/>
      <c r="O1100" s="1436"/>
      <c r="P1100" s="1436"/>
      <c r="Q1100" s="1436"/>
      <c r="R1100" s="1436"/>
      <c r="S1100" s="1436"/>
      <c r="T1100" s="1436"/>
      <c r="U1100" s="1436"/>
      <c r="V1100" s="1436"/>
      <c r="W1100" s="1436"/>
      <c r="X1100" s="1436"/>
      <c r="Y1100" s="1436"/>
      <c r="Z1100" s="1436"/>
      <c r="AA1100" s="1436"/>
      <c r="AB1100" s="1436"/>
      <c r="AC1100" s="1436"/>
      <c r="AD1100" s="1436"/>
      <c r="AE1100" s="1436"/>
      <c r="AF1100" s="1436"/>
    </row>
    <row r="1101" spans="1:32">
      <c r="A1101" s="1436"/>
      <c r="B1101" s="1436"/>
      <c r="C1101" s="1436"/>
      <c r="D1101" s="1436"/>
      <c r="E1101" s="1436"/>
      <c r="F1101" s="1436"/>
      <c r="G1101" s="1436"/>
      <c r="H1101" s="1436"/>
      <c r="I1101" s="1436"/>
      <c r="J1101" s="1436"/>
      <c r="K1101" s="1436"/>
      <c r="L1101" s="1436"/>
      <c r="M1101" s="1436"/>
      <c r="N1101" s="1436"/>
      <c r="O1101" s="1436"/>
      <c r="P1101" s="1436"/>
      <c r="Q1101" s="1436"/>
      <c r="R1101" s="1436"/>
      <c r="S1101" s="1436"/>
      <c r="T1101" s="1436"/>
      <c r="U1101" s="1436"/>
      <c r="V1101" s="1436"/>
      <c r="W1101" s="1436"/>
      <c r="X1101" s="1436"/>
      <c r="Y1101" s="1436"/>
      <c r="Z1101" s="1436"/>
      <c r="AA1101" s="1436"/>
      <c r="AB1101" s="1436"/>
      <c r="AC1101" s="1436"/>
      <c r="AD1101" s="1436"/>
      <c r="AE1101" s="1436"/>
      <c r="AF1101" s="1436"/>
    </row>
    <row r="1102" spans="1:32">
      <c r="A1102" s="1436"/>
      <c r="B1102" s="1436"/>
      <c r="C1102" s="1436"/>
      <c r="D1102" s="1436"/>
      <c r="E1102" s="1436"/>
      <c r="F1102" s="1436"/>
      <c r="G1102" s="1436"/>
      <c r="H1102" s="1436"/>
      <c r="I1102" s="1436"/>
      <c r="J1102" s="1436"/>
      <c r="K1102" s="1436"/>
      <c r="L1102" s="1436"/>
      <c r="M1102" s="1436"/>
      <c r="N1102" s="1436"/>
      <c r="O1102" s="1436"/>
      <c r="P1102" s="1436"/>
      <c r="Q1102" s="1436"/>
      <c r="R1102" s="1436"/>
      <c r="S1102" s="1436"/>
      <c r="T1102" s="1436"/>
      <c r="U1102" s="1436"/>
      <c r="V1102" s="1436"/>
      <c r="W1102" s="1436"/>
      <c r="X1102" s="1436"/>
      <c r="Y1102" s="1436"/>
      <c r="Z1102" s="1436"/>
      <c r="AA1102" s="1436"/>
      <c r="AB1102" s="1436"/>
      <c r="AC1102" s="1436"/>
      <c r="AD1102" s="1436"/>
      <c r="AE1102" s="1436"/>
      <c r="AF1102" s="1436"/>
    </row>
    <row r="1103" spans="1:32">
      <c r="A1103" s="1436"/>
      <c r="B1103" s="1436"/>
      <c r="C1103" s="1436"/>
      <c r="D1103" s="1436"/>
      <c r="E1103" s="1436"/>
      <c r="F1103" s="1436"/>
      <c r="G1103" s="1436"/>
      <c r="H1103" s="1436"/>
      <c r="I1103" s="1436"/>
      <c r="J1103" s="1436"/>
      <c r="K1103" s="1436"/>
      <c r="L1103" s="1436"/>
      <c r="M1103" s="1436"/>
      <c r="N1103" s="1436"/>
      <c r="O1103" s="1436"/>
      <c r="P1103" s="1436"/>
      <c r="Q1103" s="1436"/>
      <c r="R1103" s="1436"/>
      <c r="S1103" s="1436"/>
      <c r="T1103" s="1436"/>
      <c r="U1103" s="1436"/>
      <c r="V1103" s="1436"/>
      <c r="W1103" s="1436"/>
      <c r="X1103" s="1436"/>
      <c r="Y1103" s="1436"/>
      <c r="Z1103" s="1436"/>
      <c r="AA1103" s="1436"/>
      <c r="AB1103" s="1436"/>
      <c r="AC1103" s="1436"/>
      <c r="AD1103" s="1436"/>
      <c r="AE1103" s="1436"/>
      <c r="AF1103" s="1436"/>
    </row>
    <row r="1104" spans="1:32">
      <c r="A1104" s="1436"/>
      <c r="B1104" s="1436"/>
      <c r="C1104" s="1436"/>
      <c r="D1104" s="1436"/>
      <c r="E1104" s="1436"/>
      <c r="F1104" s="1436"/>
      <c r="G1104" s="1436"/>
      <c r="H1104" s="1436"/>
      <c r="I1104" s="1436"/>
      <c r="J1104" s="1436"/>
      <c r="K1104" s="1436"/>
      <c r="L1104" s="1436"/>
      <c r="M1104" s="1436"/>
      <c r="N1104" s="1436"/>
      <c r="O1104" s="1436"/>
      <c r="P1104" s="1436"/>
      <c r="Q1104" s="1436"/>
      <c r="R1104" s="1436"/>
      <c r="S1104" s="1436"/>
      <c r="T1104" s="1436"/>
      <c r="U1104" s="1436"/>
      <c r="V1104" s="1436"/>
      <c r="W1104" s="1436"/>
      <c r="X1104" s="1436"/>
      <c r="Y1104" s="1436"/>
      <c r="Z1104" s="1436"/>
      <c r="AA1104" s="1436"/>
      <c r="AB1104" s="1436"/>
      <c r="AC1104" s="1436"/>
      <c r="AD1104" s="1436"/>
      <c r="AE1104" s="1436"/>
      <c r="AF1104" s="1436"/>
    </row>
    <row r="1105" spans="1:32">
      <c r="A1105" s="1436"/>
      <c r="B1105" s="1436"/>
      <c r="C1105" s="1436"/>
      <c r="D1105" s="1436"/>
      <c r="E1105" s="1436"/>
      <c r="F1105" s="1436"/>
      <c r="G1105" s="1436"/>
      <c r="H1105" s="1436"/>
      <c r="I1105" s="1436"/>
      <c r="J1105" s="1436"/>
      <c r="K1105" s="1436"/>
      <c r="L1105" s="1436"/>
      <c r="M1105" s="1436"/>
      <c r="N1105" s="1436"/>
      <c r="O1105" s="1436"/>
      <c r="P1105" s="1436"/>
      <c r="Q1105" s="1436"/>
      <c r="R1105" s="1436"/>
      <c r="S1105" s="1436"/>
      <c r="T1105" s="1436"/>
      <c r="U1105" s="1436"/>
      <c r="V1105" s="1436"/>
      <c r="W1105" s="1436"/>
      <c r="X1105" s="1436"/>
      <c r="Y1105" s="1436"/>
      <c r="Z1105" s="1436"/>
      <c r="AA1105" s="1436"/>
      <c r="AB1105" s="1436"/>
      <c r="AC1105" s="1436"/>
      <c r="AD1105" s="1436"/>
      <c r="AE1105" s="1436"/>
      <c r="AF1105" s="1436"/>
    </row>
    <row r="1106" spans="1:32">
      <c r="A1106" s="1436"/>
      <c r="B1106" s="1436"/>
      <c r="C1106" s="1436"/>
      <c r="D1106" s="1436"/>
      <c r="E1106" s="1436"/>
      <c r="F1106" s="1436"/>
      <c r="G1106" s="1436"/>
      <c r="H1106" s="1436"/>
      <c r="I1106" s="1436"/>
      <c r="J1106" s="1436"/>
      <c r="K1106" s="1436"/>
      <c r="L1106" s="1436"/>
      <c r="M1106" s="1436"/>
      <c r="N1106" s="1436"/>
      <c r="O1106" s="1436"/>
      <c r="P1106" s="1436"/>
      <c r="Q1106" s="1436"/>
      <c r="R1106" s="1436"/>
      <c r="S1106" s="1436"/>
      <c r="T1106" s="1436"/>
      <c r="U1106" s="1436"/>
      <c r="V1106" s="1436"/>
      <c r="W1106" s="1436"/>
      <c r="X1106" s="1436"/>
      <c r="Y1106" s="1436"/>
      <c r="Z1106" s="1436"/>
      <c r="AA1106" s="1436"/>
      <c r="AB1106" s="1436"/>
      <c r="AC1106" s="1436"/>
      <c r="AD1106" s="1436"/>
      <c r="AE1106" s="1436"/>
      <c r="AF1106" s="1436"/>
    </row>
    <row r="1107" spans="1:32">
      <c r="A1107" s="1436"/>
      <c r="B1107" s="1436"/>
      <c r="C1107" s="1436"/>
      <c r="D1107" s="1436"/>
      <c r="E1107" s="1436"/>
      <c r="F1107" s="1436"/>
      <c r="G1107" s="1436"/>
      <c r="H1107" s="1436"/>
      <c r="I1107" s="1436"/>
      <c r="J1107" s="1436"/>
      <c r="K1107" s="1436"/>
      <c r="L1107" s="1436"/>
      <c r="M1107" s="1436"/>
      <c r="N1107" s="1436"/>
      <c r="O1107" s="1436"/>
      <c r="P1107" s="1436"/>
      <c r="Q1107" s="1436"/>
      <c r="R1107" s="1436"/>
      <c r="S1107" s="1436"/>
      <c r="T1107" s="1436"/>
      <c r="U1107" s="1436"/>
      <c r="V1107" s="1436"/>
      <c r="W1107" s="1436"/>
      <c r="X1107" s="1436"/>
      <c r="Y1107" s="1436"/>
      <c r="Z1107" s="1436"/>
      <c r="AA1107" s="1436"/>
      <c r="AB1107" s="1436"/>
      <c r="AC1107" s="1436"/>
      <c r="AD1107" s="1436"/>
      <c r="AE1107" s="1436"/>
      <c r="AF1107" s="1436"/>
    </row>
    <row r="1108" spans="1:32">
      <c r="A1108" s="1436"/>
      <c r="B1108" s="1436"/>
      <c r="C1108" s="1436"/>
      <c r="D1108" s="1436"/>
      <c r="E1108" s="1436"/>
      <c r="F1108" s="1436"/>
      <c r="G1108" s="1436"/>
      <c r="H1108" s="1436"/>
      <c r="I1108" s="1436"/>
      <c r="J1108" s="1436"/>
      <c r="K1108" s="1436"/>
      <c r="L1108" s="1436"/>
      <c r="M1108" s="1436"/>
      <c r="N1108" s="1436"/>
      <c r="O1108" s="1436"/>
      <c r="P1108" s="1436"/>
      <c r="Q1108" s="1436"/>
      <c r="R1108" s="1436"/>
      <c r="S1108" s="1436"/>
      <c r="T1108" s="1436"/>
      <c r="U1108" s="1436"/>
      <c r="V1108" s="1436"/>
      <c r="W1108" s="1436"/>
      <c r="X1108" s="1436"/>
      <c r="Y1108" s="1436"/>
      <c r="Z1108" s="1436"/>
      <c r="AA1108" s="1436"/>
      <c r="AB1108" s="1436"/>
      <c r="AC1108" s="1436"/>
      <c r="AD1108" s="1436"/>
      <c r="AE1108" s="1436"/>
      <c r="AF1108" s="1436"/>
    </row>
    <row r="1109" spans="1:32">
      <c r="A1109" s="1436"/>
      <c r="B1109" s="1436"/>
      <c r="C1109" s="1436"/>
      <c r="D1109" s="1436"/>
      <c r="E1109" s="1436"/>
      <c r="F1109" s="1436"/>
      <c r="G1109" s="1436"/>
      <c r="H1109" s="1436"/>
      <c r="I1109" s="1436"/>
      <c r="J1109" s="1436"/>
      <c r="K1109" s="1436"/>
      <c r="L1109" s="1436"/>
      <c r="M1109" s="1436"/>
      <c r="N1109" s="1436"/>
      <c r="O1109" s="1436"/>
      <c r="P1109" s="1436"/>
      <c r="Q1109" s="1436"/>
      <c r="R1109" s="1436"/>
      <c r="S1109" s="1436"/>
      <c r="T1109" s="1436"/>
      <c r="U1109" s="1436"/>
      <c r="V1109" s="1436"/>
      <c r="W1109" s="1436"/>
      <c r="X1109" s="1436"/>
      <c r="Y1109" s="1436"/>
      <c r="Z1109" s="1436"/>
      <c r="AA1109" s="1436"/>
      <c r="AB1109" s="1436"/>
      <c r="AC1109" s="1436"/>
      <c r="AD1109" s="1436"/>
      <c r="AE1109" s="1436"/>
      <c r="AF1109" s="1436"/>
    </row>
    <row r="1110" spans="1:32">
      <c r="A1110" s="1436"/>
      <c r="B1110" s="1436"/>
      <c r="C1110" s="1436"/>
      <c r="D1110" s="1436"/>
      <c r="E1110" s="1436"/>
      <c r="F1110" s="1436"/>
      <c r="G1110" s="1436"/>
      <c r="H1110" s="1436"/>
      <c r="I1110" s="1436"/>
      <c r="J1110" s="1436"/>
      <c r="K1110" s="1436"/>
      <c r="L1110" s="1436"/>
      <c r="M1110" s="1436"/>
      <c r="N1110" s="1436"/>
      <c r="O1110" s="1436"/>
      <c r="P1110" s="1436"/>
      <c r="Q1110" s="1436"/>
      <c r="R1110" s="1436"/>
      <c r="S1110" s="1436"/>
      <c r="T1110" s="1436"/>
      <c r="U1110" s="1436"/>
      <c r="V1110" s="1436"/>
      <c r="W1110" s="1436"/>
      <c r="X1110" s="1436"/>
      <c r="Y1110" s="1436"/>
      <c r="Z1110" s="1436"/>
      <c r="AA1110" s="1436"/>
      <c r="AB1110" s="1436"/>
      <c r="AC1110" s="1436"/>
      <c r="AD1110" s="1436"/>
      <c r="AE1110" s="1436"/>
      <c r="AF1110" s="1436"/>
    </row>
    <row r="1111" spans="1:32">
      <c r="A1111" s="1436"/>
      <c r="B1111" s="1436"/>
      <c r="C1111" s="1436"/>
      <c r="D1111" s="1436"/>
      <c r="E1111" s="1436"/>
      <c r="F1111" s="1436"/>
      <c r="G1111" s="1436"/>
      <c r="H1111" s="1436"/>
      <c r="I1111" s="1436"/>
      <c r="J1111" s="1436"/>
      <c r="K1111" s="1436"/>
      <c r="L1111" s="1436"/>
      <c r="M1111" s="1436"/>
      <c r="N1111" s="1436"/>
      <c r="O1111" s="1436"/>
      <c r="P1111" s="1436"/>
      <c r="Q1111" s="1436"/>
      <c r="R1111" s="1436"/>
      <c r="S1111" s="1436"/>
      <c r="T1111" s="1436"/>
      <c r="U1111" s="1436"/>
      <c r="V1111" s="1436"/>
      <c r="W1111" s="1436"/>
      <c r="X1111" s="1436"/>
      <c r="Y1111" s="1436"/>
      <c r="Z1111" s="1436"/>
      <c r="AA1111" s="1436"/>
      <c r="AB1111" s="1436"/>
      <c r="AC1111" s="1436"/>
      <c r="AD1111" s="1436"/>
      <c r="AE1111" s="1436"/>
      <c r="AF1111" s="1436"/>
    </row>
    <row r="1112" spans="1:32">
      <c r="A1112" s="1436"/>
      <c r="B1112" s="1436"/>
      <c r="C1112" s="1436"/>
      <c r="D1112" s="1436"/>
      <c r="E1112" s="1436"/>
      <c r="F1112" s="1436"/>
      <c r="G1112" s="1436"/>
      <c r="H1112" s="1436"/>
      <c r="I1112" s="1436"/>
      <c r="J1112" s="1436"/>
      <c r="K1112" s="1436"/>
      <c r="L1112" s="1436"/>
      <c r="M1112" s="1436"/>
      <c r="N1112" s="1436"/>
      <c r="O1112" s="1436"/>
      <c r="P1112" s="1436"/>
      <c r="Q1112" s="1436"/>
      <c r="R1112" s="1436"/>
      <c r="S1112" s="1436"/>
      <c r="T1112" s="1436"/>
      <c r="U1112" s="1436"/>
      <c r="V1112" s="1436"/>
      <c r="W1112" s="1436"/>
      <c r="X1112" s="1436"/>
      <c r="Y1112" s="1436"/>
      <c r="Z1112" s="1436"/>
      <c r="AA1112" s="1436"/>
      <c r="AB1112" s="1436"/>
      <c r="AC1112" s="1436"/>
      <c r="AD1112" s="1436"/>
      <c r="AE1112" s="1436"/>
      <c r="AF1112" s="1436"/>
    </row>
    <row r="1113" spans="1:32">
      <c r="A1113" s="1436"/>
      <c r="B1113" s="1436"/>
      <c r="C1113" s="1436"/>
      <c r="D1113" s="1436"/>
      <c r="E1113" s="1436"/>
      <c r="F1113" s="1436"/>
      <c r="G1113" s="1436"/>
      <c r="H1113" s="1436"/>
      <c r="I1113" s="1436"/>
      <c r="J1113" s="1436"/>
      <c r="K1113" s="1436"/>
      <c r="L1113" s="1436"/>
      <c r="M1113" s="1436"/>
      <c r="N1113" s="1436"/>
      <c r="O1113" s="1436"/>
      <c r="P1113" s="1436"/>
      <c r="Q1113" s="1436"/>
      <c r="R1113" s="1436"/>
      <c r="S1113" s="1436"/>
      <c r="T1113" s="1436"/>
      <c r="U1113" s="1436"/>
      <c r="V1113" s="1436"/>
      <c r="W1113" s="1436"/>
      <c r="X1113" s="1436"/>
      <c r="Y1113" s="1436"/>
      <c r="Z1113" s="1436"/>
      <c r="AA1113" s="1436"/>
      <c r="AB1113" s="1436"/>
      <c r="AC1113" s="1436"/>
      <c r="AD1113" s="1436"/>
      <c r="AE1113" s="1436"/>
      <c r="AF1113" s="1436"/>
    </row>
    <row r="1114" spans="1:32">
      <c r="A1114" s="1436"/>
      <c r="B1114" s="1436"/>
      <c r="C1114" s="1436"/>
      <c r="D1114" s="1436"/>
      <c r="E1114" s="1436"/>
      <c r="F1114" s="1436"/>
      <c r="G1114" s="1436"/>
      <c r="H1114" s="1436"/>
      <c r="I1114" s="1436"/>
      <c r="J1114" s="1436"/>
      <c r="K1114" s="1436"/>
      <c r="L1114" s="1436"/>
      <c r="M1114" s="1436"/>
      <c r="N1114" s="1436"/>
      <c r="O1114" s="1436"/>
      <c r="P1114" s="1436"/>
      <c r="Q1114" s="1436"/>
      <c r="R1114" s="1436"/>
      <c r="S1114" s="1436"/>
      <c r="T1114" s="1436"/>
      <c r="U1114" s="1436"/>
      <c r="V1114" s="1436"/>
      <c r="W1114" s="1436"/>
      <c r="X1114" s="1436"/>
      <c r="Y1114" s="1436"/>
      <c r="Z1114" s="1436"/>
      <c r="AA1114" s="1436"/>
      <c r="AB1114" s="1436"/>
      <c r="AC1114" s="1436"/>
      <c r="AD1114" s="1436"/>
      <c r="AE1114" s="1436"/>
      <c r="AF1114" s="1436"/>
    </row>
    <row r="1115" spans="1:32">
      <c r="A1115" s="1436"/>
      <c r="B1115" s="1436"/>
      <c r="C1115" s="1436"/>
      <c r="D1115" s="1436"/>
      <c r="E1115" s="1436"/>
      <c r="F1115" s="1436"/>
      <c r="G1115" s="1436"/>
      <c r="H1115" s="1436"/>
      <c r="I1115" s="1436"/>
      <c r="J1115" s="1436"/>
      <c r="K1115" s="1436"/>
      <c r="L1115" s="1436"/>
      <c r="M1115" s="1436"/>
      <c r="N1115" s="1436"/>
      <c r="O1115" s="1436"/>
      <c r="P1115" s="1436"/>
      <c r="Q1115" s="1436"/>
      <c r="R1115" s="1436"/>
      <c r="S1115" s="1436"/>
      <c r="T1115" s="1436"/>
      <c r="U1115" s="1436"/>
      <c r="V1115" s="1436"/>
      <c r="W1115" s="1436"/>
      <c r="X1115" s="1436"/>
      <c r="Y1115" s="1436"/>
      <c r="Z1115" s="1436"/>
      <c r="AA1115" s="1436"/>
      <c r="AB1115" s="1436"/>
      <c r="AC1115" s="1436"/>
      <c r="AD1115" s="1436"/>
      <c r="AE1115" s="1436"/>
      <c r="AF1115" s="1436"/>
    </row>
    <row r="1116" spans="1:32">
      <c r="A1116" s="1436"/>
      <c r="B1116" s="1436"/>
      <c r="C1116" s="1436"/>
      <c r="D1116" s="1436"/>
      <c r="E1116" s="1436"/>
      <c r="F1116" s="1436"/>
      <c r="G1116" s="1436"/>
      <c r="H1116" s="1436"/>
      <c r="I1116" s="1436"/>
      <c r="J1116" s="1436"/>
      <c r="K1116" s="1436"/>
      <c r="L1116" s="1436"/>
      <c r="M1116" s="1436"/>
      <c r="N1116" s="1436"/>
      <c r="O1116" s="1436"/>
      <c r="P1116" s="1436"/>
      <c r="Q1116" s="1436"/>
      <c r="R1116" s="1436"/>
      <c r="S1116" s="1436"/>
      <c r="T1116" s="1436"/>
      <c r="U1116" s="1436"/>
      <c r="V1116" s="1436"/>
      <c r="W1116" s="1436"/>
      <c r="X1116" s="1436"/>
      <c r="Y1116" s="1436"/>
      <c r="Z1116" s="1436"/>
      <c r="AA1116" s="1436"/>
      <c r="AB1116" s="1436"/>
      <c r="AC1116" s="1436"/>
      <c r="AD1116" s="1436"/>
      <c r="AE1116" s="1436"/>
      <c r="AF1116" s="1436"/>
    </row>
    <row r="1117" spans="1:32">
      <c r="A1117" s="1436"/>
      <c r="B1117" s="1436"/>
      <c r="C1117" s="1436"/>
      <c r="D1117" s="1436"/>
      <c r="E1117" s="1436"/>
      <c r="F1117" s="1436"/>
      <c r="G1117" s="1436"/>
      <c r="H1117" s="1436"/>
      <c r="I1117" s="1436"/>
      <c r="J1117" s="1436"/>
      <c r="K1117" s="1436"/>
      <c r="L1117" s="1436"/>
      <c r="M1117" s="1436"/>
      <c r="N1117" s="1436"/>
      <c r="O1117" s="1436"/>
      <c r="P1117" s="1436"/>
      <c r="Q1117" s="1436"/>
      <c r="R1117" s="1436"/>
      <c r="S1117" s="1436"/>
      <c r="T1117" s="1436"/>
      <c r="U1117" s="1436"/>
      <c r="V1117" s="1436"/>
      <c r="W1117" s="1436"/>
      <c r="X1117" s="1436"/>
      <c r="Y1117" s="1436"/>
      <c r="Z1117" s="1436"/>
      <c r="AA1117" s="1436"/>
      <c r="AB1117" s="1436"/>
      <c r="AC1117" s="1436"/>
      <c r="AD1117" s="1436"/>
      <c r="AE1117" s="1436"/>
      <c r="AF1117" s="1436"/>
    </row>
    <row r="1118" spans="1:32">
      <c r="A1118" s="1436"/>
      <c r="B1118" s="1436"/>
      <c r="C1118" s="1436"/>
      <c r="D1118" s="1436"/>
      <c r="E1118" s="1436"/>
      <c r="F1118" s="1436"/>
      <c r="G1118" s="1436"/>
      <c r="H1118" s="1436"/>
      <c r="I1118" s="1436"/>
      <c r="J1118" s="1436"/>
      <c r="K1118" s="1436"/>
      <c r="L1118" s="1436"/>
      <c r="M1118" s="1436"/>
      <c r="N1118" s="1436"/>
      <c r="O1118" s="1436"/>
      <c r="P1118" s="1436"/>
      <c r="Q1118" s="1436"/>
      <c r="R1118" s="1436"/>
      <c r="S1118" s="1436"/>
      <c r="T1118" s="1436"/>
      <c r="U1118" s="1436"/>
      <c r="V1118" s="1436"/>
      <c r="W1118" s="1436"/>
      <c r="X1118" s="1436"/>
      <c r="Y1118" s="1436"/>
      <c r="Z1118" s="1436"/>
      <c r="AA1118" s="1436"/>
      <c r="AB1118" s="1436"/>
      <c r="AC1118" s="1436"/>
      <c r="AD1118" s="1436"/>
      <c r="AE1118" s="1436"/>
      <c r="AF1118" s="1436"/>
    </row>
    <row r="1119" spans="1:32">
      <c r="A1119" s="1436"/>
      <c r="B1119" s="1436"/>
      <c r="C1119" s="1436"/>
      <c r="D1119" s="1436"/>
      <c r="E1119" s="1436"/>
      <c r="F1119" s="1436"/>
      <c r="G1119" s="1436"/>
      <c r="H1119" s="1436"/>
      <c r="I1119" s="1436"/>
      <c r="J1119" s="1436"/>
      <c r="K1119" s="1436"/>
      <c r="L1119" s="1436"/>
      <c r="M1119" s="1436"/>
      <c r="N1119" s="1436"/>
      <c r="O1119" s="1436"/>
      <c r="P1119" s="1436"/>
      <c r="Q1119" s="1436"/>
      <c r="R1119" s="1436"/>
      <c r="S1119" s="1436"/>
      <c r="T1119" s="1436"/>
      <c r="U1119" s="1436"/>
      <c r="V1119" s="1436"/>
      <c r="W1119" s="1436"/>
      <c r="X1119" s="1436"/>
      <c r="Y1119" s="1436"/>
      <c r="Z1119" s="1436"/>
      <c r="AA1119" s="1436"/>
      <c r="AB1119" s="1436"/>
      <c r="AC1119" s="1436"/>
      <c r="AD1119" s="1436"/>
      <c r="AE1119" s="1436"/>
      <c r="AF1119" s="1436"/>
    </row>
    <row r="1120" spans="1:32">
      <c r="A1120" s="1436"/>
      <c r="B1120" s="1436"/>
      <c r="C1120" s="1436"/>
      <c r="D1120" s="1436"/>
      <c r="E1120" s="1436"/>
      <c r="F1120" s="1436"/>
      <c r="G1120" s="1436"/>
      <c r="H1120" s="1436"/>
      <c r="I1120" s="1436"/>
      <c r="J1120" s="1436"/>
      <c r="K1120" s="1436"/>
      <c r="L1120" s="1436"/>
      <c r="M1120" s="1436"/>
      <c r="N1120" s="1436"/>
      <c r="O1120" s="1436"/>
      <c r="P1120" s="1436"/>
      <c r="Q1120" s="1436"/>
      <c r="R1120" s="1436"/>
      <c r="S1120" s="1436"/>
      <c r="T1120" s="1436"/>
      <c r="U1120" s="1436"/>
      <c r="V1120" s="1436"/>
      <c r="W1120" s="1436"/>
      <c r="X1120" s="1436"/>
      <c r="Y1120" s="1436"/>
      <c r="Z1120" s="1436"/>
      <c r="AA1120" s="1436"/>
      <c r="AB1120" s="1436"/>
      <c r="AC1120" s="1436"/>
      <c r="AD1120" s="1436"/>
      <c r="AE1120" s="1436"/>
      <c r="AF1120" s="1436"/>
    </row>
    <row r="1121" spans="1:32">
      <c r="A1121" s="1436"/>
      <c r="B1121" s="1436"/>
      <c r="C1121" s="1436"/>
      <c r="D1121" s="1436"/>
      <c r="E1121" s="1436"/>
      <c r="F1121" s="1436"/>
      <c r="G1121" s="1436"/>
      <c r="H1121" s="1436"/>
      <c r="I1121" s="1436"/>
      <c r="J1121" s="1436"/>
      <c r="K1121" s="1436"/>
      <c r="L1121" s="1436"/>
      <c r="M1121" s="1436"/>
      <c r="N1121" s="1436"/>
      <c r="O1121" s="1436"/>
      <c r="P1121" s="1436"/>
      <c r="Q1121" s="1436"/>
      <c r="R1121" s="1436"/>
      <c r="S1121" s="1436"/>
      <c r="T1121" s="1436"/>
      <c r="U1121" s="1436"/>
      <c r="V1121" s="1436"/>
      <c r="W1121" s="1436"/>
      <c r="X1121" s="1436"/>
      <c r="Y1121" s="1436"/>
      <c r="Z1121" s="1436"/>
      <c r="AA1121" s="1436"/>
      <c r="AB1121" s="1436"/>
      <c r="AC1121" s="1436"/>
      <c r="AD1121" s="1436"/>
      <c r="AE1121" s="1436"/>
      <c r="AF1121" s="1436"/>
    </row>
    <row r="1122" spans="1:32">
      <c r="A1122" s="1436"/>
      <c r="B1122" s="1436"/>
      <c r="C1122" s="1436"/>
      <c r="D1122" s="1436"/>
      <c r="E1122" s="1436"/>
      <c r="F1122" s="1436"/>
      <c r="G1122" s="1436"/>
      <c r="H1122" s="1436"/>
      <c r="I1122" s="1436"/>
      <c r="J1122" s="1436"/>
      <c r="K1122" s="1436"/>
      <c r="L1122" s="1436"/>
      <c r="M1122" s="1436"/>
      <c r="N1122" s="1436"/>
      <c r="O1122" s="1436"/>
      <c r="P1122" s="1436"/>
      <c r="Q1122" s="1436"/>
      <c r="R1122" s="1436"/>
      <c r="S1122" s="1436"/>
      <c r="T1122" s="1436"/>
      <c r="U1122" s="1436"/>
      <c r="V1122" s="1436"/>
      <c r="W1122" s="1436"/>
      <c r="X1122" s="1436"/>
      <c r="Y1122" s="1436"/>
      <c r="Z1122" s="1436"/>
      <c r="AA1122" s="1436"/>
      <c r="AB1122" s="1436"/>
      <c r="AC1122" s="1436"/>
      <c r="AD1122" s="1436"/>
      <c r="AE1122" s="1436"/>
      <c r="AF1122" s="1436"/>
    </row>
    <row r="1123" spans="1:32">
      <c r="A1123" s="1436"/>
      <c r="B1123" s="1436"/>
      <c r="C1123" s="1436"/>
      <c r="D1123" s="1436"/>
      <c r="E1123" s="1436"/>
      <c r="F1123" s="1436"/>
      <c r="G1123" s="1436"/>
      <c r="H1123" s="1436"/>
      <c r="I1123" s="1436"/>
      <c r="J1123" s="1436"/>
      <c r="K1123" s="1436"/>
      <c r="L1123" s="1436"/>
      <c r="M1123" s="1436"/>
      <c r="N1123" s="1436"/>
      <c r="O1123" s="1436"/>
      <c r="P1123" s="1436"/>
      <c r="Q1123" s="1436"/>
      <c r="R1123" s="1436"/>
      <c r="S1123" s="1436"/>
      <c r="T1123" s="1436"/>
      <c r="U1123" s="1436"/>
      <c r="V1123" s="1436"/>
      <c r="W1123" s="1436"/>
      <c r="X1123" s="1436"/>
      <c r="Y1123" s="1436"/>
      <c r="Z1123" s="1436"/>
      <c r="AA1123" s="1436"/>
      <c r="AB1123" s="1436"/>
      <c r="AC1123" s="1436"/>
      <c r="AD1123" s="1436"/>
      <c r="AE1123" s="1436"/>
      <c r="AF1123" s="1436"/>
    </row>
    <row r="1124" spans="1:32">
      <c r="A1124" s="1436"/>
      <c r="B1124" s="1436"/>
      <c r="C1124" s="1436"/>
      <c r="D1124" s="1436"/>
      <c r="E1124" s="1436"/>
      <c r="F1124" s="1436"/>
      <c r="G1124" s="1436"/>
      <c r="H1124" s="1436"/>
      <c r="I1124" s="1436"/>
      <c r="J1124" s="1436"/>
      <c r="K1124" s="1436"/>
      <c r="L1124" s="1436"/>
      <c r="M1124" s="1436"/>
      <c r="N1124" s="1436"/>
      <c r="O1124" s="1436"/>
      <c r="P1124" s="1436"/>
      <c r="Q1124" s="1436"/>
      <c r="R1124" s="1436"/>
      <c r="S1124" s="1436"/>
      <c r="T1124" s="1436"/>
      <c r="U1124" s="1436"/>
      <c r="V1124" s="1436"/>
      <c r="W1124" s="1436"/>
      <c r="X1124" s="1436"/>
      <c r="Y1124" s="1436"/>
      <c r="Z1124" s="1436"/>
      <c r="AA1124" s="1436"/>
      <c r="AB1124" s="1436"/>
      <c r="AC1124" s="1436"/>
      <c r="AD1124" s="1436"/>
      <c r="AE1124" s="1436"/>
      <c r="AF1124" s="1436"/>
    </row>
    <row r="1125" spans="1:32">
      <c r="A1125" s="1436"/>
      <c r="B1125" s="1436"/>
      <c r="C1125" s="1436"/>
      <c r="D1125" s="1436"/>
      <c r="E1125" s="1436"/>
      <c r="F1125" s="1436"/>
      <c r="G1125" s="1436"/>
      <c r="H1125" s="1436"/>
      <c r="I1125" s="1436"/>
      <c r="J1125" s="1436"/>
      <c r="K1125" s="1436"/>
      <c r="L1125" s="1436"/>
      <c r="M1125" s="1436"/>
      <c r="N1125" s="1436"/>
      <c r="O1125" s="1436"/>
      <c r="P1125" s="1436"/>
      <c r="Q1125" s="1436"/>
      <c r="R1125" s="1436"/>
      <c r="S1125" s="1436"/>
      <c r="T1125" s="1436"/>
      <c r="U1125" s="1436"/>
      <c r="V1125" s="1436"/>
      <c r="W1125" s="1436"/>
      <c r="X1125" s="1436"/>
      <c r="Y1125" s="1436"/>
      <c r="Z1125" s="1436"/>
      <c r="AA1125" s="1436"/>
      <c r="AB1125" s="1436"/>
      <c r="AC1125" s="1436"/>
      <c r="AD1125" s="1436"/>
      <c r="AE1125" s="1436"/>
      <c r="AF1125" s="1436"/>
    </row>
    <row r="1126" spans="1:32">
      <c r="A1126" s="1436"/>
      <c r="B1126" s="1436"/>
      <c r="C1126" s="1436"/>
      <c r="D1126" s="1436"/>
      <c r="E1126" s="1436"/>
      <c r="F1126" s="1436"/>
      <c r="G1126" s="1436"/>
      <c r="H1126" s="1436"/>
      <c r="I1126" s="1436"/>
      <c r="J1126" s="1436"/>
      <c r="K1126" s="1436"/>
      <c r="L1126" s="1436"/>
      <c r="M1126" s="1436"/>
      <c r="N1126" s="1436"/>
      <c r="O1126" s="1436"/>
      <c r="P1126" s="1436"/>
      <c r="Q1126" s="1436"/>
      <c r="R1126" s="1436"/>
      <c r="S1126" s="1436"/>
      <c r="T1126" s="1436"/>
      <c r="U1126" s="1436"/>
      <c r="V1126" s="1436"/>
      <c r="W1126" s="1436"/>
      <c r="X1126" s="1436"/>
      <c r="Y1126" s="1436"/>
      <c r="Z1126" s="1436"/>
      <c r="AA1126" s="1436"/>
      <c r="AB1126" s="1436"/>
      <c r="AC1126" s="1436"/>
      <c r="AD1126" s="1436"/>
      <c r="AE1126" s="1436"/>
      <c r="AF1126" s="1436"/>
    </row>
    <row r="1127" spans="1:32">
      <c r="A1127" s="1436"/>
      <c r="B1127" s="1436"/>
      <c r="C1127" s="1436"/>
      <c r="D1127" s="1436"/>
      <c r="E1127" s="1436"/>
      <c r="F1127" s="1436"/>
      <c r="G1127" s="1436"/>
      <c r="H1127" s="1436"/>
      <c r="I1127" s="1436"/>
      <c r="J1127" s="1436"/>
      <c r="K1127" s="1436"/>
      <c r="L1127" s="1436"/>
      <c r="M1127" s="1436"/>
      <c r="N1127" s="1436"/>
      <c r="O1127" s="1436"/>
      <c r="P1127" s="1436"/>
      <c r="Q1127" s="1436"/>
      <c r="R1127" s="1436"/>
      <c r="S1127" s="1436"/>
      <c r="T1127" s="1436"/>
      <c r="U1127" s="1436"/>
      <c r="V1127" s="1436"/>
      <c r="W1127" s="1436"/>
      <c r="X1127" s="1436"/>
      <c r="Y1127" s="1436"/>
      <c r="Z1127" s="1436"/>
      <c r="AA1127" s="1436"/>
      <c r="AB1127" s="1436"/>
      <c r="AC1127" s="1436"/>
      <c r="AD1127" s="1436"/>
      <c r="AE1127" s="1436"/>
      <c r="AF1127" s="1436"/>
    </row>
    <row r="1128" spans="1:32">
      <c r="A1128" s="1436"/>
      <c r="B1128" s="1436"/>
      <c r="C1128" s="1436"/>
      <c r="D1128" s="1436"/>
      <c r="E1128" s="1436"/>
      <c r="F1128" s="1436"/>
      <c r="G1128" s="1436"/>
      <c r="H1128" s="1436"/>
      <c r="I1128" s="1436"/>
      <c r="J1128" s="1436"/>
      <c r="K1128" s="1436"/>
      <c r="L1128" s="1436"/>
      <c r="M1128" s="1436"/>
      <c r="N1128" s="1436"/>
      <c r="O1128" s="1436"/>
      <c r="P1128" s="1436"/>
      <c r="Q1128" s="1436"/>
      <c r="R1128" s="1436"/>
      <c r="S1128" s="1436"/>
      <c r="T1128" s="1436"/>
      <c r="U1128" s="1436"/>
      <c r="V1128" s="1436"/>
      <c r="W1128" s="1436"/>
      <c r="X1128" s="1436"/>
      <c r="Y1128" s="1436"/>
      <c r="Z1128" s="1436"/>
      <c r="AA1128" s="1436"/>
      <c r="AB1128" s="1436"/>
      <c r="AC1128" s="1436"/>
      <c r="AD1128" s="1436"/>
      <c r="AE1128" s="1436"/>
      <c r="AF1128" s="1436"/>
    </row>
    <row r="1129" spans="1:32">
      <c r="A1129" s="1436"/>
      <c r="B1129" s="1436"/>
      <c r="C1129" s="1436"/>
      <c r="D1129" s="1436"/>
      <c r="E1129" s="1436"/>
      <c r="F1129" s="1436"/>
      <c r="G1129" s="1436"/>
      <c r="H1129" s="1436"/>
      <c r="I1129" s="1436"/>
      <c r="J1129" s="1436"/>
      <c r="K1129" s="1436"/>
      <c r="L1129" s="1436"/>
      <c r="M1129" s="1436"/>
      <c r="N1129" s="1436"/>
      <c r="O1129" s="1436"/>
      <c r="P1129" s="1436"/>
      <c r="Q1129" s="1436"/>
      <c r="R1129" s="1436"/>
      <c r="S1129" s="1436"/>
      <c r="T1129" s="1436"/>
      <c r="U1129" s="1436"/>
      <c r="V1129" s="1436"/>
      <c r="W1129" s="1436"/>
      <c r="X1129" s="1436"/>
      <c r="Y1129" s="1436"/>
      <c r="Z1129" s="1436"/>
      <c r="AA1129" s="1436"/>
      <c r="AB1129" s="1436"/>
      <c r="AC1129" s="1436"/>
      <c r="AD1129" s="1436"/>
      <c r="AE1129" s="1436"/>
      <c r="AF1129" s="1436"/>
    </row>
    <row r="1130" spans="1:32">
      <c r="A1130" s="1436"/>
      <c r="B1130" s="1436"/>
      <c r="C1130" s="1436"/>
      <c r="D1130" s="1436"/>
      <c r="E1130" s="1436"/>
      <c r="F1130" s="1436"/>
      <c r="G1130" s="1436"/>
      <c r="H1130" s="1436"/>
      <c r="I1130" s="1436"/>
      <c r="J1130" s="1436"/>
      <c r="K1130" s="1436"/>
      <c r="L1130" s="1436"/>
      <c r="M1130" s="1436"/>
      <c r="N1130" s="1436"/>
      <c r="O1130" s="1436"/>
      <c r="P1130" s="1436"/>
      <c r="Q1130" s="1436"/>
      <c r="R1130" s="1436"/>
      <c r="S1130" s="1436"/>
      <c r="T1130" s="1436"/>
      <c r="U1130" s="1436"/>
      <c r="V1130" s="1436"/>
      <c r="W1130" s="1436"/>
      <c r="X1130" s="1436"/>
      <c r="Y1130" s="1436"/>
      <c r="Z1130" s="1436"/>
      <c r="AA1130" s="1436"/>
      <c r="AB1130" s="1436"/>
      <c r="AC1130" s="1436"/>
      <c r="AD1130" s="1436"/>
      <c r="AE1130" s="1436"/>
      <c r="AF1130" s="1436"/>
    </row>
    <row r="1131" spans="1:32">
      <c r="A1131" s="1436"/>
      <c r="B1131" s="1436"/>
      <c r="C1131" s="1436"/>
      <c r="D1131" s="1436"/>
      <c r="E1131" s="1436"/>
      <c r="F1131" s="1436"/>
      <c r="G1131" s="1436"/>
      <c r="H1131" s="1436"/>
      <c r="I1131" s="1436"/>
      <c r="J1131" s="1436"/>
      <c r="K1131" s="1436"/>
      <c r="L1131" s="1436"/>
      <c r="M1131" s="1436"/>
      <c r="N1131" s="1436"/>
      <c r="O1131" s="1436"/>
      <c r="P1131" s="1436"/>
      <c r="Q1131" s="1436"/>
      <c r="R1131" s="1436"/>
      <c r="S1131" s="1436"/>
      <c r="T1131" s="1436"/>
      <c r="U1131" s="1436"/>
      <c r="V1131" s="1436"/>
      <c r="W1131" s="1436"/>
      <c r="X1131" s="1436"/>
      <c r="Y1131" s="1436"/>
      <c r="Z1131" s="1436"/>
      <c r="AA1131" s="1436"/>
      <c r="AB1131" s="1436"/>
      <c r="AC1131" s="1436"/>
      <c r="AD1131" s="1436"/>
      <c r="AE1131" s="1436"/>
      <c r="AF1131" s="1436"/>
    </row>
    <row r="1132" spans="1:32">
      <c r="A1132" s="1436"/>
      <c r="B1132" s="1436"/>
      <c r="C1132" s="1436"/>
      <c r="D1132" s="1436"/>
      <c r="E1132" s="1436"/>
      <c r="F1132" s="1436"/>
      <c r="G1132" s="1436"/>
      <c r="H1132" s="1436"/>
      <c r="I1132" s="1436"/>
      <c r="J1132" s="1436"/>
      <c r="K1132" s="1436"/>
      <c r="L1132" s="1436"/>
      <c r="M1132" s="1436"/>
      <c r="N1132" s="1436"/>
      <c r="O1132" s="1436"/>
      <c r="P1132" s="1436"/>
      <c r="Q1132" s="1436"/>
      <c r="R1132" s="1436"/>
      <c r="S1132" s="1436"/>
      <c r="T1132" s="1436"/>
      <c r="U1132" s="1436"/>
      <c r="V1132" s="1436"/>
      <c r="W1132" s="1436"/>
      <c r="X1132" s="1436"/>
      <c r="Y1132" s="1436"/>
      <c r="Z1132" s="1436"/>
      <c r="AA1132" s="1436"/>
      <c r="AB1132" s="1436"/>
      <c r="AC1132" s="1436"/>
      <c r="AD1132" s="1436"/>
      <c r="AE1132" s="1436"/>
      <c r="AF1132" s="1436"/>
    </row>
    <row r="1133" spans="1:32">
      <c r="A1133" s="1436"/>
      <c r="B1133" s="1436"/>
      <c r="C1133" s="1436"/>
      <c r="D1133" s="1436"/>
      <c r="E1133" s="1436"/>
      <c r="F1133" s="1436"/>
      <c r="G1133" s="1436"/>
      <c r="H1133" s="1436"/>
      <c r="I1133" s="1436"/>
      <c r="J1133" s="1436"/>
      <c r="K1133" s="1436"/>
      <c r="L1133" s="1436"/>
      <c r="M1133" s="1436"/>
      <c r="N1133" s="1436"/>
      <c r="O1133" s="1436"/>
      <c r="P1133" s="1436"/>
      <c r="Q1133" s="1436"/>
      <c r="R1133" s="1436"/>
      <c r="S1133" s="1436"/>
      <c r="T1133" s="1436"/>
      <c r="U1133" s="1436"/>
      <c r="V1133" s="1436"/>
      <c r="W1133" s="1436"/>
      <c r="X1133" s="1436"/>
      <c r="Y1133" s="1436"/>
      <c r="Z1133" s="1436"/>
      <c r="AA1133" s="1436"/>
      <c r="AB1133" s="1436"/>
      <c r="AC1133" s="1436"/>
      <c r="AD1133" s="1436"/>
      <c r="AE1133" s="1436"/>
      <c r="AF1133" s="1436"/>
    </row>
    <row r="1134" spans="1:32">
      <c r="A1134" s="1436"/>
      <c r="B1134" s="1436"/>
      <c r="C1134" s="1436"/>
      <c r="D1134" s="1436"/>
      <c r="E1134" s="1436"/>
      <c r="F1134" s="1436"/>
      <c r="G1134" s="1436"/>
      <c r="H1134" s="1436"/>
      <c r="I1134" s="1436"/>
      <c r="J1134" s="1436"/>
      <c r="K1134" s="1436"/>
      <c r="L1134" s="1436"/>
      <c r="M1134" s="1436"/>
      <c r="N1134" s="1436"/>
      <c r="O1134" s="1436"/>
      <c r="P1134" s="1436"/>
      <c r="Q1134" s="1436"/>
      <c r="R1134" s="1436"/>
      <c r="S1134" s="1436"/>
      <c r="T1134" s="1436"/>
      <c r="U1134" s="1436"/>
      <c r="V1134" s="1436"/>
      <c r="W1134" s="1436"/>
      <c r="X1134" s="1436"/>
      <c r="Y1134" s="1436"/>
      <c r="Z1134" s="1436"/>
      <c r="AA1134" s="1436"/>
      <c r="AB1134" s="1436"/>
      <c r="AC1134" s="1436"/>
      <c r="AD1134" s="1436"/>
      <c r="AE1134" s="1436"/>
      <c r="AF1134" s="1436"/>
    </row>
    <row r="1135" spans="1:32">
      <c r="A1135" s="1436"/>
      <c r="B1135" s="1436"/>
      <c r="C1135" s="1436"/>
      <c r="D1135" s="1436"/>
      <c r="E1135" s="1436"/>
      <c r="F1135" s="1436"/>
      <c r="G1135" s="1436"/>
      <c r="H1135" s="1436"/>
      <c r="I1135" s="1436"/>
      <c r="J1135" s="1436"/>
      <c r="K1135" s="1436"/>
      <c r="L1135" s="1436"/>
      <c r="M1135" s="1436"/>
      <c r="N1135" s="1436"/>
      <c r="O1135" s="1436"/>
      <c r="P1135" s="1436"/>
      <c r="Q1135" s="1436"/>
      <c r="R1135" s="1436"/>
      <c r="S1135" s="1436"/>
      <c r="T1135" s="1436"/>
      <c r="U1135" s="1436"/>
      <c r="V1135" s="1436"/>
      <c r="W1135" s="1436"/>
      <c r="X1135" s="1436"/>
      <c r="Y1135" s="1436"/>
      <c r="Z1135" s="1436"/>
      <c r="AA1135" s="1436"/>
      <c r="AB1135" s="1436"/>
      <c r="AC1135" s="1436"/>
      <c r="AD1135" s="1436"/>
      <c r="AE1135" s="1436"/>
      <c r="AF1135" s="1436"/>
    </row>
    <row r="1136" spans="1:32">
      <c r="A1136" s="1436"/>
      <c r="B1136" s="1436"/>
      <c r="C1136" s="1436"/>
      <c r="D1136" s="1436"/>
      <c r="E1136" s="1436"/>
      <c r="F1136" s="1436"/>
      <c r="G1136" s="1436"/>
      <c r="H1136" s="1436"/>
      <c r="I1136" s="1436"/>
      <c r="J1136" s="1436"/>
      <c r="K1136" s="1436"/>
      <c r="L1136" s="1436"/>
      <c r="M1136" s="1436"/>
      <c r="N1136" s="1436"/>
      <c r="O1136" s="1436"/>
      <c r="P1136" s="1436"/>
      <c r="Q1136" s="1436"/>
      <c r="R1136" s="1436"/>
      <c r="S1136" s="1436"/>
      <c r="T1136" s="1436"/>
      <c r="U1136" s="1436"/>
      <c r="V1136" s="1436"/>
      <c r="W1136" s="1436"/>
      <c r="X1136" s="1436"/>
      <c r="Y1136" s="1436"/>
      <c r="Z1136" s="1436"/>
      <c r="AA1136" s="1436"/>
      <c r="AB1136" s="1436"/>
      <c r="AC1136" s="1436"/>
      <c r="AD1136" s="1436"/>
      <c r="AE1136" s="1436"/>
      <c r="AF1136" s="1436"/>
    </row>
    <row r="1137" spans="1:32">
      <c r="A1137" s="1436"/>
      <c r="B1137" s="1436"/>
      <c r="C1137" s="1436"/>
      <c r="D1137" s="1436"/>
      <c r="E1137" s="1436"/>
      <c r="F1137" s="1436"/>
      <c r="G1137" s="1436"/>
      <c r="H1137" s="1436"/>
      <c r="I1137" s="1436"/>
      <c r="J1137" s="1436"/>
      <c r="K1137" s="1436"/>
      <c r="L1137" s="1436"/>
      <c r="M1137" s="1436"/>
      <c r="N1137" s="1436"/>
      <c r="O1137" s="1436"/>
      <c r="P1137" s="1436"/>
      <c r="Q1137" s="1436"/>
      <c r="R1137" s="1436"/>
      <c r="S1137" s="1436"/>
      <c r="T1137" s="1436"/>
      <c r="U1137" s="1436"/>
      <c r="V1137" s="1436"/>
      <c r="W1137" s="1436"/>
      <c r="X1137" s="1436"/>
      <c r="Y1137" s="1436"/>
      <c r="Z1137" s="1436"/>
      <c r="AA1137" s="1436"/>
      <c r="AB1137" s="1436"/>
      <c r="AC1137" s="1436"/>
      <c r="AD1137" s="1436"/>
      <c r="AE1137" s="1436"/>
      <c r="AF1137" s="1436"/>
    </row>
    <row r="1138" spans="1:32">
      <c r="A1138" s="1436"/>
      <c r="B1138" s="1436"/>
      <c r="C1138" s="1436"/>
      <c r="D1138" s="1436"/>
      <c r="E1138" s="1436"/>
      <c r="F1138" s="1436"/>
      <c r="G1138" s="1436"/>
      <c r="H1138" s="1436"/>
      <c r="I1138" s="1436"/>
      <c r="J1138" s="1436"/>
      <c r="K1138" s="1436"/>
      <c r="L1138" s="1436"/>
      <c r="M1138" s="1436"/>
      <c r="N1138" s="1436"/>
      <c r="O1138" s="1436"/>
      <c r="P1138" s="1436"/>
      <c r="Q1138" s="1436"/>
      <c r="R1138" s="1436"/>
      <c r="S1138" s="1436"/>
      <c r="T1138" s="1436"/>
      <c r="U1138" s="1436"/>
      <c r="V1138" s="1436"/>
      <c r="W1138" s="1436"/>
      <c r="X1138" s="1436"/>
      <c r="Y1138" s="1436"/>
      <c r="Z1138" s="1436"/>
      <c r="AA1138" s="1436"/>
      <c r="AB1138" s="1436"/>
      <c r="AC1138" s="1436"/>
      <c r="AD1138" s="1436"/>
      <c r="AE1138" s="1436"/>
      <c r="AF1138" s="1436"/>
    </row>
    <row r="1139" spans="1:32">
      <c r="A1139" s="1436"/>
      <c r="B1139" s="1436"/>
      <c r="C1139" s="1436"/>
      <c r="D1139" s="1436"/>
      <c r="E1139" s="1436"/>
      <c r="F1139" s="1436"/>
      <c r="G1139" s="1436"/>
      <c r="H1139" s="1436"/>
      <c r="I1139" s="1436"/>
      <c r="J1139" s="1436"/>
      <c r="K1139" s="1436"/>
      <c r="L1139" s="1436"/>
      <c r="M1139" s="1436"/>
      <c r="N1139" s="1436"/>
      <c r="O1139" s="1436"/>
      <c r="P1139" s="1436"/>
      <c r="Q1139" s="1436"/>
      <c r="R1139" s="1436"/>
      <c r="S1139" s="1436"/>
      <c r="T1139" s="1436"/>
      <c r="U1139" s="1436"/>
      <c r="V1139" s="1436"/>
      <c r="W1139" s="1436"/>
      <c r="X1139" s="1436"/>
      <c r="Y1139" s="1436"/>
      <c r="Z1139" s="1436"/>
      <c r="AA1139" s="1436"/>
      <c r="AB1139" s="1436"/>
      <c r="AC1139" s="1436"/>
      <c r="AD1139" s="1436"/>
      <c r="AE1139" s="1436"/>
      <c r="AF1139" s="1436"/>
    </row>
    <row r="1140" spans="1:32">
      <c r="A1140" s="1436"/>
      <c r="B1140" s="1436"/>
      <c r="C1140" s="1436"/>
      <c r="D1140" s="1436"/>
      <c r="E1140" s="1436"/>
      <c r="F1140" s="1436"/>
      <c r="G1140" s="1436"/>
      <c r="H1140" s="1436"/>
      <c r="I1140" s="1436"/>
      <c r="J1140" s="1436"/>
      <c r="K1140" s="1436"/>
      <c r="L1140" s="1436"/>
      <c r="M1140" s="1436"/>
      <c r="N1140" s="1436"/>
      <c r="O1140" s="1436"/>
      <c r="P1140" s="1436"/>
      <c r="Q1140" s="1436"/>
      <c r="R1140" s="1436"/>
      <c r="S1140" s="1436"/>
      <c r="T1140" s="1436"/>
      <c r="U1140" s="1436"/>
      <c r="V1140" s="1436"/>
      <c r="W1140" s="1436"/>
      <c r="X1140" s="1436"/>
      <c r="Y1140" s="1436"/>
      <c r="Z1140" s="1436"/>
      <c r="AA1140" s="1436"/>
      <c r="AB1140" s="1436"/>
      <c r="AC1140" s="1436"/>
      <c r="AD1140" s="1436"/>
      <c r="AE1140" s="1436"/>
      <c r="AF1140" s="1436"/>
    </row>
    <row r="1141" spans="1:32">
      <c r="A1141" s="1436"/>
      <c r="B1141" s="1436"/>
      <c r="C1141" s="1436"/>
      <c r="D1141" s="1436"/>
      <c r="E1141" s="1436"/>
      <c r="F1141" s="1436"/>
      <c r="G1141" s="1436"/>
      <c r="H1141" s="1436"/>
      <c r="I1141" s="1436"/>
      <c r="J1141" s="1436"/>
      <c r="K1141" s="1436"/>
      <c r="L1141" s="1436"/>
      <c r="M1141" s="1436"/>
      <c r="N1141" s="1436"/>
      <c r="O1141" s="1436"/>
      <c r="P1141" s="1436"/>
      <c r="Q1141" s="1436"/>
      <c r="R1141" s="1436"/>
      <c r="S1141" s="1436"/>
      <c r="T1141" s="1436"/>
      <c r="U1141" s="1436"/>
      <c r="V1141" s="1436"/>
      <c r="W1141" s="1436"/>
      <c r="X1141" s="1436"/>
      <c r="Y1141" s="1436"/>
      <c r="Z1141" s="1436"/>
      <c r="AA1141" s="1436"/>
      <c r="AB1141" s="1436"/>
      <c r="AC1141" s="1436"/>
      <c r="AD1141" s="1436"/>
      <c r="AE1141" s="1436"/>
      <c r="AF1141" s="1436"/>
    </row>
    <row r="1142" spans="1:32">
      <c r="A1142" s="1436"/>
      <c r="B1142" s="1436"/>
      <c r="C1142" s="1436"/>
      <c r="D1142" s="1436"/>
      <c r="E1142" s="1436"/>
      <c r="F1142" s="1436"/>
      <c r="G1142" s="1436"/>
      <c r="H1142" s="1436"/>
      <c r="I1142" s="1436"/>
      <c r="J1142" s="1436"/>
      <c r="K1142" s="1436"/>
      <c r="L1142" s="1436"/>
      <c r="M1142" s="1436"/>
      <c r="N1142" s="1436"/>
      <c r="O1142" s="1436"/>
      <c r="P1142" s="1436"/>
      <c r="Q1142" s="1436"/>
      <c r="R1142" s="1436"/>
      <c r="S1142" s="1436"/>
      <c r="T1142" s="1436"/>
      <c r="U1142" s="1436"/>
      <c r="V1142" s="1436"/>
      <c r="W1142" s="1436"/>
      <c r="X1142" s="1436"/>
      <c r="Y1142" s="1436"/>
      <c r="Z1142" s="1436"/>
      <c r="AA1142" s="1436"/>
      <c r="AB1142" s="1436"/>
      <c r="AC1142" s="1436"/>
      <c r="AD1142" s="1436"/>
      <c r="AE1142" s="1436"/>
      <c r="AF1142" s="1436"/>
    </row>
    <row r="1143" spans="1:32">
      <c r="A1143" s="1436"/>
      <c r="B1143" s="1436"/>
      <c r="C1143" s="1436"/>
      <c r="D1143" s="1436"/>
      <c r="E1143" s="1436"/>
      <c r="F1143" s="1436"/>
      <c r="G1143" s="1436"/>
      <c r="H1143" s="1436"/>
      <c r="I1143" s="1436"/>
      <c r="J1143" s="1436"/>
      <c r="K1143" s="1436"/>
      <c r="L1143" s="1436"/>
      <c r="M1143" s="1436"/>
      <c r="N1143" s="1436"/>
      <c r="O1143" s="1436"/>
      <c r="P1143" s="1436"/>
      <c r="Q1143" s="1436"/>
      <c r="R1143" s="1436"/>
      <c r="S1143" s="1436"/>
      <c r="T1143" s="1436"/>
      <c r="U1143" s="1436"/>
      <c r="V1143" s="1436"/>
      <c r="W1143" s="1436"/>
      <c r="X1143" s="1436"/>
      <c r="Y1143" s="1436"/>
      <c r="Z1143" s="1436"/>
      <c r="AA1143" s="1436"/>
      <c r="AB1143" s="1436"/>
      <c r="AC1143" s="1436"/>
      <c r="AD1143" s="1436"/>
      <c r="AE1143" s="1436"/>
      <c r="AF1143" s="1436"/>
    </row>
    <row r="1144" spans="1:32">
      <c r="A1144" s="1436"/>
      <c r="B1144" s="1436"/>
      <c r="C1144" s="1436"/>
      <c r="D1144" s="1436"/>
      <c r="E1144" s="1436"/>
      <c r="F1144" s="1436"/>
      <c r="G1144" s="1436"/>
      <c r="H1144" s="1436"/>
      <c r="I1144" s="1436"/>
      <c r="J1144" s="1436"/>
      <c r="K1144" s="1436"/>
      <c r="L1144" s="1436"/>
      <c r="M1144" s="1436"/>
      <c r="N1144" s="1436"/>
      <c r="O1144" s="1436"/>
      <c r="P1144" s="1436"/>
      <c r="Q1144" s="1436"/>
      <c r="R1144" s="1436"/>
      <c r="S1144" s="1436"/>
      <c r="T1144" s="1436"/>
      <c r="U1144" s="1436"/>
      <c r="V1144" s="1436"/>
      <c r="W1144" s="1436"/>
      <c r="X1144" s="1436"/>
      <c r="Y1144" s="1436"/>
      <c r="Z1144" s="1436"/>
      <c r="AA1144" s="1436"/>
      <c r="AB1144" s="1436"/>
      <c r="AC1144" s="1436"/>
      <c r="AD1144" s="1436"/>
      <c r="AE1144" s="1436"/>
      <c r="AF1144" s="1436"/>
    </row>
    <row r="1145" spans="1:32">
      <c r="A1145" s="1436"/>
      <c r="B1145" s="1436"/>
      <c r="C1145" s="1436"/>
      <c r="D1145" s="1436"/>
      <c r="E1145" s="1436"/>
      <c r="F1145" s="1436"/>
      <c r="G1145" s="1436"/>
      <c r="H1145" s="1436"/>
      <c r="I1145" s="1436"/>
      <c r="J1145" s="1436"/>
      <c r="K1145" s="1436"/>
      <c r="L1145" s="1436"/>
      <c r="M1145" s="1436"/>
      <c r="N1145" s="1436"/>
      <c r="O1145" s="1436"/>
      <c r="P1145" s="1436"/>
      <c r="Q1145" s="1436"/>
      <c r="R1145" s="1436"/>
      <c r="S1145" s="1436"/>
      <c r="T1145" s="1436"/>
      <c r="U1145" s="1436"/>
      <c r="V1145" s="1436"/>
      <c r="W1145" s="1436"/>
      <c r="X1145" s="1436"/>
      <c r="Y1145" s="1436"/>
      <c r="Z1145" s="1436"/>
      <c r="AA1145" s="1436"/>
      <c r="AB1145" s="1436"/>
      <c r="AC1145" s="1436"/>
      <c r="AD1145" s="1436"/>
      <c r="AE1145" s="1436"/>
      <c r="AF1145" s="1436"/>
    </row>
    <row r="1146" spans="1:32">
      <c r="A1146" s="1436"/>
      <c r="B1146" s="1436"/>
      <c r="C1146" s="1436"/>
      <c r="D1146" s="1436"/>
      <c r="E1146" s="1436"/>
      <c r="F1146" s="1436"/>
      <c r="G1146" s="1436"/>
      <c r="H1146" s="1436"/>
      <c r="I1146" s="1436"/>
      <c r="J1146" s="1436"/>
      <c r="K1146" s="1436"/>
      <c r="L1146" s="1436"/>
      <c r="M1146" s="1436"/>
      <c r="N1146" s="1436"/>
      <c r="O1146" s="1436"/>
      <c r="P1146" s="1436"/>
      <c r="Q1146" s="1436"/>
      <c r="R1146" s="1436"/>
      <c r="S1146" s="1436"/>
      <c r="T1146" s="1436"/>
      <c r="U1146" s="1436"/>
      <c r="V1146" s="1436"/>
      <c r="W1146" s="1436"/>
      <c r="X1146" s="1436"/>
      <c r="Y1146" s="1436"/>
      <c r="Z1146" s="1436"/>
      <c r="AA1146" s="1436"/>
      <c r="AB1146" s="1436"/>
      <c r="AC1146" s="1436"/>
      <c r="AD1146" s="1436"/>
      <c r="AE1146" s="1436"/>
      <c r="AF1146" s="1436"/>
    </row>
    <row r="1147" spans="1:32">
      <c r="A1147" s="1436"/>
      <c r="B1147" s="1436"/>
      <c r="C1147" s="1436"/>
      <c r="D1147" s="1436"/>
      <c r="E1147" s="1436"/>
      <c r="F1147" s="1436"/>
      <c r="G1147" s="1436"/>
      <c r="H1147" s="1436"/>
      <c r="I1147" s="1436"/>
      <c r="J1147" s="1436"/>
      <c r="K1147" s="1436"/>
      <c r="L1147" s="1436"/>
      <c r="M1147" s="1436"/>
      <c r="N1147" s="1436"/>
      <c r="O1147" s="1436"/>
      <c r="P1147" s="1436"/>
      <c r="Q1147" s="1436"/>
      <c r="R1147" s="1436"/>
      <c r="S1147" s="1436"/>
      <c r="T1147" s="1436"/>
      <c r="U1147" s="1436"/>
      <c r="V1147" s="1436"/>
      <c r="W1147" s="1436"/>
      <c r="X1147" s="1436"/>
      <c r="Y1147" s="1436"/>
      <c r="Z1147" s="1436"/>
      <c r="AA1147" s="1436"/>
      <c r="AB1147" s="1436"/>
      <c r="AC1147" s="1436"/>
      <c r="AD1147" s="1436"/>
      <c r="AE1147" s="1436"/>
      <c r="AF1147" s="1436"/>
    </row>
    <row r="1148" spans="1:32">
      <c r="A1148" s="1436"/>
      <c r="B1148" s="1436"/>
      <c r="C1148" s="1436"/>
      <c r="D1148" s="1436"/>
      <c r="E1148" s="1436"/>
      <c r="F1148" s="1436"/>
      <c r="G1148" s="1436"/>
      <c r="H1148" s="1436"/>
      <c r="I1148" s="1436"/>
      <c r="J1148" s="1436"/>
      <c r="K1148" s="1436"/>
      <c r="L1148" s="1436"/>
      <c r="M1148" s="1436"/>
      <c r="N1148" s="1436"/>
      <c r="O1148" s="1436"/>
      <c r="P1148" s="1436"/>
      <c r="Q1148" s="1436"/>
      <c r="R1148" s="1436"/>
      <c r="S1148" s="1436"/>
      <c r="T1148" s="1436"/>
      <c r="U1148" s="1436"/>
      <c r="V1148" s="1436"/>
      <c r="W1148" s="1436"/>
      <c r="X1148" s="1436"/>
      <c r="Y1148" s="1436"/>
      <c r="Z1148" s="1436"/>
      <c r="AA1148" s="1436"/>
      <c r="AB1148" s="1436"/>
      <c r="AC1148" s="1436"/>
      <c r="AD1148" s="1436"/>
      <c r="AE1148" s="1436"/>
      <c r="AF1148" s="1436"/>
    </row>
    <row r="1149" spans="1:32">
      <c r="A1149" s="1436"/>
      <c r="B1149" s="1436"/>
      <c r="C1149" s="1436"/>
      <c r="D1149" s="1436"/>
      <c r="E1149" s="1436"/>
      <c r="F1149" s="1436"/>
      <c r="G1149" s="1436"/>
      <c r="H1149" s="1436"/>
      <c r="I1149" s="1436"/>
      <c r="J1149" s="1436"/>
      <c r="K1149" s="1436"/>
      <c r="L1149" s="1436"/>
      <c r="M1149" s="1436"/>
      <c r="N1149" s="1436"/>
      <c r="O1149" s="1436"/>
      <c r="P1149" s="1436"/>
      <c r="Q1149" s="1436"/>
      <c r="R1149" s="1436"/>
      <c r="S1149" s="1436"/>
      <c r="T1149" s="1436"/>
      <c r="U1149" s="1436"/>
      <c r="V1149" s="1436"/>
      <c r="W1149" s="1436"/>
      <c r="X1149" s="1436"/>
      <c r="Y1149" s="1436"/>
      <c r="Z1149" s="1436"/>
      <c r="AA1149" s="1436"/>
      <c r="AB1149" s="1436"/>
      <c r="AC1149" s="1436"/>
      <c r="AD1149" s="1436"/>
      <c r="AE1149" s="1436"/>
      <c r="AF1149" s="1436"/>
    </row>
    <row r="1150" spans="1:32">
      <c r="A1150" s="1436"/>
      <c r="B1150" s="1436"/>
      <c r="C1150" s="1436"/>
      <c r="D1150" s="1436"/>
      <c r="E1150" s="1436"/>
      <c r="F1150" s="1436"/>
      <c r="G1150" s="1436"/>
      <c r="H1150" s="1436"/>
      <c r="I1150" s="1436"/>
      <c r="J1150" s="1436"/>
      <c r="K1150" s="1436"/>
      <c r="L1150" s="1436"/>
      <c r="M1150" s="1436"/>
      <c r="N1150" s="1436"/>
      <c r="O1150" s="1436"/>
      <c r="P1150" s="1436"/>
      <c r="Q1150" s="1436"/>
      <c r="R1150" s="1436"/>
      <c r="S1150" s="1436"/>
      <c r="T1150" s="1436"/>
      <c r="U1150" s="1436"/>
      <c r="V1150" s="1436"/>
      <c r="W1150" s="1436"/>
      <c r="X1150" s="1436"/>
      <c r="Y1150" s="1436"/>
      <c r="Z1150" s="1436"/>
      <c r="AA1150" s="1436"/>
      <c r="AB1150" s="1436"/>
      <c r="AC1150" s="1436"/>
      <c r="AD1150" s="1436"/>
      <c r="AE1150" s="1436"/>
      <c r="AF1150" s="1436"/>
    </row>
    <row r="1151" spans="1:32">
      <c r="A1151" s="1436"/>
      <c r="B1151" s="1436"/>
      <c r="C1151" s="1436"/>
      <c r="D1151" s="1436"/>
      <c r="E1151" s="1436"/>
      <c r="F1151" s="1436"/>
      <c r="G1151" s="1436"/>
      <c r="H1151" s="1436"/>
      <c r="I1151" s="1436"/>
      <c r="J1151" s="1436"/>
      <c r="K1151" s="1436"/>
      <c r="L1151" s="1436"/>
      <c r="M1151" s="1436"/>
      <c r="N1151" s="1436"/>
      <c r="O1151" s="1436"/>
      <c r="P1151" s="1436"/>
      <c r="Q1151" s="1436"/>
      <c r="R1151" s="1436"/>
      <c r="S1151" s="1436"/>
      <c r="T1151" s="1436"/>
      <c r="U1151" s="1436"/>
      <c r="V1151" s="1436"/>
      <c r="W1151" s="1436"/>
      <c r="X1151" s="1436"/>
      <c r="Y1151" s="1436"/>
      <c r="Z1151" s="1436"/>
      <c r="AA1151" s="1436"/>
      <c r="AB1151" s="1436"/>
      <c r="AC1151" s="1436"/>
      <c r="AD1151" s="1436"/>
      <c r="AE1151" s="1436"/>
      <c r="AF1151" s="1436"/>
    </row>
    <row r="1152" spans="1:32">
      <c r="A1152" s="1436"/>
      <c r="B1152" s="1436"/>
      <c r="C1152" s="1436"/>
      <c r="D1152" s="1436"/>
      <c r="E1152" s="1436"/>
      <c r="F1152" s="1436"/>
      <c r="G1152" s="1436"/>
      <c r="H1152" s="1436"/>
      <c r="I1152" s="1436"/>
      <c r="J1152" s="1436"/>
      <c r="K1152" s="1436"/>
      <c r="L1152" s="1436"/>
      <c r="M1152" s="1436"/>
      <c r="N1152" s="1436"/>
      <c r="O1152" s="1436"/>
      <c r="P1152" s="1436"/>
      <c r="Q1152" s="1436"/>
      <c r="R1152" s="1436"/>
      <c r="S1152" s="1436"/>
      <c r="T1152" s="1436"/>
      <c r="U1152" s="1436"/>
      <c r="V1152" s="1436"/>
      <c r="W1152" s="1436"/>
      <c r="X1152" s="1436"/>
      <c r="Y1152" s="1436"/>
      <c r="Z1152" s="1436"/>
      <c r="AA1152" s="1436"/>
      <c r="AB1152" s="1436"/>
      <c r="AC1152" s="1436"/>
      <c r="AD1152" s="1436"/>
      <c r="AE1152" s="1436"/>
      <c r="AF1152" s="1436"/>
    </row>
    <row r="1153" spans="1:32">
      <c r="A1153" s="1436"/>
      <c r="B1153" s="1436"/>
      <c r="C1153" s="1436"/>
      <c r="D1153" s="1436"/>
      <c r="E1153" s="1436"/>
      <c r="F1153" s="1436"/>
      <c r="G1153" s="1436"/>
      <c r="H1153" s="1436"/>
      <c r="I1153" s="1436"/>
      <c r="J1153" s="1436"/>
      <c r="K1153" s="1436"/>
      <c r="L1153" s="1436"/>
      <c r="M1153" s="1436"/>
      <c r="N1153" s="1436"/>
      <c r="O1153" s="1436"/>
      <c r="P1153" s="1436"/>
      <c r="Q1153" s="1436"/>
      <c r="R1153" s="1436"/>
      <c r="S1153" s="1436"/>
      <c r="T1153" s="1436"/>
      <c r="U1153" s="1436"/>
      <c r="V1153" s="1436"/>
      <c r="W1153" s="1436"/>
      <c r="X1153" s="1436"/>
      <c r="Y1153" s="1436"/>
      <c r="Z1153" s="1436"/>
      <c r="AA1153" s="1436"/>
      <c r="AB1153" s="1436"/>
      <c r="AC1153" s="1436"/>
      <c r="AD1153" s="1436"/>
      <c r="AE1153" s="1436"/>
      <c r="AF1153" s="1436"/>
    </row>
    <row r="1154" spans="1:32">
      <c r="A1154" s="1436"/>
      <c r="B1154" s="1436"/>
      <c r="C1154" s="1436"/>
      <c r="D1154" s="1436"/>
      <c r="E1154" s="1436"/>
      <c r="F1154" s="1436"/>
      <c r="G1154" s="1436"/>
      <c r="H1154" s="1436"/>
      <c r="I1154" s="1436"/>
      <c r="J1154" s="1436"/>
      <c r="K1154" s="1436"/>
      <c r="L1154" s="1436"/>
      <c r="M1154" s="1436"/>
      <c r="N1154" s="1436"/>
      <c r="O1154" s="1436"/>
      <c r="P1154" s="1436"/>
      <c r="Q1154" s="1436"/>
      <c r="R1154" s="1436"/>
      <c r="S1154" s="1436"/>
      <c r="T1154" s="1436"/>
      <c r="U1154" s="1436"/>
      <c r="V1154" s="1436"/>
      <c r="W1154" s="1436"/>
      <c r="X1154" s="1436"/>
      <c r="Y1154" s="1436"/>
      <c r="Z1154" s="1436"/>
      <c r="AA1154" s="1436"/>
      <c r="AB1154" s="1436"/>
      <c r="AC1154" s="1436"/>
      <c r="AD1154" s="1436"/>
      <c r="AE1154" s="1436"/>
      <c r="AF1154" s="1436"/>
    </row>
    <row r="1155" spans="1:32">
      <c r="A1155" s="1436"/>
      <c r="B1155" s="1436"/>
      <c r="C1155" s="1436"/>
      <c r="D1155" s="1436"/>
      <c r="E1155" s="1436"/>
      <c r="F1155" s="1436"/>
      <c r="G1155" s="1436"/>
      <c r="H1155" s="1436"/>
      <c r="I1155" s="1436"/>
      <c r="J1155" s="1436"/>
      <c r="K1155" s="1436"/>
      <c r="L1155" s="1436"/>
      <c r="M1155" s="1436"/>
      <c r="N1155" s="1436"/>
      <c r="O1155" s="1436"/>
      <c r="P1155" s="1436"/>
      <c r="Q1155" s="1436"/>
      <c r="R1155" s="1436"/>
      <c r="S1155" s="1436"/>
      <c r="T1155" s="1436"/>
      <c r="U1155" s="1436"/>
      <c r="V1155" s="1436"/>
      <c r="W1155" s="1436"/>
      <c r="X1155" s="1436"/>
      <c r="Y1155" s="1436"/>
      <c r="Z1155" s="1436"/>
      <c r="AA1155" s="1436"/>
      <c r="AB1155" s="1436"/>
      <c r="AC1155" s="1436"/>
      <c r="AD1155" s="1436"/>
      <c r="AE1155" s="1436"/>
      <c r="AF1155" s="1436"/>
    </row>
    <row r="1156" spans="1:32">
      <c r="A1156" s="1436"/>
      <c r="B1156" s="1436"/>
      <c r="C1156" s="1436"/>
      <c r="D1156" s="1436"/>
      <c r="E1156" s="1436"/>
      <c r="F1156" s="1436"/>
      <c r="G1156" s="1436"/>
      <c r="H1156" s="1436"/>
      <c r="I1156" s="1436"/>
      <c r="J1156" s="1436"/>
      <c r="K1156" s="1436"/>
      <c r="L1156" s="1436"/>
      <c r="M1156" s="1436"/>
      <c r="N1156" s="1436"/>
      <c r="O1156" s="1436"/>
      <c r="P1156" s="1436"/>
      <c r="Q1156" s="1436"/>
      <c r="R1156" s="1436"/>
      <c r="S1156" s="1436"/>
      <c r="T1156" s="1436"/>
      <c r="U1156" s="1436"/>
      <c r="V1156" s="1436"/>
      <c r="W1156" s="1436"/>
      <c r="X1156" s="1436"/>
      <c r="Y1156" s="1436"/>
      <c r="Z1156" s="1436"/>
      <c r="AA1156" s="1436"/>
      <c r="AB1156" s="1436"/>
      <c r="AC1156" s="1436"/>
      <c r="AD1156" s="1436"/>
      <c r="AE1156" s="1436"/>
      <c r="AF1156" s="1436"/>
    </row>
    <row r="1157" spans="1:32">
      <c r="A1157" s="1436"/>
      <c r="B1157" s="1436"/>
      <c r="C1157" s="1436"/>
      <c r="D1157" s="1436"/>
      <c r="E1157" s="1436"/>
      <c r="F1157" s="1436"/>
      <c r="G1157" s="1436"/>
      <c r="H1157" s="1436"/>
      <c r="I1157" s="1436"/>
      <c r="J1157" s="1436"/>
      <c r="K1157" s="1436"/>
      <c r="L1157" s="1436"/>
      <c r="M1157" s="1436"/>
      <c r="N1157" s="1436"/>
      <c r="O1157" s="1436"/>
      <c r="P1157" s="1436"/>
      <c r="Q1157" s="1436"/>
      <c r="R1157" s="1436"/>
      <c r="S1157" s="1436"/>
      <c r="T1157" s="1436"/>
      <c r="U1157" s="1436"/>
      <c r="V1157" s="1436"/>
      <c r="W1157" s="1436"/>
      <c r="X1157" s="1436"/>
      <c r="Y1157" s="1436"/>
      <c r="Z1157" s="1436"/>
      <c r="AA1157" s="1436"/>
      <c r="AB1157" s="1436"/>
      <c r="AC1157" s="1436"/>
      <c r="AD1157" s="1436"/>
      <c r="AE1157" s="1436"/>
      <c r="AF1157" s="1436"/>
    </row>
    <row r="1158" spans="1:32">
      <c r="A1158" s="1436"/>
      <c r="B1158" s="1436"/>
      <c r="C1158" s="1436"/>
      <c r="D1158" s="1436"/>
      <c r="E1158" s="1436"/>
      <c r="F1158" s="1436"/>
      <c r="G1158" s="1436"/>
      <c r="H1158" s="1436"/>
      <c r="I1158" s="1436"/>
      <c r="J1158" s="1436"/>
      <c r="K1158" s="1436"/>
      <c r="L1158" s="1436"/>
      <c r="M1158" s="1436"/>
      <c r="N1158" s="1436"/>
      <c r="O1158" s="1436"/>
      <c r="P1158" s="1436"/>
      <c r="Q1158" s="1436"/>
      <c r="R1158" s="1436"/>
      <c r="S1158" s="1436"/>
      <c r="T1158" s="1436"/>
      <c r="U1158" s="1436"/>
      <c r="V1158" s="1436"/>
      <c r="W1158" s="1436"/>
      <c r="X1158" s="1436"/>
      <c r="Y1158" s="1436"/>
      <c r="Z1158" s="1436"/>
      <c r="AA1158" s="1436"/>
      <c r="AB1158" s="1436"/>
      <c r="AC1158" s="1436"/>
      <c r="AD1158" s="1436"/>
      <c r="AE1158" s="1436"/>
      <c r="AF1158" s="1436"/>
    </row>
    <row r="1159" spans="1:32">
      <c r="A1159" s="1436"/>
      <c r="B1159" s="1436"/>
      <c r="C1159" s="1436"/>
      <c r="D1159" s="1436"/>
      <c r="E1159" s="1436"/>
      <c r="F1159" s="1436"/>
      <c r="G1159" s="1436"/>
      <c r="H1159" s="1436"/>
      <c r="I1159" s="1436"/>
      <c r="J1159" s="1436"/>
      <c r="K1159" s="1436"/>
      <c r="L1159" s="1436"/>
      <c r="M1159" s="1436"/>
      <c r="N1159" s="1436"/>
      <c r="O1159" s="1436"/>
      <c r="P1159" s="1436"/>
      <c r="Q1159" s="1436"/>
      <c r="R1159" s="1436"/>
      <c r="S1159" s="1436"/>
      <c r="T1159" s="1436"/>
      <c r="U1159" s="1436"/>
      <c r="V1159" s="1436"/>
      <c r="W1159" s="1436"/>
      <c r="X1159" s="1436"/>
      <c r="Y1159" s="1436"/>
      <c r="Z1159" s="1436"/>
      <c r="AA1159" s="1436"/>
      <c r="AB1159" s="1436"/>
      <c r="AC1159" s="1436"/>
      <c r="AD1159" s="1436"/>
      <c r="AE1159" s="1436"/>
      <c r="AF1159" s="1436"/>
    </row>
    <row r="1160" spans="1:32">
      <c r="A1160" s="1436"/>
      <c r="B1160" s="1436"/>
      <c r="C1160" s="1436"/>
      <c r="D1160" s="1436"/>
      <c r="E1160" s="1436"/>
      <c r="F1160" s="1436"/>
      <c r="G1160" s="1436"/>
      <c r="H1160" s="1436"/>
      <c r="I1160" s="1436"/>
      <c r="J1160" s="1436"/>
      <c r="K1160" s="1436"/>
      <c r="L1160" s="1436"/>
      <c r="M1160" s="1436"/>
      <c r="N1160" s="1436"/>
      <c r="O1160" s="1436"/>
      <c r="P1160" s="1436"/>
      <c r="Q1160" s="1436"/>
      <c r="R1160" s="1436"/>
      <c r="S1160" s="1436"/>
      <c r="T1160" s="1436"/>
      <c r="U1160" s="1436"/>
      <c r="V1160" s="1436"/>
      <c r="W1160" s="1436"/>
      <c r="X1160" s="1436"/>
      <c r="Y1160" s="1436"/>
      <c r="Z1160" s="1436"/>
      <c r="AA1160" s="1436"/>
      <c r="AB1160" s="1436"/>
      <c r="AC1160" s="1436"/>
      <c r="AD1160" s="1436"/>
      <c r="AE1160" s="1436"/>
      <c r="AF1160" s="1436"/>
    </row>
    <row r="1161" spans="1:32">
      <c r="A1161" s="1436"/>
      <c r="B1161" s="1436"/>
      <c r="C1161" s="1436"/>
      <c r="D1161" s="1436"/>
      <c r="E1161" s="1436"/>
      <c r="F1161" s="1436"/>
      <c r="G1161" s="1436"/>
      <c r="H1161" s="1436"/>
      <c r="I1161" s="1436"/>
      <c r="J1161" s="1436"/>
      <c r="K1161" s="1436"/>
      <c r="L1161" s="1436"/>
      <c r="M1161" s="1436"/>
      <c r="N1161" s="1436"/>
      <c r="O1161" s="1436"/>
      <c r="P1161" s="1436"/>
      <c r="Q1161" s="1436"/>
      <c r="R1161" s="1436"/>
      <c r="S1161" s="1436"/>
      <c r="T1161" s="1436"/>
      <c r="U1161" s="1436"/>
      <c r="V1161" s="1436"/>
      <c r="W1161" s="1436"/>
      <c r="X1161" s="1436"/>
      <c r="Y1161" s="1436"/>
      <c r="Z1161" s="1436"/>
      <c r="AA1161" s="1436"/>
      <c r="AB1161" s="1436"/>
      <c r="AC1161" s="1436"/>
      <c r="AD1161" s="1436"/>
      <c r="AE1161" s="1436"/>
      <c r="AF1161" s="1436"/>
    </row>
    <row r="1162" spans="1:32">
      <c r="A1162" s="1436"/>
      <c r="B1162" s="1436"/>
      <c r="C1162" s="1436"/>
      <c r="D1162" s="1436"/>
      <c r="E1162" s="1436"/>
      <c r="F1162" s="1436"/>
      <c r="G1162" s="1436"/>
      <c r="H1162" s="1436"/>
      <c r="I1162" s="1436"/>
      <c r="J1162" s="1436"/>
      <c r="K1162" s="1436"/>
      <c r="L1162" s="1436"/>
      <c r="M1162" s="1436"/>
      <c r="N1162" s="1436"/>
      <c r="O1162" s="1436"/>
      <c r="P1162" s="1436"/>
      <c r="Q1162" s="1436"/>
      <c r="R1162" s="1436"/>
      <c r="S1162" s="1436"/>
      <c r="T1162" s="1436"/>
      <c r="U1162" s="1436"/>
      <c r="V1162" s="1436"/>
      <c r="W1162" s="1436"/>
      <c r="X1162" s="1436"/>
      <c r="Y1162" s="1436"/>
      <c r="Z1162" s="1436"/>
      <c r="AA1162" s="1436"/>
      <c r="AB1162" s="1436"/>
      <c r="AC1162" s="1436"/>
      <c r="AD1162" s="1436"/>
      <c r="AE1162" s="1436"/>
      <c r="AF1162" s="1436"/>
    </row>
    <row r="1163" spans="1:32">
      <c r="A1163" s="1436"/>
      <c r="B1163" s="1436"/>
      <c r="C1163" s="1436"/>
      <c r="D1163" s="1436"/>
      <c r="E1163" s="1436"/>
      <c r="F1163" s="1436"/>
      <c r="G1163" s="1436"/>
      <c r="H1163" s="1436"/>
      <c r="I1163" s="1436"/>
      <c r="J1163" s="1436"/>
      <c r="K1163" s="1436"/>
      <c r="L1163" s="1436"/>
      <c r="M1163" s="1436"/>
      <c r="N1163" s="1436"/>
      <c r="O1163" s="1436"/>
      <c r="P1163" s="1436"/>
      <c r="Q1163" s="1436"/>
      <c r="R1163" s="1436"/>
      <c r="S1163" s="1436"/>
      <c r="T1163" s="1436"/>
      <c r="U1163" s="1436"/>
      <c r="V1163" s="1436"/>
      <c r="W1163" s="1436"/>
      <c r="X1163" s="1436"/>
      <c r="Y1163" s="1436"/>
      <c r="Z1163" s="1436"/>
      <c r="AA1163" s="1436"/>
      <c r="AB1163" s="1436"/>
      <c r="AC1163" s="1436"/>
      <c r="AD1163" s="1436"/>
      <c r="AE1163" s="1436"/>
      <c r="AF1163" s="1436"/>
    </row>
    <row r="1164" spans="1:32">
      <c r="A1164" s="1436"/>
      <c r="B1164" s="1436"/>
      <c r="C1164" s="1436"/>
      <c r="D1164" s="1436"/>
      <c r="E1164" s="1436"/>
      <c r="F1164" s="1436"/>
      <c r="G1164" s="1436"/>
      <c r="H1164" s="1436"/>
      <c r="I1164" s="1436"/>
      <c r="J1164" s="1436"/>
      <c r="K1164" s="1436"/>
      <c r="L1164" s="1436"/>
      <c r="M1164" s="1436"/>
      <c r="N1164" s="1436"/>
      <c r="O1164" s="1436"/>
      <c r="P1164" s="1436"/>
      <c r="Q1164" s="1436"/>
      <c r="R1164" s="1436"/>
      <c r="S1164" s="1436"/>
      <c r="T1164" s="1436"/>
      <c r="U1164" s="1436"/>
      <c r="V1164" s="1436"/>
      <c r="W1164" s="1436"/>
      <c r="X1164" s="1436"/>
      <c r="Y1164" s="1436"/>
      <c r="Z1164" s="1436"/>
      <c r="AA1164" s="1436"/>
      <c r="AB1164" s="1436"/>
      <c r="AC1164" s="1436"/>
      <c r="AD1164" s="1436"/>
      <c r="AE1164" s="1436"/>
      <c r="AF1164" s="1436"/>
    </row>
    <row r="1165" spans="1:32">
      <c r="A1165" s="1436"/>
      <c r="B1165" s="1436"/>
      <c r="C1165" s="1436"/>
      <c r="D1165" s="1436"/>
      <c r="E1165" s="1436"/>
      <c r="F1165" s="1436"/>
      <c r="G1165" s="1436"/>
      <c r="H1165" s="1436"/>
      <c r="I1165" s="1436"/>
      <c r="J1165" s="1436"/>
      <c r="K1165" s="1436"/>
      <c r="L1165" s="1436"/>
      <c r="M1165" s="1436"/>
      <c r="N1165" s="1436"/>
      <c r="O1165" s="1436"/>
      <c r="P1165" s="1436"/>
      <c r="Q1165" s="1436"/>
      <c r="R1165" s="1436"/>
      <c r="S1165" s="1436"/>
      <c r="T1165" s="1436"/>
      <c r="U1165" s="1436"/>
      <c r="V1165" s="1436"/>
      <c r="W1165" s="1436"/>
      <c r="X1165" s="1436"/>
      <c r="Y1165" s="1436"/>
      <c r="Z1165" s="1436"/>
      <c r="AA1165" s="1436"/>
      <c r="AB1165" s="1436"/>
      <c r="AC1165" s="1436"/>
      <c r="AD1165" s="1436"/>
      <c r="AE1165" s="1436"/>
      <c r="AF1165" s="1436"/>
    </row>
    <row r="1166" spans="1:32">
      <c r="A1166" s="1436"/>
      <c r="B1166" s="1436"/>
      <c r="C1166" s="1436"/>
      <c r="D1166" s="1436"/>
      <c r="E1166" s="1436"/>
      <c r="F1166" s="1436"/>
      <c r="G1166" s="1436"/>
      <c r="H1166" s="1436"/>
      <c r="I1166" s="1436"/>
      <c r="J1166" s="1436"/>
      <c r="K1166" s="1436"/>
      <c r="L1166" s="1436"/>
      <c r="M1166" s="1436"/>
      <c r="N1166" s="1436"/>
      <c r="O1166" s="1436"/>
      <c r="P1166" s="1436"/>
      <c r="Q1166" s="1436"/>
      <c r="R1166" s="1436"/>
      <c r="S1166" s="1436"/>
      <c r="T1166" s="1436"/>
      <c r="U1166" s="1436"/>
      <c r="V1166" s="1436"/>
      <c r="W1166" s="1436"/>
      <c r="X1166" s="1436"/>
      <c r="Y1166" s="1436"/>
      <c r="Z1166" s="1436"/>
      <c r="AA1166" s="1436"/>
      <c r="AB1166" s="1436"/>
      <c r="AC1166" s="1436"/>
      <c r="AD1166" s="1436"/>
      <c r="AE1166" s="1436"/>
      <c r="AF1166" s="1436"/>
    </row>
    <row r="1167" spans="1:32">
      <c r="A1167" s="1436"/>
      <c r="B1167" s="1436"/>
      <c r="C1167" s="1436"/>
      <c r="D1167" s="1436"/>
      <c r="E1167" s="1436"/>
      <c r="F1167" s="1436"/>
      <c r="G1167" s="1436"/>
      <c r="H1167" s="1436"/>
      <c r="I1167" s="1436"/>
      <c r="J1167" s="1436"/>
      <c r="K1167" s="1436"/>
      <c r="L1167" s="1436"/>
      <c r="M1167" s="1436"/>
      <c r="N1167" s="1436"/>
      <c r="O1167" s="1436"/>
      <c r="P1167" s="1436"/>
      <c r="Q1167" s="1436"/>
      <c r="R1167" s="1436"/>
      <c r="S1167" s="1436"/>
      <c r="T1167" s="1436"/>
      <c r="U1167" s="1436"/>
      <c r="V1167" s="1436"/>
      <c r="W1167" s="1436"/>
      <c r="X1167" s="1436"/>
      <c r="Y1167" s="1436"/>
      <c r="Z1167" s="1436"/>
      <c r="AA1167" s="1436"/>
      <c r="AB1167" s="1436"/>
      <c r="AC1167" s="1436"/>
      <c r="AD1167" s="1436"/>
      <c r="AE1167" s="1436"/>
      <c r="AF1167" s="1436"/>
    </row>
    <row r="1168" spans="1:32">
      <c r="A1168" s="1436"/>
      <c r="B1168" s="1436"/>
      <c r="C1168" s="1436"/>
      <c r="D1168" s="1436"/>
      <c r="E1168" s="1436"/>
      <c r="F1168" s="1436"/>
      <c r="G1168" s="1436"/>
      <c r="H1168" s="1436"/>
      <c r="I1168" s="1436"/>
      <c r="J1168" s="1436"/>
      <c r="K1168" s="1436"/>
      <c r="L1168" s="1436"/>
      <c r="M1168" s="1436"/>
      <c r="N1168" s="1436"/>
      <c r="O1168" s="1436"/>
      <c r="P1168" s="1436"/>
      <c r="Q1168" s="1436"/>
      <c r="R1168" s="1436"/>
      <c r="S1168" s="1436"/>
      <c r="T1168" s="1436"/>
      <c r="U1168" s="1436"/>
      <c r="V1168" s="1436"/>
      <c r="W1168" s="1436"/>
      <c r="X1168" s="1436"/>
      <c r="Y1168" s="1436"/>
      <c r="Z1168" s="1436"/>
      <c r="AA1168" s="1436"/>
      <c r="AB1168" s="1436"/>
      <c r="AC1168" s="1436"/>
      <c r="AD1168" s="1436"/>
      <c r="AE1168" s="1436"/>
      <c r="AF1168" s="1436"/>
    </row>
    <row r="1169" spans="1:32">
      <c r="A1169" s="1436"/>
      <c r="B1169" s="1436"/>
      <c r="C1169" s="1436"/>
      <c r="D1169" s="1436"/>
      <c r="E1169" s="1436"/>
      <c r="F1169" s="1436"/>
      <c r="G1169" s="1436"/>
      <c r="H1169" s="1436"/>
      <c r="I1169" s="1436"/>
      <c r="J1169" s="1436"/>
      <c r="K1169" s="1436"/>
      <c r="L1169" s="1436"/>
      <c r="M1169" s="1436"/>
      <c r="N1169" s="1436"/>
      <c r="O1169" s="1436"/>
      <c r="P1169" s="1436"/>
      <c r="Q1169" s="1436"/>
      <c r="R1169" s="1436"/>
      <c r="S1169" s="1436"/>
      <c r="T1169" s="1436"/>
      <c r="U1169" s="1436"/>
      <c r="V1169" s="1436"/>
      <c r="W1169" s="1436"/>
      <c r="X1169" s="1436"/>
      <c r="Y1169" s="1436"/>
      <c r="Z1169" s="1436"/>
      <c r="AA1169" s="1436"/>
      <c r="AB1169" s="1436"/>
      <c r="AC1169" s="1436"/>
      <c r="AD1169" s="1436"/>
      <c r="AE1169" s="1436"/>
      <c r="AF1169" s="1436"/>
    </row>
    <row r="1170" spans="1:32">
      <c r="A1170" s="1436"/>
      <c r="B1170" s="1436"/>
      <c r="C1170" s="1436"/>
      <c r="D1170" s="1436"/>
      <c r="E1170" s="1436"/>
      <c r="F1170" s="1436"/>
      <c r="G1170" s="1436"/>
      <c r="H1170" s="1436"/>
      <c r="I1170" s="1436"/>
      <c r="J1170" s="1436"/>
      <c r="K1170" s="1436"/>
      <c r="L1170" s="1436"/>
      <c r="M1170" s="1436"/>
      <c r="N1170" s="1436"/>
      <c r="O1170" s="1436"/>
      <c r="P1170" s="1436"/>
      <c r="Q1170" s="1436"/>
      <c r="R1170" s="1436"/>
      <c r="S1170" s="1436"/>
      <c r="T1170" s="1436"/>
      <c r="U1170" s="1436"/>
      <c r="V1170" s="1436"/>
      <c r="W1170" s="1436"/>
      <c r="X1170" s="1436"/>
      <c r="Y1170" s="1436"/>
      <c r="Z1170" s="1436"/>
      <c r="AA1170" s="1436"/>
      <c r="AB1170" s="1436"/>
      <c r="AC1170" s="1436"/>
      <c r="AD1170" s="1436"/>
      <c r="AE1170" s="1436"/>
      <c r="AF1170" s="1436"/>
    </row>
    <row r="1171" spans="1:32">
      <c r="A1171" s="1436"/>
      <c r="B1171" s="1436"/>
      <c r="C1171" s="1436"/>
      <c r="D1171" s="1436"/>
      <c r="E1171" s="1436"/>
      <c r="F1171" s="1436"/>
      <c r="G1171" s="1436"/>
      <c r="H1171" s="1436"/>
      <c r="I1171" s="1436"/>
      <c r="J1171" s="1436"/>
      <c r="K1171" s="1436"/>
      <c r="L1171" s="1436"/>
      <c r="M1171" s="1436"/>
      <c r="N1171" s="1436"/>
      <c r="O1171" s="1436"/>
      <c r="P1171" s="1436"/>
      <c r="Q1171" s="1436"/>
      <c r="R1171" s="1436"/>
      <c r="S1171" s="1436"/>
      <c r="T1171" s="1436"/>
      <c r="U1171" s="1436"/>
      <c r="V1171" s="1436"/>
      <c r="W1171" s="1436"/>
      <c r="X1171" s="1436"/>
      <c r="Y1171" s="1436"/>
      <c r="Z1171" s="1436"/>
      <c r="AA1171" s="1436"/>
      <c r="AB1171" s="1436"/>
      <c r="AC1171" s="1436"/>
      <c r="AD1171" s="1436"/>
      <c r="AE1171" s="1436"/>
      <c r="AF1171" s="1436"/>
    </row>
    <row r="1172" spans="1:32">
      <c r="A1172" s="1436"/>
      <c r="B1172" s="1436"/>
      <c r="C1172" s="1436"/>
      <c r="D1172" s="1436"/>
      <c r="E1172" s="1436"/>
      <c r="F1172" s="1436"/>
      <c r="G1172" s="1436"/>
      <c r="H1172" s="1436"/>
      <c r="I1172" s="1436"/>
      <c r="J1172" s="1436"/>
      <c r="K1172" s="1436"/>
      <c r="L1172" s="1436"/>
      <c r="M1172" s="1436"/>
      <c r="N1172" s="1436"/>
      <c r="O1172" s="1436"/>
      <c r="P1172" s="1436"/>
      <c r="Q1172" s="1436"/>
      <c r="R1172" s="1436"/>
      <c r="S1172" s="1436"/>
      <c r="T1172" s="1436"/>
      <c r="U1172" s="1436"/>
      <c r="V1172" s="1436"/>
      <c r="W1172" s="1436"/>
      <c r="X1172" s="1436"/>
      <c r="Y1172" s="1436"/>
      <c r="Z1172" s="1436"/>
      <c r="AA1172" s="1436"/>
      <c r="AB1172" s="1436"/>
      <c r="AC1172" s="1436"/>
      <c r="AD1172" s="1436"/>
      <c r="AE1172" s="1436"/>
      <c r="AF1172" s="1436"/>
    </row>
    <row r="1173" spans="1:32">
      <c r="A1173" s="1436"/>
      <c r="B1173" s="1436"/>
      <c r="C1173" s="1436"/>
      <c r="D1173" s="1436"/>
      <c r="E1173" s="1436"/>
      <c r="F1173" s="1436"/>
      <c r="G1173" s="1436"/>
      <c r="H1173" s="1436"/>
      <c r="I1173" s="1436"/>
      <c r="J1173" s="1436"/>
      <c r="K1173" s="1436"/>
      <c r="L1173" s="1436"/>
      <c r="M1173" s="1436"/>
      <c r="N1173" s="1436"/>
      <c r="O1173" s="1436"/>
      <c r="P1173" s="1436"/>
      <c r="Q1173" s="1436"/>
      <c r="R1173" s="1436"/>
      <c r="S1173" s="1436"/>
      <c r="T1173" s="1436"/>
      <c r="U1173" s="1436"/>
      <c r="V1173" s="1436"/>
      <c r="W1173" s="1436"/>
      <c r="X1173" s="1436"/>
      <c r="Y1173" s="1436"/>
      <c r="Z1173" s="1436"/>
      <c r="AA1173" s="1436"/>
      <c r="AB1173" s="1436"/>
      <c r="AC1173" s="1436"/>
      <c r="AD1173" s="1436"/>
      <c r="AE1173" s="1436"/>
      <c r="AF1173" s="1436"/>
    </row>
    <row r="1174" spans="1:32">
      <c r="A1174" s="1436"/>
      <c r="B1174" s="1436"/>
      <c r="C1174" s="1436"/>
      <c r="D1174" s="1436"/>
      <c r="E1174" s="1436"/>
      <c r="F1174" s="1436"/>
      <c r="G1174" s="1436"/>
      <c r="H1174" s="1436"/>
      <c r="I1174" s="1436"/>
      <c r="J1174" s="1436"/>
      <c r="K1174" s="1436"/>
      <c r="L1174" s="1436"/>
      <c r="M1174" s="1436"/>
      <c r="N1174" s="1436"/>
      <c r="O1174" s="1436"/>
      <c r="P1174" s="1436"/>
      <c r="Q1174" s="1436"/>
      <c r="R1174" s="1436"/>
      <c r="S1174" s="1436"/>
      <c r="T1174" s="1436"/>
      <c r="U1174" s="1436"/>
      <c r="V1174" s="1436"/>
      <c r="W1174" s="1436"/>
      <c r="X1174" s="1436"/>
      <c r="Y1174" s="1436"/>
      <c r="Z1174" s="1436"/>
      <c r="AA1174" s="1436"/>
      <c r="AB1174" s="1436"/>
      <c r="AC1174" s="1436"/>
      <c r="AD1174" s="1436"/>
      <c r="AE1174" s="1436"/>
      <c r="AF1174" s="1436"/>
    </row>
    <row r="1175" spans="1:32">
      <c r="A1175" s="1436"/>
      <c r="B1175" s="1436"/>
      <c r="C1175" s="1436"/>
      <c r="D1175" s="1436"/>
      <c r="E1175" s="1436"/>
      <c r="F1175" s="1436"/>
      <c r="G1175" s="1436"/>
      <c r="H1175" s="1436"/>
      <c r="I1175" s="1436"/>
      <c r="J1175" s="1436"/>
      <c r="K1175" s="1436"/>
      <c r="L1175" s="1436"/>
      <c r="M1175" s="1436"/>
      <c r="N1175" s="1436"/>
      <c r="O1175" s="1436"/>
      <c r="P1175" s="1436"/>
      <c r="Q1175" s="1436"/>
      <c r="R1175" s="1436"/>
      <c r="S1175" s="1436"/>
      <c r="T1175" s="1436"/>
      <c r="U1175" s="1436"/>
      <c r="V1175" s="1436"/>
      <c r="W1175" s="1436"/>
      <c r="X1175" s="1436"/>
      <c r="Y1175" s="1436"/>
      <c r="Z1175" s="1436"/>
      <c r="AA1175" s="1436"/>
      <c r="AB1175" s="1436"/>
      <c r="AC1175" s="1436"/>
      <c r="AD1175" s="1436"/>
      <c r="AE1175" s="1436"/>
      <c r="AF1175" s="1436"/>
    </row>
    <row r="1176" spans="1:32">
      <c r="A1176" s="1436"/>
      <c r="B1176" s="1436"/>
      <c r="C1176" s="1436"/>
      <c r="D1176" s="1436"/>
      <c r="E1176" s="1436"/>
      <c r="F1176" s="1436"/>
      <c r="G1176" s="1436"/>
      <c r="H1176" s="1436"/>
      <c r="I1176" s="1436"/>
      <c r="J1176" s="1436"/>
      <c r="K1176" s="1436"/>
      <c r="L1176" s="1436"/>
      <c r="M1176" s="1436"/>
      <c r="N1176" s="1436"/>
      <c r="O1176" s="1436"/>
      <c r="P1176" s="1436"/>
      <c r="Q1176" s="1436"/>
      <c r="R1176" s="1436"/>
      <c r="S1176" s="1436"/>
      <c r="T1176" s="1436"/>
      <c r="U1176" s="1436"/>
      <c r="V1176" s="1436"/>
      <c r="W1176" s="1436"/>
      <c r="X1176" s="1436"/>
      <c r="Y1176" s="1436"/>
      <c r="Z1176" s="1436"/>
      <c r="AA1176" s="1436"/>
      <c r="AB1176" s="1436"/>
      <c r="AC1176" s="1436"/>
      <c r="AD1176" s="1436"/>
      <c r="AE1176" s="1436"/>
      <c r="AF1176" s="1436"/>
    </row>
    <row r="1177" spans="1:32">
      <c r="A1177" s="1436"/>
      <c r="B1177" s="1436"/>
      <c r="C1177" s="1436"/>
      <c r="D1177" s="1436"/>
      <c r="E1177" s="1436"/>
      <c r="F1177" s="1436"/>
      <c r="G1177" s="1436"/>
      <c r="H1177" s="1436"/>
      <c r="I1177" s="1436"/>
      <c r="J1177" s="1436"/>
      <c r="K1177" s="1436"/>
      <c r="L1177" s="1436"/>
      <c r="M1177" s="1436"/>
      <c r="N1177" s="1436"/>
      <c r="O1177" s="1436"/>
      <c r="P1177" s="1436"/>
      <c r="Q1177" s="1436"/>
      <c r="R1177" s="1436"/>
      <c r="S1177" s="1436"/>
      <c r="T1177" s="1436"/>
      <c r="U1177" s="1436"/>
      <c r="V1177" s="1436"/>
      <c r="W1177" s="1436"/>
      <c r="X1177" s="1436"/>
      <c r="Y1177" s="1436"/>
      <c r="Z1177" s="1436"/>
      <c r="AA1177" s="1436"/>
      <c r="AB1177" s="1436"/>
      <c r="AC1177" s="1436"/>
      <c r="AD1177" s="1436"/>
      <c r="AE1177" s="1436"/>
      <c r="AF1177" s="1436"/>
    </row>
    <row r="1178" spans="1:32">
      <c r="A1178" s="1436"/>
      <c r="B1178" s="1436"/>
      <c r="C1178" s="1436"/>
      <c r="D1178" s="1436"/>
      <c r="E1178" s="1436"/>
      <c r="F1178" s="1436"/>
      <c r="G1178" s="1436"/>
      <c r="H1178" s="1436"/>
      <c r="I1178" s="1436"/>
      <c r="J1178" s="1436"/>
      <c r="K1178" s="1436"/>
      <c r="L1178" s="1436"/>
      <c r="M1178" s="1436"/>
      <c r="N1178" s="1436"/>
      <c r="O1178" s="1436"/>
      <c r="P1178" s="1436"/>
      <c r="Q1178" s="1436"/>
      <c r="R1178" s="1436"/>
      <c r="S1178" s="1436"/>
      <c r="T1178" s="1436"/>
      <c r="U1178" s="1436"/>
      <c r="V1178" s="1436"/>
      <c r="W1178" s="1436"/>
      <c r="X1178" s="1436"/>
      <c r="Y1178" s="1436"/>
      <c r="Z1178" s="1436"/>
      <c r="AA1178" s="1436"/>
      <c r="AB1178" s="1436"/>
      <c r="AC1178" s="1436"/>
      <c r="AD1178" s="1436"/>
      <c r="AE1178" s="1436"/>
      <c r="AF1178" s="1436"/>
    </row>
    <row r="1179" spans="1:32">
      <c r="A1179" s="1436"/>
      <c r="B1179" s="1436"/>
      <c r="C1179" s="1436"/>
      <c r="D1179" s="1436"/>
      <c r="E1179" s="1436"/>
      <c r="F1179" s="1436"/>
      <c r="G1179" s="1436"/>
      <c r="H1179" s="1436"/>
      <c r="I1179" s="1436"/>
      <c r="J1179" s="1436"/>
      <c r="K1179" s="1436"/>
      <c r="L1179" s="1436"/>
      <c r="M1179" s="1436"/>
      <c r="N1179" s="1436"/>
      <c r="O1179" s="1436"/>
      <c r="P1179" s="1436"/>
      <c r="Q1179" s="1436"/>
      <c r="R1179" s="1436"/>
      <c r="S1179" s="1436"/>
      <c r="T1179" s="1436"/>
      <c r="U1179" s="1436"/>
      <c r="V1179" s="1436"/>
      <c r="W1179" s="1436"/>
      <c r="X1179" s="1436"/>
      <c r="Y1179" s="1436"/>
      <c r="Z1179" s="1436"/>
      <c r="AA1179" s="1436"/>
      <c r="AB1179" s="1436"/>
      <c r="AC1179" s="1436"/>
      <c r="AD1179" s="1436"/>
      <c r="AE1179" s="1436"/>
      <c r="AF1179" s="1436"/>
    </row>
    <row r="1180" spans="1:32">
      <c r="A1180" s="1436"/>
      <c r="B1180" s="1436"/>
      <c r="C1180" s="1436"/>
      <c r="D1180" s="1436"/>
      <c r="E1180" s="1436"/>
      <c r="F1180" s="1436"/>
      <c r="G1180" s="1436"/>
      <c r="H1180" s="1436"/>
      <c r="I1180" s="1436"/>
      <c r="J1180" s="1436"/>
      <c r="K1180" s="1436"/>
      <c r="L1180" s="1436"/>
      <c r="M1180" s="1436"/>
      <c r="N1180" s="1436"/>
      <c r="O1180" s="1436"/>
      <c r="P1180" s="1436"/>
      <c r="Q1180" s="1436"/>
      <c r="R1180" s="1436"/>
      <c r="S1180" s="1436"/>
      <c r="T1180" s="1436"/>
      <c r="U1180" s="1436"/>
      <c r="V1180" s="1436"/>
      <c r="W1180" s="1436"/>
      <c r="X1180" s="1436"/>
      <c r="Y1180" s="1436"/>
      <c r="Z1180" s="1436"/>
      <c r="AA1180" s="1436"/>
      <c r="AB1180" s="1436"/>
      <c r="AC1180" s="1436"/>
      <c r="AD1180" s="1436"/>
      <c r="AE1180" s="1436"/>
      <c r="AF1180" s="1436"/>
    </row>
    <row r="1181" spans="1:32">
      <c r="A1181" s="1436"/>
      <c r="B1181" s="1436"/>
      <c r="C1181" s="1436"/>
      <c r="D1181" s="1436"/>
      <c r="E1181" s="1436"/>
      <c r="F1181" s="1436"/>
      <c r="G1181" s="1436"/>
      <c r="H1181" s="1436"/>
      <c r="I1181" s="1436"/>
      <c r="J1181" s="1436"/>
      <c r="K1181" s="1436"/>
      <c r="L1181" s="1436"/>
      <c r="M1181" s="1436"/>
      <c r="N1181" s="1436"/>
      <c r="O1181" s="1436"/>
      <c r="P1181" s="1436"/>
      <c r="Q1181" s="1436"/>
      <c r="R1181" s="1436"/>
      <c r="S1181" s="1436"/>
      <c r="T1181" s="1436"/>
      <c r="U1181" s="1436"/>
      <c r="V1181" s="1436"/>
      <c r="W1181" s="1436"/>
      <c r="X1181" s="1436"/>
      <c r="Y1181" s="1436"/>
      <c r="Z1181" s="1436"/>
      <c r="AA1181" s="1436"/>
      <c r="AB1181" s="1436"/>
      <c r="AC1181" s="1436"/>
      <c r="AD1181" s="1436"/>
      <c r="AE1181" s="1436"/>
      <c r="AF1181" s="1436"/>
    </row>
    <row r="1182" spans="1:32">
      <c r="A1182" s="1436"/>
      <c r="B1182" s="1436"/>
      <c r="C1182" s="1436"/>
      <c r="D1182" s="1436"/>
      <c r="E1182" s="1436"/>
      <c r="F1182" s="1436"/>
      <c r="G1182" s="1436"/>
      <c r="H1182" s="1436"/>
      <c r="I1182" s="1436"/>
      <c r="J1182" s="1436"/>
      <c r="K1182" s="1436"/>
      <c r="L1182" s="1436"/>
      <c r="M1182" s="1436"/>
      <c r="N1182" s="1436"/>
      <c r="O1182" s="1436"/>
      <c r="P1182" s="1436"/>
      <c r="Q1182" s="1436"/>
      <c r="R1182" s="1436"/>
      <c r="S1182" s="1436"/>
      <c r="T1182" s="1436"/>
      <c r="U1182" s="1436"/>
      <c r="V1182" s="1436"/>
      <c r="W1182" s="1436"/>
      <c r="X1182" s="1436"/>
      <c r="Y1182" s="1436"/>
      <c r="Z1182" s="1436"/>
      <c r="AA1182" s="1436"/>
      <c r="AB1182" s="1436"/>
      <c r="AC1182" s="1436"/>
      <c r="AD1182" s="1436"/>
      <c r="AE1182" s="1436"/>
      <c r="AF1182" s="1436"/>
    </row>
    <row r="1183" spans="1:32">
      <c r="A1183" s="1436"/>
      <c r="B1183" s="1436"/>
      <c r="C1183" s="1436"/>
      <c r="D1183" s="1436"/>
      <c r="E1183" s="1436"/>
      <c r="F1183" s="1436"/>
      <c r="G1183" s="1436"/>
      <c r="H1183" s="1436"/>
      <c r="I1183" s="1436"/>
      <c r="J1183" s="1436"/>
      <c r="K1183" s="1436"/>
      <c r="L1183" s="1436"/>
      <c r="M1183" s="1436"/>
      <c r="N1183" s="1436"/>
      <c r="O1183" s="1436"/>
      <c r="P1183" s="1436"/>
      <c r="Q1183" s="1436"/>
      <c r="R1183" s="1436"/>
      <c r="S1183" s="1436"/>
      <c r="T1183" s="1436"/>
      <c r="U1183" s="1436"/>
      <c r="V1183" s="1436"/>
      <c r="W1183" s="1436"/>
      <c r="X1183" s="1436"/>
      <c r="Y1183" s="1436"/>
      <c r="Z1183" s="1436"/>
      <c r="AA1183" s="1436"/>
      <c r="AB1183" s="1436"/>
      <c r="AC1183" s="1436"/>
      <c r="AD1183" s="1436"/>
      <c r="AE1183" s="1436"/>
      <c r="AF1183" s="1436"/>
    </row>
    <row r="1184" spans="1:32">
      <c r="A1184" s="1436"/>
      <c r="B1184" s="1436"/>
      <c r="C1184" s="1436"/>
      <c r="D1184" s="1436"/>
      <c r="E1184" s="1436"/>
      <c r="F1184" s="1436"/>
      <c r="G1184" s="1436"/>
      <c r="H1184" s="1436"/>
      <c r="I1184" s="1436"/>
      <c r="J1184" s="1436"/>
      <c r="K1184" s="1436"/>
      <c r="L1184" s="1436"/>
      <c r="M1184" s="1436"/>
      <c r="N1184" s="1436"/>
      <c r="O1184" s="1436"/>
      <c r="P1184" s="1436"/>
      <c r="Q1184" s="1436"/>
      <c r="R1184" s="1436"/>
      <c r="S1184" s="1436"/>
      <c r="T1184" s="1436"/>
      <c r="U1184" s="1436"/>
      <c r="V1184" s="1436"/>
      <c r="W1184" s="1436"/>
      <c r="X1184" s="1436"/>
      <c r="Y1184" s="1436"/>
      <c r="Z1184" s="1436"/>
      <c r="AA1184" s="1436"/>
      <c r="AB1184" s="1436"/>
      <c r="AC1184" s="1436"/>
      <c r="AD1184" s="1436"/>
      <c r="AE1184" s="1436"/>
      <c r="AF1184" s="1436"/>
    </row>
    <row r="1185" spans="1:32">
      <c r="A1185" s="1436"/>
      <c r="B1185" s="1436"/>
      <c r="C1185" s="1436"/>
      <c r="D1185" s="1436"/>
      <c r="E1185" s="1436"/>
      <c r="F1185" s="1436"/>
      <c r="G1185" s="1436"/>
      <c r="H1185" s="1436"/>
      <c r="I1185" s="1436"/>
      <c r="J1185" s="1436"/>
      <c r="K1185" s="1436"/>
      <c r="L1185" s="1436"/>
      <c r="M1185" s="1436"/>
      <c r="N1185" s="1436"/>
      <c r="O1185" s="1436"/>
      <c r="P1185" s="1436"/>
      <c r="Q1185" s="1436"/>
      <c r="R1185" s="1436"/>
      <c r="S1185" s="1436"/>
      <c r="T1185" s="1436"/>
      <c r="U1185" s="1436"/>
      <c r="V1185" s="1436"/>
      <c r="W1185" s="1436"/>
      <c r="X1185" s="1436"/>
      <c r="Y1185" s="1436"/>
      <c r="Z1185" s="1436"/>
      <c r="AA1185" s="1436"/>
      <c r="AB1185" s="1436"/>
      <c r="AC1185" s="1436"/>
      <c r="AD1185" s="1436"/>
      <c r="AE1185" s="1436"/>
      <c r="AF1185" s="1436"/>
    </row>
    <row r="1186" spans="1:32">
      <c r="A1186" s="1436"/>
      <c r="B1186" s="1436"/>
      <c r="C1186" s="1436"/>
      <c r="D1186" s="1436"/>
      <c r="E1186" s="1436"/>
      <c r="F1186" s="1436"/>
      <c r="G1186" s="1436"/>
      <c r="H1186" s="1436"/>
      <c r="I1186" s="1436"/>
      <c r="J1186" s="1436"/>
      <c r="K1186" s="1436"/>
      <c r="L1186" s="1436"/>
      <c r="M1186" s="1436"/>
      <c r="N1186" s="1436"/>
      <c r="O1186" s="1436"/>
      <c r="P1186" s="1436"/>
      <c r="Q1186" s="1436"/>
      <c r="R1186" s="1436"/>
      <c r="S1186" s="1436"/>
      <c r="T1186" s="1436"/>
      <c r="U1186" s="1436"/>
      <c r="V1186" s="1436"/>
      <c r="W1186" s="1436"/>
      <c r="X1186" s="1436"/>
      <c r="Y1186" s="1436"/>
      <c r="Z1186" s="1436"/>
      <c r="AA1186" s="1436"/>
      <c r="AB1186" s="1436"/>
      <c r="AC1186" s="1436"/>
      <c r="AD1186" s="1436"/>
      <c r="AE1186" s="1436"/>
      <c r="AF1186" s="1436"/>
    </row>
    <row r="1187" spans="1:32">
      <c r="A1187" s="1436"/>
      <c r="B1187" s="1436"/>
      <c r="C1187" s="1436"/>
      <c r="D1187" s="1436"/>
      <c r="E1187" s="1436"/>
      <c r="F1187" s="1436"/>
      <c r="G1187" s="1436"/>
      <c r="H1187" s="1436"/>
      <c r="I1187" s="1436"/>
      <c r="J1187" s="1436"/>
      <c r="K1187" s="1436"/>
      <c r="L1187" s="1436"/>
      <c r="M1187" s="1436"/>
      <c r="N1187" s="1436"/>
      <c r="O1187" s="1436"/>
      <c r="P1187" s="1436"/>
      <c r="Q1187" s="1436"/>
      <c r="R1187" s="1436"/>
      <c r="S1187" s="1436"/>
      <c r="T1187" s="1436"/>
      <c r="U1187" s="1436"/>
      <c r="V1187" s="1436"/>
      <c r="W1187" s="1436"/>
      <c r="X1187" s="1436"/>
      <c r="Y1187" s="1436"/>
      <c r="Z1187" s="1436"/>
      <c r="AA1187" s="1436"/>
      <c r="AB1187" s="1436"/>
      <c r="AC1187" s="1436"/>
      <c r="AD1187" s="1436"/>
      <c r="AE1187" s="1436"/>
      <c r="AF1187" s="1436"/>
    </row>
    <row r="1188" spans="1:32">
      <c r="A1188" s="1436"/>
      <c r="B1188" s="1436"/>
      <c r="C1188" s="1436"/>
      <c r="D1188" s="1436"/>
      <c r="E1188" s="1436"/>
      <c r="F1188" s="1436"/>
      <c r="G1188" s="1436"/>
      <c r="H1188" s="1436"/>
      <c r="I1188" s="1436"/>
      <c r="J1188" s="1436"/>
      <c r="K1188" s="1436"/>
      <c r="L1188" s="1436"/>
      <c r="M1188" s="1436"/>
      <c r="N1188" s="1436"/>
      <c r="O1188" s="1436"/>
      <c r="P1188" s="1436"/>
      <c r="Q1188" s="1436"/>
      <c r="R1188" s="1436"/>
      <c r="S1188" s="1436"/>
      <c r="T1188" s="1436"/>
      <c r="U1188" s="1436"/>
      <c r="V1188" s="1436"/>
      <c r="W1188" s="1436"/>
      <c r="X1188" s="1436"/>
      <c r="Y1188" s="1436"/>
      <c r="Z1188" s="1436"/>
      <c r="AA1188" s="1436"/>
      <c r="AB1188" s="1436"/>
      <c r="AC1188" s="1436"/>
      <c r="AD1188" s="1436"/>
      <c r="AE1188" s="1436"/>
      <c r="AF1188" s="1436"/>
    </row>
    <row r="1189" spans="1:32">
      <c r="A1189" s="1436"/>
      <c r="B1189" s="1436"/>
      <c r="C1189" s="1436"/>
      <c r="D1189" s="1436"/>
      <c r="E1189" s="1436"/>
      <c r="F1189" s="1436"/>
      <c r="G1189" s="1436"/>
      <c r="H1189" s="1436"/>
      <c r="I1189" s="1436"/>
      <c r="J1189" s="1436"/>
      <c r="K1189" s="1436"/>
      <c r="L1189" s="1436"/>
      <c r="M1189" s="1436"/>
      <c r="N1189" s="1436"/>
      <c r="O1189" s="1436"/>
      <c r="P1189" s="1436"/>
      <c r="Q1189" s="1436"/>
      <c r="R1189" s="1436"/>
      <c r="S1189" s="1436"/>
      <c r="T1189" s="1436"/>
      <c r="U1189" s="1436"/>
      <c r="V1189" s="1436"/>
      <c r="W1189" s="1436"/>
      <c r="X1189" s="1436"/>
      <c r="Y1189" s="1436"/>
      <c r="Z1189" s="1436"/>
      <c r="AA1189" s="1436"/>
      <c r="AB1189" s="1436"/>
      <c r="AC1189" s="1436"/>
      <c r="AD1189" s="1436"/>
      <c r="AE1189" s="1436"/>
      <c r="AF1189" s="1436"/>
    </row>
    <row r="1190" spans="1:32">
      <c r="A1190" s="1436"/>
      <c r="B1190" s="1436"/>
      <c r="C1190" s="1436"/>
      <c r="D1190" s="1436"/>
      <c r="E1190" s="1436"/>
      <c r="F1190" s="1436"/>
      <c r="G1190" s="1436"/>
      <c r="H1190" s="1436"/>
      <c r="I1190" s="1436"/>
      <c r="J1190" s="1436"/>
      <c r="K1190" s="1436"/>
      <c r="L1190" s="1436"/>
      <c r="M1190" s="1436"/>
      <c r="N1190" s="1436"/>
      <c r="O1190" s="1436"/>
      <c r="P1190" s="1436"/>
      <c r="Q1190" s="1436"/>
      <c r="R1190" s="1436"/>
      <c r="S1190" s="1436"/>
      <c r="T1190" s="1436"/>
      <c r="U1190" s="1436"/>
      <c r="V1190" s="1436"/>
      <c r="W1190" s="1436"/>
      <c r="X1190" s="1436"/>
      <c r="Y1190" s="1436"/>
      <c r="Z1190" s="1436"/>
      <c r="AA1190" s="1436"/>
      <c r="AB1190" s="1436"/>
      <c r="AC1190" s="1436"/>
      <c r="AD1190" s="1436"/>
      <c r="AE1190" s="1436"/>
      <c r="AF1190" s="1436"/>
    </row>
    <row r="1191" spans="1:32">
      <c r="A1191" s="1436"/>
      <c r="B1191" s="1436"/>
      <c r="C1191" s="1436"/>
      <c r="D1191" s="1436"/>
      <c r="E1191" s="1436"/>
      <c r="F1191" s="1436"/>
      <c r="G1191" s="1436"/>
      <c r="H1191" s="1436"/>
      <c r="I1191" s="1436"/>
      <c r="J1191" s="1436"/>
      <c r="K1191" s="1436"/>
      <c r="L1191" s="1436"/>
      <c r="M1191" s="1436"/>
      <c r="N1191" s="1436"/>
      <c r="O1191" s="1436"/>
      <c r="P1191" s="1436"/>
      <c r="Q1191" s="1436"/>
      <c r="R1191" s="1436"/>
      <c r="S1191" s="1436"/>
      <c r="T1191" s="1436"/>
      <c r="U1191" s="1436"/>
      <c r="V1191" s="1436"/>
      <c r="W1191" s="1436"/>
      <c r="X1191" s="1436"/>
      <c r="Y1191" s="1436"/>
      <c r="Z1191" s="1436"/>
      <c r="AA1191" s="1436"/>
      <c r="AB1191" s="1436"/>
      <c r="AC1191" s="1436"/>
      <c r="AD1191" s="1436"/>
      <c r="AE1191" s="1436"/>
      <c r="AF1191" s="1436"/>
    </row>
    <row r="1192" spans="1:32">
      <c r="A1192" s="1436"/>
      <c r="B1192" s="1436"/>
      <c r="C1192" s="1436"/>
      <c r="D1192" s="1436"/>
      <c r="E1192" s="1436"/>
      <c r="F1192" s="1436"/>
      <c r="G1192" s="1436"/>
      <c r="H1192" s="1436"/>
      <c r="I1192" s="1436"/>
      <c r="J1192" s="1436"/>
      <c r="K1192" s="1436"/>
      <c r="L1192" s="1436"/>
      <c r="M1192" s="1436"/>
      <c r="N1192" s="1436"/>
      <c r="O1192" s="1436"/>
      <c r="P1192" s="1436"/>
      <c r="Q1192" s="1436"/>
      <c r="R1192" s="1436"/>
      <c r="S1192" s="1436"/>
      <c r="T1192" s="1436"/>
      <c r="U1192" s="1436"/>
      <c r="V1192" s="1436"/>
      <c r="W1192" s="1436"/>
      <c r="X1192" s="1436"/>
      <c r="Y1192" s="1436"/>
      <c r="Z1192" s="1436"/>
      <c r="AA1192" s="1436"/>
      <c r="AB1192" s="1436"/>
      <c r="AC1192" s="1436"/>
      <c r="AD1192" s="1436"/>
      <c r="AE1192" s="1436"/>
      <c r="AF1192" s="1436"/>
    </row>
    <row r="1193" spans="1:32">
      <c r="A1193" s="1436"/>
      <c r="B1193" s="1436"/>
      <c r="C1193" s="1436"/>
      <c r="D1193" s="1436"/>
      <c r="E1193" s="1436"/>
      <c r="F1193" s="1436"/>
      <c r="G1193" s="1436"/>
      <c r="H1193" s="1436"/>
      <c r="I1193" s="1436"/>
      <c r="J1193" s="1436"/>
      <c r="K1193" s="1436"/>
      <c r="L1193" s="1436"/>
      <c r="M1193" s="1436"/>
      <c r="N1193" s="1436"/>
      <c r="O1193" s="1436"/>
      <c r="P1193" s="1436"/>
      <c r="Q1193" s="1436"/>
      <c r="R1193" s="1436"/>
      <c r="S1193" s="1436"/>
      <c r="T1193" s="1436"/>
      <c r="U1193" s="1436"/>
      <c r="V1193" s="1436"/>
      <c r="W1193" s="1436"/>
      <c r="X1193" s="1436"/>
      <c r="Y1193" s="1436"/>
      <c r="Z1193" s="1436"/>
      <c r="AA1193" s="1436"/>
      <c r="AB1193" s="1436"/>
      <c r="AC1193" s="1436"/>
      <c r="AD1193" s="1436"/>
      <c r="AE1193" s="1436"/>
      <c r="AF1193" s="1436"/>
    </row>
    <row r="1194" spans="1:32">
      <c r="A1194" s="1436"/>
      <c r="B1194" s="1436"/>
      <c r="C1194" s="1436"/>
      <c r="D1194" s="1436"/>
      <c r="E1194" s="1436"/>
      <c r="F1194" s="1436"/>
      <c r="G1194" s="1436"/>
      <c r="H1194" s="1436"/>
      <c r="I1194" s="1436"/>
      <c r="J1194" s="1436"/>
      <c r="K1194" s="1436"/>
      <c r="L1194" s="1436"/>
      <c r="M1194" s="1436"/>
      <c r="N1194" s="1436"/>
      <c r="O1194" s="1436"/>
      <c r="P1194" s="1436"/>
      <c r="Q1194" s="1436"/>
      <c r="R1194" s="1436"/>
      <c r="S1194" s="1436"/>
      <c r="T1194" s="1436"/>
      <c r="U1194" s="1436"/>
      <c r="V1194" s="1436"/>
      <c r="W1194" s="1436"/>
      <c r="X1194" s="1436"/>
      <c r="Y1194" s="1436"/>
      <c r="Z1194" s="1436"/>
      <c r="AA1194" s="1436"/>
      <c r="AB1194" s="1436"/>
      <c r="AC1194" s="1436"/>
      <c r="AD1194" s="1436"/>
      <c r="AE1194" s="1436"/>
      <c r="AF1194" s="1436"/>
    </row>
    <row r="1195" spans="1:32">
      <c r="A1195" s="1436"/>
      <c r="B1195" s="1436"/>
      <c r="C1195" s="1436"/>
      <c r="D1195" s="1436"/>
      <c r="E1195" s="1436"/>
      <c r="F1195" s="1436"/>
      <c r="G1195" s="1436"/>
      <c r="H1195" s="1436"/>
      <c r="I1195" s="1436"/>
      <c r="J1195" s="1436"/>
      <c r="K1195" s="1436"/>
      <c r="L1195" s="1436"/>
      <c r="M1195" s="1436"/>
      <c r="N1195" s="1436"/>
      <c r="O1195" s="1436"/>
      <c r="P1195" s="1436"/>
      <c r="Q1195" s="1436"/>
      <c r="R1195" s="1436"/>
      <c r="S1195" s="1436"/>
      <c r="T1195" s="1436"/>
      <c r="U1195" s="1436"/>
      <c r="V1195" s="1436"/>
      <c r="W1195" s="1436"/>
      <c r="X1195" s="1436"/>
      <c r="Y1195" s="1436"/>
      <c r="Z1195" s="1436"/>
      <c r="AA1195" s="1436"/>
      <c r="AB1195" s="1436"/>
      <c r="AC1195" s="1436"/>
      <c r="AD1195" s="1436"/>
      <c r="AE1195" s="1436"/>
      <c r="AF1195" s="1436"/>
    </row>
    <row r="1196" spans="1:32">
      <c r="A1196" s="1436"/>
      <c r="B1196" s="1436"/>
      <c r="C1196" s="1436"/>
      <c r="D1196" s="1436"/>
      <c r="E1196" s="1436"/>
      <c r="F1196" s="1436"/>
      <c r="G1196" s="1436"/>
      <c r="H1196" s="1436"/>
      <c r="I1196" s="1436"/>
      <c r="J1196" s="1436"/>
      <c r="K1196" s="1436"/>
      <c r="L1196" s="1436"/>
      <c r="M1196" s="1436"/>
      <c r="N1196" s="1436"/>
      <c r="O1196" s="1436"/>
      <c r="P1196" s="1436"/>
      <c r="Q1196" s="1436"/>
      <c r="R1196" s="1436"/>
      <c r="S1196" s="1436"/>
      <c r="T1196" s="1436"/>
      <c r="U1196" s="1436"/>
      <c r="V1196" s="1436"/>
      <c r="W1196" s="1436"/>
      <c r="X1196" s="1436"/>
      <c r="Y1196" s="1436"/>
      <c r="Z1196" s="1436"/>
      <c r="AA1196" s="1436"/>
      <c r="AB1196" s="1436"/>
      <c r="AC1196" s="1436"/>
      <c r="AD1196" s="1436"/>
      <c r="AE1196" s="1436"/>
      <c r="AF1196" s="1436"/>
    </row>
    <row r="1197" spans="1:32">
      <c r="A1197" s="1436"/>
      <c r="B1197" s="1436"/>
      <c r="C1197" s="1436"/>
      <c r="D1197" s="1436"/>
      <c r="E1197" s="1436"/>
      <c r="F1197" s="1436"/>
      <c r="G1197" s="1436"/>
      <c r="H1197" s="1436"/>
      <c r="I1197" s="1436"/>
      <c r="J1197" s="1436"/>
      <c r="K1197" s="1436"/>
      <c r="L1197" s="1436"/>
      <c r="M1197" s="1436"/>
      <c r="N1197" s="1436"/>
      <c r="O1197" s="1436"/>
      <c r="P1197" s="1436"/>
      <c r="Q1197" s="1436"/>
      <c r="R1197" s="1436"/>
      <c r="S1197" s="1436"/>
      <c r="T1197" s="1436"/>
      <c r="U1197" s="1436"/>
      <c r="V1197" s="1436"/>
      <c r="W1197" s="1436"/>
      <c r="X1197" s="1436"/>
      <c r="Y1197" s="1436"/>
      <c r="Z1197" s="1436"/>
      <c r="AA1197" s="1436"/>
      <c r="AB1197" s="1436"/>
      <c r="AC1197" s="1436"/>
      <c r="AD1197" s="1436"/>
      <c r="AE1197" s="1436"/>
      <c r="AF1197" s="1436"/>
    </row>
    <row r="1198" spans="1:32">
      <c r="A1198" s="1436"/>
      <c r="B1198" s="1436"/>
      <c r="C1198" s="1436"/>
      <c r="D1198" s="1436"/>
      <c r="E1198" s="1436"/>
      <c r="F1198" s="1436"/>
      <c r="G1198" s="1436"/>
      <c r="H1198" s="1436"/>
      <c r="I1198" s="1436"/>
      <c r="J1198" s="1436"/>
      <c r="K1198" s="1436"/>
      <c r="L1198" s="1436"/>
      <c r="M1198" s="1436"/>
      <c r="N1198" s="1436"/>
      <c r="O1198" s="1436"/>
      <c r="P1198" s="1436"/>
      <c r="Q1198" s="1436"/>
      <c r="R1198" s="1436"/>
      <c r="S1198" s="1436"/>
      <c r="T1198" s="1436"/>
      <c r="U1198" s="1436"/>
      <c r="V1198" s="1436"/>
      <c r="W1198" s="1436"/>
      <c r="X1198" s="1436"/>
      <c r="Y1198" s="1436"/>
      <c r="Z1198" s="1436"/>
      <c r="AA1198" s="1436"/>
      <c r="AB1198" s="1436"/>
      <c r="AC1198" s="1436"/>
      <c r="AD1198" s="1436"/>
      <c r="AE1198" s="1436"/>
      <c r="AF1198" s="1436"/>
    </row>
    <row r="1199" spans="1:32">
      <c r="A1199" s="1436"/>
      <c r="B1199" s="1436"/>
      <c r="C1199" s="1436"/>
      <c r="D1199" s="1436"/>
      <c r="E1199" s="1436"/>
      <c r="F1199" s="1436"/>
      <c r="G1199" s="1436"/>
      <c r="H1199" s="1436"/>
      <c r="I1199" s="1436"/>
      <c r="J1199" s="1436"/>
      <c r="K1199" s="1436"/>
      <c r="L1199" s="1436"/>
      <c r="M1199" s="1436"/>
      <c r="N1199" s="1436"/>
      <c r="O1199" s="1436"/>
      <c r="P1199" s="1436"/>
      <c r="Q1199" s="1436"/>
      <c r="R1199" s="1436"/>
      <c r="S1199" s="1436"/>
      <c r="T1199" s="1436"/>
      <c r="U1199" s="1436"/>
      <c r="V1199" s="1436"/>
      <c r="W1199" s="1436"/>
      <c r="X1199" s="1436"/>
      <c r="Y1199" s="1436"/>
      <c r="Z1199" s="1436"/>
      <c r="AA1199" s="1436"/>
      <c r="AB1199" s="1436"/>
      <c r="AC1199" s="1436"/>
      <c r="AD1199" s="1436"/>
      <c r="AE1199" s="1436"/>
      <c r="AF1199" s="1436"/>
    </row>
    <row r="1200" spans="1:32">
      <c r="A1200" s="1436"/>
      <c r="B1200" s="1436"/>
      <c r="C1200" s="1436"/>
      <c r="D1200" s="1436"/>
      <c r="E1200" s="1436"/>
      <c r="F1200" s="1436"/>
      <c r="G1200" s="1436"/>
      <c r="H1200" s="1436"/>
      <c r="I1200" s="1436"/>
      <c r="J1200" s="1436"/>
      <c r="K1200" s="1436"/>
      <c r="L1200" s="1436"/>
      <c r="M1200" s="1436"/>
      <c r="N1200" s="1436"/>
      <c r="O1200" s="1436"/>
      <c r="P1200" s="1436"/>
      <c r="Q1200" s="1436"/>
      <c r="R1200" s="1436"/>
      <c r="S1200" s="1436"/>
      <c r="T1200" s="1436"/>
      <c r="U1200" s="1436"/>
      <c r="V1200" s="1436"/>
      <c r="W1200" s="1436"/>
      <c r="X1200" s="1436"/>
      <c r="Y1200" s="1436"/>
      <c r="Z1200" s="1436"/>
      <c r="AA1200" s="1436"/>
      <c r="AB1200" s="1436"/>
      <c r="AC1200" s="1436"/>
      <c r="AD1200" s="1436"/>
      <c r="AE1200" s="1436"/>
      <c r="AF1200" s="1436"/>
    </row>
    <row r="1201" spans="1:32">
      <c r="A1201" s="1436"/>
      <c r="B1201" s="1436"/>
      <c r="C1201" s="1436"/>
      <c r="D1201" s="1436"/>
      <c r="E1201" s="1436"/>
      <c r="F1201" s="1436"/>
      <c r="G1201" s="1436"/>
      <c r="H1201" s="1436"/>
      <c r="I1201" s="1436"/>
      <c r="J1201" s="1436"/>
      <c r="K1201" s="1436"/>
      <c r="L1201" s="1436"/>
      <c r="M1201" s="1436"/>
      <c r="N1201" s="1436"/>
      <c r="O1201" s="1436"/>
      <c r="P1201" s="1436"/>
      <c r="Q1201" s="1436"/>
      <c r="R1201" s="1436"/>
      <c r="S1201" s="1436"/>
      <c r="T1201" s="1436"/>
      <c r="U1201" s="1436"/>
      <c r="V1201" s="1436"/>
      <c r="W1201" s="1436"/>
      <c r="X1201" s="1436"/>
      <c r="Y1201" s="1436"/>
      <c r="Z1201" s="1436"/>
      <c r="AA1201" s="1436"/>
      <c r="AB1201" s="1436"/>
      <c r="AC1201" s="1436"/>
      <c r="AD1201" s="1436"/>
      <c r="AE1201" s="1436"/>
      <c r="AF1201" s="1436"/>
    </row>
    <row r="1202" spans="1:32">
      <c r="A1202" s="1436"/>
      <c r="B1202" s="1436"/>
      <c r="C1202" s="1436"/>
      <c r="D1202" s="1436"/>
      <c r="E1202" s="1436"/>
      <c r="F1202" s="1436"/>
      <c r="G1202" s="1436"/>
      <c r="H1202" s="1436"/>
      <c r="I1202" s="1436"/>
      <c r="J1202" s="1436"/>
      <c r="K1202" s="1436"/>
      <c r="L1202" s="1436"/>
      <c r="M1202" s="1436"/>
      <c r="N1202" s="1436"/>
      <c r="O1202" s="1436"/>
      <c r="P1202" s="1436"/>
      <c r="Q1202" s="1436"/>
      <c r="R1202" s="1436"/>
      <c r="S1202" s="1436"/>
      <c r="T1202" s="1436"/>
      <c r="U1202" s="1436"/>
      <c r="V1202" s="1436"/>
      <c r="W1202" s="1436"/>
      <c r="X1202" s="1436"/>
      <c r="Y1202" s="1436"/>
      <c r="Z1202" s="1436"/>
      <c r="AA1202" s="1436"/>
      <c r="AB1202" s="1436"/>
      <c r="AC1202" s="1436"/>
      <c r="AD1202" s="1436"/>
      <c r="AE1202" s="1436"/>
      <c r="AF1202" s="1436"/>
    </row>
    <row r="1203" spans="1:32">
      <c r="A1203" s="1436"/>
      <c r="B1203" s="1436"/>
      <c r="C1203" s="1436"/>
      <c r="D1203" s="1436"/>
      <c r="E1203" s="1436"/>
      <c r="F1203" s="1436"/>
      <c r="G1203" s="1436"/>
      <c r="H1203" s="1436"/>
      <c r="I1203" s="1436"/>
      <c r="J1203" s="1436"/>
      <c r="K1203" s="1436"/>
      <c r="L1203" s="1436"/>
      <c r="M1203" s="1436"/>
      <c r="N1203" s="1436"/>
      <c r="O1203" s="1436"/>
      <c r="P1203" s="1436"/>
      <c r="Q1203" s="1436"/>
      <c r="R1203" s="1436"/>
      <c r="S1203" s="1436"/>
      <c r="T1203" s="1436"/>
      <c r="U1203" s="1436"/>
      <c r="V1203" s="1436"/>
      <c r="W1203" s="1436"/>
      <c r="X1203" s="1436"/>
      <c r="Y1203" s="1436"/>
      <c r="Z1203" s="1436"/>
      <c r="AA1203" s="1436"/>
      <c r="AB1203" s="1436"/>
      <c r="AC1203" s="1436"/>
      <c r="AD1203" s="1436"/>
      <c r="AE1203" s="1436"/>
      <c r="AF1203" s="1436"/>
    </row>
    <row r="1204" spans="1:32">
      <c r="A1204" s="1436"/>
      <c r="B1204" s="1436"/>
      <c r="C1204" s="1436"/>
      <c r="D1204" s="1436"/>
      <c r="E1204" s="1436"/>
      <c r="F1204" s="1436"/>
      <c r="G1204" s="1436"/>
      <c r="H1204" s="1436"/>
      <c r="I1204" s="1436"/>
      <c r="J1204" s="1436"/>
      <c r="K1204" s="1436"/>
      <c r="L1204" s="1436"/>
      <c r="M1204" s="1436"/>
      <c r="N1204" s="1436"/>
      <c r="O1204" s="1436"/>
      <c r="P1204" s="1436"/>
      <c r="Q1204" s="1436"/>
      <c r="R1204" s="1436"/>
      <c r="S1204" s="1436"/>
      <c r="T1204" s="1436"/>
      <c r="U1204" s="1436"/>
      <c r="V1204" s="1436"/>
      <c r="W1204" s="1436"/>
      <c r="X1204" s="1436"/>
      <c r="Y1204" s="1436"/>
      <c r="Z1204" s="1436"/>
      <c r="AA1204" s="1436"/>
      <c r="AB1204" s="1436"/>
      <c r="AC1204" s="1436"/>
      <c r="AD1204" s="1436"/>
      <c r="AE1204" s="1436"/>
      <c r="AF1204" s="1436"/>
    </row>
    <row r="1205" spans="1:32">
      <c r="A1205" s="1436"/>
      <c r="B1205" s="1436"/>
      <c r="C1205" s="1436"/>
      <c r="D1205" s="1436"/>
      <c r="E1205" s="1436"/>
      <c r="F1205" s="1436"/>
      <c r="G1205" s="1436"/>
      <c r="H1205" s="1436"/>
      <c r="I1205" s="1436"/>
      <c r="J1205" s="1436"/>
      <c r="K1205" s="1436"/>
      <c r="L1205" s="1436"/>
      <c r="M1205" s="1436"/>
      <c r="N1205" s="1436"/>
      <c r="O1205" s="1436"/>
      <c r="P1205" s="1436"/>
      <c r="Q1205" s="1436"/>
      <c r="R1205" s="1436"/>
      <c r="S1205" s="1436"/>
      <c r="T1205" s="1436"/>
      <c r="U1205" s="1436"/>
      <c r="V1205" s="1436"/>
      <c r="W1205" s="1436"/>
      <c r="X1205" s="1436"/>
      <c r="Y1205" s="1436"/>
      <c r="Z1205" s="1436"/>
      <c r="AA1205" s="1436"/>
      <c r="AB1205" s="1436"/>
      <c r="AC1205" s="1436"/>
      <c r="AD1205" s="1436"/>
      <c r="AE1205" s="1436"/>
      <c r="AF1205" s="1436"/>
    </row>
    <row r="1206" spans="1:32">
      <c r="A1206" s="1436"/>
      <c r="B1206" s="1436"/>
      <c r="C1206" s="1436"/>
      <c r="D1206" s="1436"/>
      <c r="E1206" s="1436"/>
      <c r="F1206" s="1436"/>
      <c r="G1206" s="1436"/>
      <c r="H1206" s="1436"/>
      <c r="I1206" s="1436"/>
      <c r="J1206" s="1436"/>
      <c r="K1206" s="1436"/>
      <c r="L1206" s="1436"/>
      <c r="M1206" s="1436"/>
      <c r="N1206" s="1436"/>
      <c r="O1206" s="1436"/>
      <c r="P1206" s="1436"/>
      <c r="Q1206" s="1436"/>
      <c r="R1206" s="1436"/>
      <c r="S1206" s="1436"/>
      <c r="T1206" s="1436"/>
      <c r="U1206" s="1436"/>
      <c r="V1206" s="1436"/>
      <c r="W1206" s="1436"/>
      <c r="X1206" s="1436"/>
      <c r="Y1206" s="1436"/>
      <c r="Z1206" s="1436"/>
      <c r="AA1206" s="1436"/>
      <c r="AB1206" s="1436"/>
      <c r="AC1206" s="1436"/>
      <c r="AD1206" s="1436"/>
      <c r="AE1206" s="1436"/>
      <c r="AF1206" s="1436"/>
    </row>
    <row r="1207" spans="1:32">
      <c r="A1207" s="1436"/>
      <c r="B1207" s="1436"/>
      <c r="C1207" s="1436"/>
      <c r="D1207" s="1436"/>
      <c r="E1207" s="1436"/>
      <c r="F1207" s="1436"/>
      <c r="G1207" s="1436"/>
      <c r="H1207" s="1436"/>
      <c r="I1207" s="1436"/>
      <c r="J1207" s="1436"/>
      <c r="K1207" s="1436"/>
      <c r="L1207" s="1436"/>
      <c r="M1207" s="1436"/>
      <c r="N1207" s="1436"/>
      <c r="O1207" s="1436"/>
      <c r="P1207" s="1436"/>
      <c r="Q1207" s="1436"/>
      <c r="R1207" s="1436"/>
      <c r="S1207" s="1436"/>
      <c r="T1207" s="1436"/>
      <c r="U1207" s="1436"/>
      <c r="V1207" s="1436"/>
      <c r="W1207" s="1436"/>
      <c r="X1207" s="1436"/>
      <c r="Y1207" s="1436"/>
      <c r="Z1207" s="1436"/>
      <c r="AA1207" s="1436"/>
      <c r="AB1207" s="1436"/>
      <c r="AC1207" s="1436"/>
      <c r="AD1207" s="1436"/>
      <c r="AE1207" s="1436"/>
      <c r="AF1207" s="1436"/>
    </row>
    <row r="1208" spans="1:32">
      <c r="A1208" s="1436"/>
      <c r="B1208" s="1436"/>
      <c r="C1208" s="1436"/>
      <c r="D1208" s="1436"/>
      <c r="E1208" s="1436"/>
      <c r="F1208" s="1436"/>
      <c r="G1208" s="1436"/>
      <c r="H1208" s="1436"/>
      <c r="I1208" s="1436"/>
      <c r="J1208" s="1436"/>
      <c r="K1208" s="1436"/>
      <c r="L1208" s="1436"/>
      <c r="M1208" s="1436"/>
      <c r="N1208" s="1436"/>
      <c r="O1208" s="1436"/>
      <c r="P1208" s="1436"/>
      <c r="Q1208" s="1436"/>
      <c r="R1208" s="1436"/>
      <c r="S1208" s="1436"/>
      <c r="T1208" s="1436"/>
      <c r="U1208" s="1436"/>
      <c r="V1208" s="1436"/>
      <c r="W1208" s="1436"/>
      <c r="X1208" s="1436"/>
      <c r="Y1208" s="1436"/>
      <c r="Z1208" s="1436"/>
      <c r="AA1208" s="1436"/>
      <c r="AB1208" s="1436"/>
      <c r="AC1208" s="1436"/>
      <c r="AD1208" s="1436"/>
      <c r="AE1208" s="1436"/>
      <c r="AF1208" s="1436"/>
    </row>
    <row r="1209" spans="1:32">
      <c r="A1209" s="1436"/>
      <c r="B1209" s="1436"/>
      <c r="C1209" s="1436"/>
      <c r="D1209" s="1436"/>
      <c r="E1209" s="1436"/>
      <c r="F1209" s="1436"/>
      <c r="G1209" s="1436"/>
      <c r="H1209" s="1436"/>
      <c r="I1209" s="1436"/>
      <c r="J1209" s="1436"/>
      <c r="K1209" s="1436"/>
      <c r="L1209" s="1436"/>
      <c r="M1209" s="1436"/>
      <c r="N1209" s="1436"/>
      <c r="O1209" s="1436"/>
      <c r="P1209" s="1436"/>
      <c r="Q1209" s="1436"/>
      <c r="R1209" s="1436"/>
      <c r="S1209" s="1436"/>
      <c r="T1209" s="1436"/>
      <c r="U1209" s="1436"/>
      <c r="V1209" s="1436"/>
      <c r="W1209" s="1436"/>
      <c r="X1209" s="1436"/>
      <c r="Y1209" s="1436"/>
      <c r="Z1209" s="1436"/>
      <c r="AA1209" s="1436"/>
      <c r="AB1209" s="1436"/>
      <c r="AC1209" s="1436"/>
      <c r="AD1209" s="1436"/>
      <c r="AE1209" s="1436"/>
      <c r="AF1209" s="1436"/>
    </row>
    <row r="1210" spans="1:32">
      <c r="A1210" s="1436"/>
      <c r="B1210" s="1436"/>
      <c r="C1210" s="1436"/>
      <c r="D1210" s="1436"/>
      <c r="E1210" s="1436"/>
      <c r="F1210" s="1436"/>
      <c r="G1210" s="1436"/>
      <c r="H1210" s="1436"/>
      <c r="I1210" s="1436"/>
      <c r="J1210" s="1436"/>
      <c r="K1210" s="1436"/>
      <c r="L1210" s="1436"/>
      <c r="M1210" s="1436"/>
      <c r="N1210" s="1436"/>
      <c r="O1210" s="1436"/>
      <c r="P1210" s="1436"/>
      <c r="Q1210" s="1436"/>
      <c r="R1210" s="1436"/>
      <c r="S1210" s="1436"/>
      <c r="T1210" s="1436"/>
      <c r="U1210" s="1436"/>
      <c r="V1210" s="1436"/>
      <c r="W1210" s="1436"/>
      <c r="X1210" s="1436"/>
      <c r="Y1210" s="1436"/>
      <c r="Z1210" s="1436"/>
      <c r="AA1210" s="1436"/>
      <c r="AB1210" s="1436"/>
      <c r="AC1210" s="1436"/>
      <c r="AD1210" s="1436"/>
      <c r="AE1210" s="1436"/>
      <c r="AF1210" s="1436"/>
    </row>
    <row r="1211" spans="1:32">
      <c r="A1211" s="1436"/>
      <c r="B1211" s="1436"/>
      <c r="C1211" s="1436"/>
      <c r="D1211" s="1436"/>
      <c r="E1211" s="1436"/>
      <c r="F1211" s="1436"/>
      <c r="G1211" s="1436"/>
      <c r="H1211" s="1436"/>
      <c r="I1211" s="1436"/>
      <c r="J1211" s="1436"/>
      <c r="K1211" s="1436"/>
      <c r="L1211" s="1436"/>
      <c r="M1211" s="1436"/>
      <c r="N1211" s="1436"/>
      <c r="O1211" s="1436"/>
      <c r="P1211" s="1436"/>
      <c r="Q1211" s="1436"/>
      <c r="R1211" s="1436"/>
      <c r="S1211" s="1436"/>
      <c r="T1211" s="1436"/>
      <c r="U1211" s="1436"/>
      <c r="V1211" s="1436"/>
      <c r="W1211" s="1436"/>
      <c r="X1211" s="1436"/>
      <c r="Y1211" s="1436"/>
      <c r="Z1211" s="1436"/>
      <c r="AA1211" s="1436"/>
      <c r="AB1211" s="1436"/>
      <c r="AC1211" s="1436"/>
      <c r="AD1211" s="1436"/>
      <c r="AE1211" s="1436"/>
      <c r="AF1211" s="1436"/>
    </row>
    <row r="1212" spans="1:32">
      <c r="A1212" s="1436"/>
      <c r="B1212" s="1436"/>
      <c r="C1212" s="1436"/>
      <c r="D1212" s="1436"/>
      <c r="E1212" s="1436"/>
      <c r="F1212" s="1436"/>
      <c r="G1212" s="1436"/>
      <c r="H1212" s="1436"/>
      <c r="I1212" s="1436"/>
      <c r="J1212" s="1436"/>
      <c r="K1212" s="1436"/>
      <c r="L1212" s="1436"/>
      <c r="M1212" s="1436"/>
      <c r="N1212" s="1436"/>
      <c r="O1212" s="1436"/>
      <c r="P1212" s="1436"/>
      <c r="Q1212" s="1436"/>
      <c r="R1212" s="1436"/>
      <c r="S1212" s="1436"/>
      <c r="T1212" s="1436"/>
      <c r="U1212" s="1436"/>
      <c r="V1212" s="1436"/>
      <c r="W1212" s="1436"/>
      <c r="X1212" s="1436"/>
      <c r="Y1212" s="1436"/>
      <c r="Z1212" s="1436"/>
      <c r="AA1212" s="1436"/>
      <c r="AB1212" s="1436"/>
      <c r="AC1212" s="1436"/>
      <c r="AD1212" s="1436"/>
      <c r="AE1212" s="1436"/>
      <c r="AF1212" s="1436"/>
    </row>
    <row r="1213" spans="1:32">
      <c r="A1213" s="1436"/>
      <c r="B1213" s="1436"/>
      <c r="C1213" s="1436"/>
      <c r="D1213" s="1436"/>
      <c r="E1213" s="1436"/>
      <c r="F1213" s="1436"/>
      <c r="G1213" s="1436"/>
      <c r="H1213" s="1436"/>
      <c r="I1213" s="1436"/>
      <c r="J1213" s="1436"/>
      <c r="K1213" s="1436"/>
      <c r="L1213" s="1436"/>
      <c r="M1213" s="1436"/>
      <c r="N1213" s="1436"/>
      <c r="O1213" s="1436"/>
      <c r="P1213" s="1436"/>
      <c r="Q1213" s="1436"/>
      <c r="R1213" s="1436"/>
      <c r="S1213" s="1436"/>
      <c r="T1213" s="1436"/>
      <c r="U1213" s="1436"/>
      <c r="V1213" s="1436"/>
      <c r="W1213" s="1436"/>
      <c r="X1213" s="1436"/>
      <c r="Y1213" s="1436"/>
      <c r="Z1213" s="1436"/>
      <c r="AA1213" s="1436"/>
      <c r="AB1213" s="1436"/>
      <c r="AC1213" s="1436"/>
      <c r="AD1213" s="1436"/>
      <c r="AE1213" s="1436"/>
      <c r="AF1213" s="1436"/>
    </row>
    <row r="1214" spans="1:32">
      <c r="A1214" s="1436"/>
      <c r="B1214" s="1436"/>
      <c r="C1214" s="1436"/>
      <c r="D1214" s="1436"/>
      <c r="E1214" s="1436"/>
      <c r="F1214" s="1436"/>
      <c r="G1214" s="1436"/>
      <c r="H1214" s="1436"/>
      <c r="I1214" s="1436"/>
      <c r="J1214" s="1436"/>
      <c r="K1214" s="1436"/>
      <c r="L1214" s="1436"/>
      <c r="M1214" s="1436"/>
      <c r="N1214" s="1436"/>
      <c r="O1214" s="1436"/>
      <c r="P1214" s="1436"/>
      <c r="Q1214" s="1436"/>
      <c r="R1214" s="1436"/>
      <c r="S1214" s="1436"/>
      <c r="T1214" s="1436"/>
      <c r="U1214" s="1436"/>
      <c r="V1214" s="1436"/>
      <c r="W1214" s="1436"/>
      <c r="X1214" s="1436"/>
      <c r="Y1214" s="1436"/>
      <c r="Z1214" s="1436"/>
      <c r="AA1214" s="1436"/>
      <c r="AB1214" s="1436"/>
      <c r="AC1214" s="1436"/>
      <c r="AD1214" s="1436"/>
      <c r="AE1214" s="1436"/>
      <c r="AF1214" s="1436"/>
    </row>
    <row r="1215" spans="1:32">
      <c r="A1215" s="1436"/>
      <c r="B1215" s="1436"/>
      <c r="C1215" s="1436"/>
      <c r="D1215" s="1436"/>
      <c r="E1215" s="1436"/>
      <c r="F1215" s="1436"/>
      <c r="G1215" s="1436"/>
      <c r="H1215" s="1436"/>
      <c r="I1215" s="1436"/>
      <c r="J1215" s="1436"/>
      <c r="K1215" s="1436"/>
      <c r="L1215" s="1436"/>
      <c r="M1215" s="1436"/>
      <c r="N1215" s="1436"/>
      <c r="O1215" s="1436"/>
      <c r="P1215" s="1436"/>
      <c r="Q1215" s="1436"/>
      <c r="R1215" s="1436"/>
      <c r="S1215" s="1436"/>
      <c r="T1215" s="1436"/>
      <c r="U1215" s="1436"/>
      <c r="V1215" s="1436"/>
      <c r="W1215" s="1436"/>
      <c r="X1215" s="1436"/>
      <c r="Y1215" s="1436"/>
      <c r="Z1215" s="1436"/>
      <c r="AA1215" s="1436"/>
      <c r="AB1215" s="1436"/>
      <c r="AC1215" s="1436"/>
      <c r="AD1215" s="1436"/>
      <c r="AE1215" s="1436"/>
      <c r="AF1215" s="1436"/>
    </row>
    <row r="1216" spans="1:32">
      <c r="A1216" s="1436"/>
      <c r="B1216" s="1436"/>
      <c r="C1216" s="1436"/>
      <c r="D1216" s="1436"/>
      <c r="E1216" s="1436"/>
      <c r="F1216" s="1436"/>
      <c r="G1216" s="1436"/>
      <c r="H1216" s="1436"/>
      <c r="I1216" s="1436"/>
      <c r="J1216" s="1436"/>
      <c r="K1216" s="1436"/>
      <c r="L1216" s="1436"/>
      <c r="M1216" s="1436"/>
      <c r="N1216" s="1436"/>
      <c r="O1216" s="1436"/>
      <c r="P1216" s="1436"/>
      <c r="Q1216" s="1436"/>
      <c r="R1216" s="1436"/>
      <c r="S1216" s="1436"/>
      <c r="T1216" s="1436"/>
      <c r="U1216" s="1436"/>
      <c r="V1216" s="1436"/>
      <c r="W1216" s="1436"/>
      <c r="X1216" s="1436"/>
      <c r="Y1216" s="1436"/>
      <c r="Z1216" s="1436"/>
      <c r="AA1216" s="1436"/>
      <c r="AB1216" s="1436"/>
      <c r="AC1216" s="1436"/>
      <c r="AD1216" s="1436"/>
      <c r="AE1216" s="1436"/>
      <c r="AF1216" s="1436"/>
    </row>
    <row r="1217" spans="1:32">
      <c r="A1217" s="1436"/>
      <c r="B1217" s="1436"/>
      <c r="C1217" s="1436"/>
      <c r="D1217" s="1436"/>
      <c r="E1217" s="1436"/>
      <c r="F1217" s="1436"/>
      <c r="G1217" s="1436"/>
      <c r="H1217" s="1436"/>
      <c r="I1217" s="1436"/>
      <c r="J1217" s="1436"/>
      <c r="K1217" s="1436"/>
      <c r="L1217" s="1436"/>
      <c r="M1217" s="1436"/>
      <c r="N1217" s="1436"/>
      <c r="O1217" s="1436"/>
      <c r="P1217" s="1436"/>
      <c r="Q1217" s="1436"/>
      <c r="R1217" s="1436"/>
      <c r="S1217" s="1436"/>
      <c r="T1217" s="1436"/>
      <c r="U1217" s="1436"/>
      <c r="V1217" s="1436"/>
      <c r="W1217" s="1436"/>
      <c r="X1217" s="1436"/>
      <c r="Y1217" s="1436"/>
      <c r="Z1217" s="1436"/>
      <c r="AA1217" s="1436"/>
      <c r="AB1217" s="1436"/>
      <c r="AC1217" s="1436"/>
      <c r="AD1217" s="1436"/>
      <c r="AE1217" s="1436"/>
      <c r="AF1217" s="1436"/>
    </row>
    <row r="1218" spans="1:32">
      <c r="A1218" s="1436"/>
      <c r="B1218" s="1436"/>
      <c r="C1218" s="1436"/>
      <c r="D1218" s="1436"/>
      <c r="E1218" s="1436"/>
      <c r="F1218" s="1436"/>
      <c r="G1218" s="1436"/>
      <c r="H1218" s="1436"/>
      <c r="I1218" s="1436"/>
      <c r="J1218" s="1436"/>
      <c r="K1218" s="1436"/>
      <c r="L1218" s="1436"/>
      <c r="M1218" s="1436"/>
      <c r="N1218" s="1436"/>
      <c r="O1218" s="1436"/>
      <c r="P1218" s="1436"/>
      <c r="Q1218" s="1436"/>
      <c r="R1218" s="1436"/>
      <c r="S1218" s="1436"/>
      <c r="T1218" s="1436"/>
      <c r="U1218" s="1436"/>
      <c r="V1218" s="1436"/>
      <c r="W1218" s="1436"/>
      <c r="X1218" s="1436"/>
      <c r="Y1218" s="1436"/>
      <c r="Z1218" s="1436"/>
      <c r="AA1218" s="1436"/>
      <c r="AB1218" s="1436"/>
      <c r="AC1218" s="1436"/>
      <c r="AD1218" s="1436"/>
      <c r="AE1218" s="1436"/>
      <c r="AF1218" s="1436"/>
    </row>
    <row r="1219" spans="1:32">
      <c r="A1219" s="1436"/>
      <c r="B1219" s="1436"/>
      <c r="C1219" s="1436"/>
      <c r="D1219" s="1436"/>
      <c r="E1219" s="1436"/>
      <c r="F1219" s="1436"/>
      <c r="G1219" s="1436"/>
      <c r="H1219" s="1436"/>
      <c r="I1219" s="1436"/>
      <c r="J1219" s="1436"/>
      <c r="K1219" s="1436"/>
      <c r="L1219" s="1436"/>
      <c r="M1219" s="1436"/>
      <c r="N1219" s="1436"/>
      <c r="O1219" s="1436"/>
      <c r="P1219" s="1436"/>
      <c r="Q1219" s="1436"/>
      <c r="R1219" s="1436"/>
      <c r="S1219" s="1436"/>
      <c r="T1219" s="1436"/>
      <c r="U1219" s="1436"/>
      <c r="V1219" s="1436"/>
      <c r="W1219" s="1436"/>
      <c r="X1219" s="1436"/>
      <c r="Y1219" s="1436"/>
      <c r="Z1219" s="1436"/>
      <c r="AA1219" s="1436"/>
      <c r="AB1219" s="1436"/>
      <c r="AC1219" s="1436"/>
      <c r="AD1219" s="1436"/>
      <c r="AE1219" s="1436"/>
      <c r="AF1219" s="1436"/>
    </row>
    <row r="1220" spans="1:32">
      <c r="A1220" s="1436"/>
      <c r="B1220" s="1436"/>
      <c r="C1220" s="1436"/>
      <c r="D1220" s="1436"/>
      <c r="E1220" s="1436"/>
      <c r="F1220" s="1436"/>
      <c r="G1220" s="1436"/>
      <c r="H1220" s="1436"/>
      <c r="I1220" s="1436"/>
      <c r="J1220" s="1436"/>
      <c r="K1220" s="1436"/>
      <c r="L1220" s="1436"/>
      <c r="M1220" s="1436"/>
      <c r="N1220" s="1436"/>
      <c r="O1220" s="1436"/>
      <c r="P1220" s="1436"/>
      <c r="Q1220" s="1436"/>
      <c r="R1220" s="1436"/>
      <c r="S1220" s="1436"/>
      <c r="T1220" s="1436"/>
      <c r="U1220" s="1436"/>
      <c r="V1220" s="1436"/>
      <c r="W1220" s="1436"/>
      <c r="X1220" s="1436"/>
      <c r="Y1220" s="1436"/>
      <c r="Z1220" s="1436"/>
      <c r="AA1220" s="1436"/>
      <c r="AB1220" s="1436"/>
      <c r="AC1220" s="1436"/>
      <c r="AD1220" s="1436"/>
      <c r="AE1220" s="1436"/>
      <c r="AF1220" s="1436"/>
    </row>
    <row r="1221" spans="1:32">
      <c r="A1221" s="1436"/>
      <c r="B1221" s="1436"/>
      <c r="C1221" s="1436"/>
      <c r="D1221" s="1436"/>
      <c r="E1221" s="1436"/>
      <c r="F1221" s="1436"/>
      <c r="G1221" s="1436"/>
      <c r="H1221" s="1436"/>
      <c r="I1221" s="1436"/>
      <c r="J1221" s="1436"/>
      <c r="K1221" s="1436"/>
      <c r="L1221" s="1436"/>
      <c r="M1221" s="1436"/>
      <c r="N1221" s="1436"/>
      <c r="O1221" s="1436"/>
      <c r="P1221" s="1436"/>
      <c r="Q1221" s="1436"/>
      <c r="R1221" s="1436"/>
      <c r="S1221" s="1436"/>
      <c r="T1221" s="1436"/>
      <c r="U1221" s="1436"/>
      <c r="V1221" s="1436"/>
      <c r="W1221" s="1436"/>
      <c r="X1221" s="1436"/>
      <c r="Y1221" s="1436"/>
      <c r="Z1221" s="1436"/>
      <c r="AA1221" s="1436"/>
      <c r="AB1221" s="1436"/>
      <c r="AC1221" s="1436"/>
      <c r="AD1221" s="1436"/>
      <c r="AE1221" s="1436"/>
      <c r="AF1221" s="1436"/>
    </row>
    <row r="1222" spans="1:32">
      <c r="A1222" s="1436"/>
      <c r="B1222" s="1436"/>
      <c r="C1222" s="1436"/>
      <c r="D1222" s="1436"/>
      <c r="E1222" s="1436"/>
      <c r="F1222" s="1436"/>
      <c r="G1222" s="1436"/>
      <c r="H1222" s="1436"/>
      <c r="I1222" s="1436"/>
      <c r="J1222" s="1436"/>
      <c r="K1222" s="1436"/>
      <c r="L1222" s="1436"/>
      <c r="M1222" s="1436"/>
      <c r="N1222" s="1436"/>
      <c r="O1222" s="1436"/>
      <c r="P1222" s="1436"/>
      <c r="Q1222" s="1436"/>
      <c r="R1222" s="1436"/>
      <c r="S1222" s="1436"/>
      <c r="T1222" s="1436"/>
      <c r="U1222" s="1436"/>
      <c r="V1222" s="1436"/>
      <c r="W1222" s="1436"/>
      <c r="X1222" s="1436"/>
      <c r="Y1222" s="1436"/>
      <c r="Z1222" s="1436"/>
      <c r="AA1222" s="1436"/>
      <c r="AB1222" s="1436"/>
      <c r="AC1222" s="1436"/>
      <c r="AD1222" s="1436"/>
      <c r="AE1222" s="1436"/>
      <c r="AF1222" s="1436"/>
    </row>
    <row r="1223" spans="1:32">
      <c r="A1223" s="1436"/>
      <c r="B1223" s="1436"/>
      <c r="C1223" s="1436"/>
      <c r="D1223" s="1436"/>
      <c r="E1223" s="1436"/>
      <c r="F1223" s="1436"/>
      <c r="G1223" s="1436"/>
      <c r="H1223" s="1436"/>
      <c r="I1223" s="1436"/>
      <c r="J1223" s="1436"/>
      <c r="K1223" s="1436"/>
      <c r="L1223" s="1436"/>
      <c r="M1223" s="1436"/>
      <c r="N1223" s="1436"/>
      <c r="O1223" s="1436"/>
      <c r="P1223" s="1436"/>
      <c r="Q1223" s="1436"/>
      <c r="R1223" s="1436"/>
      <c r="S1223" s="1436"/>
      <c r="T1223" s="1436"/>
      <c r="U1223" s="1436"/>
      <c r="V1223" s="1436"/>
      <c r="W1223" s="1436"/>
      <c r="X1223" s="1436"/>
      <c r="Y1223" s="1436"/>
      <c r="Z1223" s="1436"/>
      <c r="AA1223" s="1436"/>
      <c r="AB1223" s="1436"/>
      <c r="AC1223" s="1436"/>
      <c r="AD1223" s="1436"/>
      <c r="AE1223" s="1436"/>
      <c r="AF1223" s="1436"/>
    </row>
    <row r="1224" spans="1:32">
      <c r="A1224" s="1436"/>
      <c r="B1224" s="1436"/>
      <c r="C1224" s="1436"/>
      <c r="D1224" s="1436"/>
      <c r="E1224" s="1436"/>
      <c r="F1224" s="1436"/>
      <c r="G1224" s="1436"/>
      <c r="H1224" s="1436"/>
      <c r="I1224" s="1436"/>
      <c r="J1224" s="1436"/>
      <c r="K1224" s="1436"/>
      <c r="L1224" s="1436"/>
      <c r="M1224" s="1436"/>
      <c r="N1224" s="1436"/>
      <c r="O1224" s="1436"/>
      <c r="P1224" s="1436"/>
      <c r="Q1224" s="1436"/>
      <c r="R1224" s="1436"/>
      <c r="S1224" s="1436"/>
      <c r="T1224" s="1436"/>
      <c r="U1224" s="1436"/>
      <c r="V1224" s="1436"/>
      <c r="W1224" s="1436"/>
      <c r="X1224" s="1436"/>
      <c r="Y1224" s="1436"/>
      <c r="Z1224" s="1436"/>
      <c r="AA1224" s="1436"/>
      <c r="AB1224" s="1436"/>
      <c r="AC1224" s="1436"/>
      <c r="AD1224" s="1436"/>
      <c r="AE1224" s="1436"/>
      <c r="AF1224" s="1436"/>
    </row>
    <row r="1225" spans="1:32">
      <c r="A1225" s="1436"/>
      <c r="B1225" s="1436"/>
      <c r="C1225" s="1436"/>
      <c r="D1225" s="1436"/>
      <c r="E1225" s="1436"/>
      <c r="F1225" s="1436"/>
      <c r="G1225" s="1436"/>
      <c r="H1225" s="1436"/>
      <c r="I1225" s="1436"/>
      <c r="J1225" s="1436"/>
      <c r="K1225" s="1436"/>
      <c r="L1225" s="1436"/>
      <c r="M1225" s="1436"/>
      <c r="N1225" s="1436"/>
      <c r="O1225" s="1436"/>
      <c r="P1225" s="1436"/>
      <c r="Q1225" s="1436"/>
      <c r="R1225" s="1436"/>
      <c r="S1225" s="1436"/>
      <c r="T1225" s="1436"/>
      <c r="U1225" s="1436"/>
      <c r="V1225" s="1436"/>
      <c r="W1225" s="1436"/>
      <c r="X1225" s="1436"/>
      <c r="Y1225" s="1436"/>
      <c r="Z1225" s="1436"/>
      <c r="AA1225" s="1436"/>
      <c r="AB1225" s="1436"/>
      <c r="AC1225" s="1436"/>
      <c r="AD1225" s="1436"/>
      <c r="AE1225" s="1436"/>
      <c r="AF1225" s="1436"/>
    </row>
    <row r="1226" spans="1:32">
      <c r="A1226" s="1436"/>
      <c r="B1226" s="1436"/>
      <c r="C1226" s="1436"/>
      <c r="D1226" s="1436"/>
      <c r="E1226" s="1436"/>
      <c r="F1226" s="1436"/>
      <c r="G1226" s="1436"/>
      <c r="H1226" s="1436"/>
      <c r="I1226" s="1436"/>
      <c r="J1226" s="1436"/>
      <c r="K1226" s="1436"/>
      <c r="L1226" s="1436"/>
      <c r="M1226" s="1436"/>
      <c r="N1226" s="1436"/>
      <c r="O1226" s="1436"/>
      <c r="P1226" s="1436"/>
      <c r="Q1226" s="1436"/>
      <c r="R1226" s="1436"/>
      <c r="S1226" s="1436"/>
      <c r="T1226" s="1436"/>
      <c r="U1226" s="1436"/>
      <c r="V1226" s="1436"/>
      <c r="W1226" s="1436"/>
      <c r="X1226" s="1436"/>
      <c r="Y1226" s="1436"/>
      <c r="Z1226" s="1436"/>
      <c r="AA1226" s="1436"/>
      <c r="AB1226" s="1436"/>
      <c r="AC1226" s="1436"/>
      <c r="AD1226" s="1436"/>
      <c r="AE1226" s="1436"/>
      <c r="AF1226" s="1436"/>
    </row>
    <row r="1227" spans="1:32">
      <c r="A1227" s="1436"/>
      <c r="B1227" s="1436"/>
      <c r="C1227" s="1436"/>
      <c r="D1227" s="1436"/>
      <c r="E1227" s="1436"/>
      <c r="F1227" s="1436"/>
      <c r="G1227" s="1436"/>
      <c r="H1227" s="1436"/>
      <c r="I1227" s="1436"/>
      <c r="J1227" s="1436"/>
      <c r="K1227" s="1436"/>
      <c r="L1227" s="1436"/>
      <c r="M1227" s="1436"/>
      <c r="N1227" s="1436"/>
      <c r="O1227" s="1436"/>
      <c r="P1227" s="1436"/>
      <c r="Q1227" s="1436"/>
      <c r="R1227" s="1436"/>
      <c r="S1227" s="1436"/>
      <c r="T1227" s="1436"/>
      <c r="U1227" s="1436"/>
      <c r="V1227" s="1436"/>
      <c r="W1227" s="1436"/>
      <c r="X1227" s="1436"/>
      <c r="Y1227" s="1436"/>
      <c r="Z1227" s="1436"/>
      <c r="AA1227" s="1436"/>
      <c r="AB1227" s="1436"/>
      <c r="AC1227" s="1436"/>
      <c r="AD1227" s="1436"/>
      <c r="AE1227" s="1436"/>
      <c r="AF1227" s="1436"/>
    </row>
    <row r="1228" spans="1:32">
      <c r="A1228" s="1436"/>
      <c r="B1228" s="1436"/>
      <c r="C1228" s="1436"/>
      <c r="D1228" s="1436"/>
      <c r="E1228" s="1436"/>
      <c r="F1228" s="1436"/>
      <c r="G1228" s="1436"/>
      <c r="H1228" s="1436"/>
      <c r="I1228" s="1436"/>
      <c r="J1228" s="1436"/>
      <c r="K1228" s="1436"/>
      <c r="L1228" s="1436"/>
      <c r="M1228" s="1436"/>
      <c r="N1228" s="1436"/>
      <c r="O1228" s="1436"/>
      <c r="P1228" s="1436"/>
      <c r="Q1228" s="1436"/>
      <c r="R1228" s="1436"/>
      <c r="S1228" s="1436"/>
      <c r="T1228" s="1436"/>
      <c r="U1228" s="1436"/>
      <c r="V1228" s="1436"/>
      <c r="W1228" s="1436"/>
      <c r="X1228" s="1436"/>
      <c r="Y1228" s="1436"/>
      <c r="Z1228" s="1436"/>
      <c r="AA1228" s="1436"/>
      <c r="AB1228" s="1436"/>
      <c r="AC1228" s="1436"/>
      <c r="AD1228" s="1436"/>
      <c r="AE1228" s="1436"/>
      <c r="AF1228" s="1436"/>
    </row>
    <row r="1229" spans="1:32">
      <c r="A1229" s="1436"/>
      <c r="B1229" s="1436"/>
      <c r="C1229" s="1436"/>
      <c r="D1229" s="1436"/>
      <c r="E1229" s="1436"/>
      <c r="F1229" s="1436"/>
      <c r="G1229" s="1436"/>
      <c r="H1229" s="1436"/>
      <c r="I1229" s="1436"/>
      <c r="J1229" s="1436"/>
      <c r="K1229" s="1436"/>
      <c r="L1229" s="1436"/>
      <c r="M1229" s="1436"/>
      <c r="N1229" s="1436"/>
      <c r="O1229" s="1436"/>
      <c r="P1229" s="1436"/>
      <c r="Q1229" s="1436"/>
      <c r="R1229" s="1436"/>
      <c r="S1229" s="1436"/>
      <c r="T1229" s="1436"/>
      <c r="U1229" s="1436"/>
      <c r="V1229" s="1436"/>
      <c r="W1229" s="1436"/>
      <c r="X1229" s="1436"/>
      <c r="Y1229" s="1436"/>
      <c r="Z1229" s="1436"/>
      <c r="AA1229" s="1436"/>
      <c r="AB1229" s="1436"/>
      <c r="AC1229" s="1436"/>
      <c r="AD1229" s="1436"/>
      <c r="AE1229" s="1436"/>
      <c r="AF1229" s="1436"/>
    </row>
    <row r="1230" spans="1:32">
      <c r="A1230" s="1436"/>
      <c r="B1230" s="1436"/>
      <c r="C1230" s="1436"/>
      <c r="D1230" s="1436"/>
      <c r="E1230" s="1436"/>
      <c r="F1230" s="1436"/>
      <c r="G1230" s="1436"/>
      <c r="H1230" s="1436"/>
      <c r="I1230" s="1436"/>
      <c r="J1230" s="1436"/>
      <c r="K1230" s="1436"/>
      <c r="L1230" s="1436"/>
      <c r="M1230" s="1436"/>
      <c r="N1230" s="1436"/>
      <c r="O1230" s="1436"/>
      <c r="P1230" s="1436"/>
      <c r="Q1230" s="1436"/>
      <c r="R1230" s="1436"/>
      <c r="S1230" s="1436"/>
      <c r="T1230" s="1436"/>
      <c r="U1230" s="1436"/>
      <c r="V1230" s="1436"/>
      <c r="W1230" s="1436"/>
      <c r="X1230" s="1436"/>
      <c r="Y1230" s="1436"/>
      <c r="Z1230" s="1436"/>
      <c r="AA1230" s="1436"/>
      <c r="AB1230" s="1436"/>
      <c r="AC1230" s="1436"/>
      <c r="AD1230" s="1436"/>
      <c r="AE1230" s="1436"/>
      <c r="AF1230" s="1436"/>
    </row>
    <row r="1231" spans="1:32">
      <c r="A1231" s="1436"/>
      <c r="B1231" s="1436"/>
      <c r="C1231" s="1436"/>
      <c r="D1231" s="1436"/>
      <c r="E1231" s="1436"/>
      <c r="F1231" s="1436"/>
      <c r="G1231" s="1436"/>
      <c r="H1231" s="1436"/>
      <c r="I1231" s="1436"/>
      <c r="J1231" s="1436"/>
      <c r="K1231" s="1436"/>
      <c r="L1231" s="1436"/>
      <c r="M1231" s="1436"/>
      <c r="N1231" s="1436"/>
      <c r="O1231" s="1436"/>
      <c r="P1231" s="1436"/>
      <c r="Q1231" s="1436"/>
      <c r="R1231" s="1436"/>
      <c r="S1231" s="1436"/>
      <c r="T1231" s="1436"/>
      <c r="U1231" s="1436"/>
      <c r="V1231" s="1436"/>
      <c r="W1231" s="1436"/>
      <c r="X1231" s="1436"/>
      <c r="Y1231" s="1436"/>
      <c r="Z1231" s="1436"/>
      <c r="AA1231" s="1436"/>
      <c r="AB1231" s="1436"/>
      <c r="AC1231" s="1436"/>
      <c r="AD1231" s="1436"/>
      <c r="AE1231" s="1436"/>
      <c r="AF1231" s="1436"/>
    </row>
    <row r="1232" spans="1:32">
      <c r="A1232" s="1436"/>
      <c r="B1232" s="1436"/>
      <c r="C1232" s="1436"/>
      <c r="D1232" s="1436"/>
      <c r="E1232" s="1436"/>
      <c r="F1232" s="1436"/>
      <c r="G1232" s="1436"/>
      <c r="H1232" s="1436"/>
      <c r="I1232" s="1436"/>
      <c r="J1232" s="1436"/>
      <c r="K1232" s="1436"/>
      <c r="L1232" s="1436"/>
      <c r="M1232" s="1436"/>
      <c r="N1232" s="1436"/>
      <c r="O1232" s="1436"/>
      <c r="P1232" s="1436"/>
      <c r="Q1232" s="1436"/>
      <c r="R1232" s="1436"/>
      <c r="S1232" s="1436"/>
      <c r="T1232" s="1436"/>
      <c r="U1232" s="1436"/>
      <c r="V1232" s="1436"/>
      <c r="W1232" s="1436"/>
      <c r="X1232" s="1436"/>
      <c r="Y1232" s="1436"/>
      <c r="Z1232" s="1436"/>
      <c r="AA1232" s="1436"/>
      <c r="AB1232" s="1436"/>
      <c r="AC1232" s="1436"/>
      <c r="AD1232" s="1436"/>
      <c r="AE1232" s="1436"/>
      <c r="AF1232" s="1436"/>
    </row>
    <row r="1233" spans="1:32">
      <c r="A1233" s="1436"/>
      <c r="B1233" s="1436"/>
      <c r="C1233" s="1436"/>
      <c r="D1233" s="1436"/>
      <c r="E1233" s="1436"/>
      <c r="F1233" s="1436"/>
      <c r="G1233" s="1436"/>
      <c r="H1233" s="1436"/>
      <c r="I1233" s="1436"/>
      <c r="J1233" s="1436"/>
      <c r="K1233" s="1436"/>
      <c r="L1233" s="1436"/>
      <c r="M1233" s="1436"/>
      <c r="N1233" s="1436"/>
      <c r="O1233" s="1436"/>
      <c r="P1233" s="1436"/>
      <c r="Q1233" s="1436"/>
      <c r="R1233" s="1436"/>
      <c r="S1233" s="1436"/>
      <c r="T1233" s="1436"/>
      <c r="U1233" s="1436"/>
      <c r="V1233" s="1436"/>
      <c r="W1233" s="1436"/>
      <c r="X1233" s="1436"/>
      <c r="Y1233" s="1436"/>
      <c r="Z1233" s="1436"/>
      <c r="AA1233" s="1436"/>
      <c r="AB1233" s="1436"/>
      <c r="AC1233" s="1436"/>
      <c r="AD1233" s="1436"/>
      <c r="AE1233" s="1436"/>
      <c r="AF1233" s="1436"/>
    </row>
    <row r="1234" spans="1:32">
      <c r="A1234" s="1436"/>
      <c r="B1234" s="1436"/>
      <c r="C1234" s="1436"/>
      <c r="D1234" s="1436"/>
      <c r="E1234" s="1436"/>
      <c r="F1234" s="1436"/>
      <c r="G1234" s="1436"/>
      <c r="H1234" s="1436"/>
      <c r="I1234" s="1436"/>
      <c r="J1234" s="1436"/>
      <c r="K1234" s="1436"/>
      <c r="L1234" s="1436"/>
      <c r="M1234" s="1436"/>
      <c r="N1234" s="1436"/>
      <c r="O1234" s="1436"/>
      <c r="P1234" s="1436"/>
      <c r="Q1234" s="1436"/>
      <c r="R1234" s="1436"/>
      <c r="S1234" s="1436"/>
      <c r="T1234" s="1436"/>
      <c r="U1234" s="1436"/>
      <c r="V1234" s="1436"/>
      <c r="W1234" s="1436"/>
      <c r="X1234" s="1436"/>
      <c r="Y1234" s="1436"/>
      <c r="Z1234" s="1436"/>
      <c r="AA1234" s="1436"/>
      <c r="AB1234" s="1436"/>
      <c r="AC1234" s="1436"/>
      <c r="AD1234" s="1436"/>
      <c r="AE1234" s="1436"/>
      <c r="AF1234" s="1436"/>
    </row>
    <row r="1235" spans="1:32">
      <c r="A1235" s="1436"/>
      <c r="B1235" s="1436"/>
      <c r="C1235" s="1436"/>
      <c r="D1235" s="1436"/>
      <c r="E1235" s="1436"/>
      <c r="F1235" s="1436"/>
      <c r="G1235" s="1436"/>
      <c r="H1235" s="1436"/>
      <c r="I1235" s="1436"/>
      <c r="J1235" s="1436"/>
      <c r="K1235" s="1436"/>
      <c r="L1235" s="1436"/>
      <c r="M1235" s="1436"/>
      <c r="N1235" s="1436"/>
      <c r="O1235" s="1436"/>
      <c r="P1235" s="1436"/>
      <c r="Q1235" s="1436"/>
      <c r="R1235" s="1436"/>
      <c r="S1235" s="1436"/>
      <c r="T1235" s="1436"/>
      <c r="U1235" s="1436"/>
      <c r="V1235" s="1436"/>
      <c r="W1235" s="1436"/>
      <c r="X1235" s="1436"/>
      <c r="Y1235" s="1436"/>
      <c r="Z1235" s="1436"/>
      <c r="AA1235" s="1436"/>
      <c r="AB1235" s="1436"/>
      <c r="AC1235" s="1436"/>
      <c r="AD1235" s="1436"/>
      <c r="AE1235" s="1436"/>
      <c r="AF1235" s="1436"/>
    </row>
    <row r="1236" spans="1:32">
      <c r="A1236" s="1436"/>
      <c r="B1236" s="1436"/>
      <c r="C1236" s="1436"/>
      <c r="D1236" s="1436"/>
      <c r="E1236" s="1436"/>
      <c r="F1236" s="1436"/>
      <c r="G1236" s="1436"/>
      <c r="H1236" s="1436"/>
      <c r="I1236" s="1436"/>
      <c r="J1236" s="1436"/>
      <c r="K1236" s="1436"/>
      <c r="L1236" s="1436"/>
      <c r="M1236" s="1436"/>
      <c r="N1236" s="1436"/>
      <c r="O1236" s="1436"/>
      <c r="P1236" s="1436"/>
      <c r="Q1236" s="1436"/>
      <c r="R1236" s="1436"/>
      <c r="S1236" s="1436"/>
      <c r="T1236" s="1436"/>
      <c r="U1236" s="1436"/>
      <c r="V1236" s="1436"/>
      <c r="W1236" s="1436"/>
      <c r="X1236" s="1436"/>
      <c r="Y1236" s="1436"/>
      <c r="Z1236" s="1436"/>
      <c r="AA1236" s="1436"/>
      <c r="AB1236" s="1436"/>
      <c r="AC1236" s="1436"/>
      <c r="AD1236" s="1436"/>
      <c r="AE1236" s="1436"/>
      <c r="AF1236" s="1436"/>
    </row>
    <row r="1237" spans="1:32">
      <c r="A1237" s="1436"/>
      <c r="B1237" s="1436"/>
      <c r="C1237" s="1436"/>
      <c r="D1237" s="1436"/>
      <c r="E1237" s="1436"/>
      <c r="F1237" s="1436"/>
      <c r="G1237" s="1436"/>
      <c r="H1237" s="1436"/>
      <c r="I1237" s="1436"/>
      <c r="J1237" s="1436"/>
      <c r="K1237" s="1436"/>
      <c r="L1237" s="1436"/>
      <c r="M1237" s="1436"/>
      <c r="N1237" s="1436"/>
      <c r="O1237" s="1436"/>
      <c r="P1237" s="1436"/>
      <c r="Q1237" s="1436"/>
      <c r="R1237" s="1436"/>
      <c r="S1237" s="1436"/>
      <c r="T1237" s="1436"/>
      <c r="U1237" s="1436"/>
      <c r="V1237" s="1436"/>
      <c r="W1237" s="1436"/>
      <c r="X1237" s="1436"/>
      <c r="Y1237" s="1436"/>
      <c r="Z1237" s="1436"/>
      <c r="AA1237" s="1436"/>
      <c r="AB1237" s="1436"/>
      <c r="AC1237" s="1436"/>
      <c r="AD1237" s="1436"/>
      <c r="AE1237" s="1436"/>
      <c r="AF1237" s="1436"/>
    </row>
    <row r="1238" spans="1:32">
      <c r="A1238" s="1436"/>
      <c r="B1238" s="1436"/>
      <c r="C1238" s="1436"/>
      <c r="D1238" s="1436"/>
      <c r="E1238" s="1436"/>
      <c r="F1238" s="1436"/>
      <c r="G1238" s="1436"/>
      <c r="H1238" s="1436"/>
      <c r="I1238" s="1436"/>
      <c r="J1238" s="1436"/>
      <c r="K1238" s="1436"/>
      <c r="L1238" s="1436"/>
      <c r="M1238" s="1436"/>
      <c r="N1238" s="1436"/>
      <c r="O1238" s="1436"/>
      <c r="P1238" s="1436"/>
      <c r="Q1238" s="1436"/>
      <c r="R1238" s="1436"/>
      <c r="S1238" s="1436"/>
      <c r="T1238" s="1436"/>
      <c r="U1238" s="1436"/>
      <c r="V1238" s="1436"/>
      <c r="W1238" s="1436"/>
      <c r="X1238" s="1436"/>
      <c r="Y1238" s="1436"/>
      <c r="Z1238" s="1436"/>
      <c r="AA1238" s="1436"/>
      <c r="AB1238" s="1436"/>
      <c r="AC1238" s="1436"/>
      <c r="AD1238" s="1436"/>
      <c r="AE1238" s="1436"/>
      <c r="AF1238" s="1436"/>
    </row>
    <row r="1239" spans="1:32">
      <c r="A1239" s="1436"/>
      <c r="B1239" s="1436"/>
      <c r="C1239" s="1436"/>
      <c r="D1239" s="1436"/>
      <c r="E1239" s="1436"/>
      <c r="F1239" s="1436"/>
      <c r="G1239" s="1436"/>
      <c r="H1239" s="1436"/>
      <c r="I1239" s="1436"/>
      <c r="J1239" s="1436"/>
      <c r="K1239" s="1436"/>
      <c r="L1239" s="1436"/>
      <c r="M1239" s="1436"/>
      <c r="N1239" s="1436"/>
      <c r="O1239" s="1436"/>
      <c r="P1239" s="1436"/>
      <c r="Q1239" s="1436"/>
      <c r="R1239" s="1436"/>
      <c r="S1239" s="1436"/>
      <c r="T1239" s="1436"/>
      <c r="U1239" s="1436"/>
      <c r="V1239" s="1436"/>
      <c r="W1239" s="1436"/>
      <c r="X1239" s="1436"/>
      <c r="Y1239" s="1436"/>
      <c r="Z1239" s="1436"/>
      <c r="AA1239" s="1436"/>
      <c r="AB1239" s="1436"/>
      <c r="AC1239" s="1436"/>
      <c r="AD1239" s="1436"/>
      <c r="AE1239" s="1436"/>
      <c r="AF1239" s="1436"/>
    </row>
    <row r="1240" spans="1:32">
      <c r="A1240" s="1436"/>
      <c r="B1240" s="1436"/>
      <c r="C1240" s="1436"/>
      <c r="D1240" s="1436"/>
      <c r="E1240" s="1436"/>
      <c r="F1240" s="1436"/>
      <c r="G1240" s="1436"/>
      <c r="H1240" s="1436"/>
      <c r="I1240" s="1436"/>
      <c r="J1240" s="1436"/>
      <c r="K1240" s="1436"/>
      <c r="L1240" s="1436"/>
      <c r="M1240" s="1436"/>
      <c r="N1240" s="1436"/>
      <c r="O1240" s="1436"/>
      <c r="P1240" s="1436"/>
      <c r="Q1240" s="1436"/>
      <c r="R1240" s="1436"/>
      <c r="S1240" s="1436"/>
      <c r="T1240" s="1436"/>
      <c r="U1240" s="1436"/>
      <c r="V1240" s="1436"/>
      <c r="W1240" s="1436"/>
      <c r="X1240" s="1436"/>
      <c r="Y1240" s="1436"/>
      <c r="Z1240" s="1436"/>
      <c r="AA1240" s="1436"/>
      <c r="AB1240" s="1436"/>
      <c r="AC1240" s="1436"/>
      <c r="AD1240" s="1436"/>
      <c r="AE1240" s="1436"/>
      <c r="AF1240" s="1436"/>
    </row>
    <row r="1241" spans="1:32">
      <c r="A1241" s="1436"/>
      <c r="B1241" s="1436"/>
      <c r="C1241" s="1436"/>
      <c r="D1241" s="1436"/>
      <c r="E1241" s="1436"/>
      <c r="F1241" s="1436"/>
      <c r="G1241" s="1436"/>
      <c r="H1241" s="1436"/>
      <c r="I1241" s="1436"/>
      <c r="J1241" s="1436"/>
      <c r="K1241" s="1436"/>
      <c r="L1241" s="1436"/>
      <c r="M1241" s="1436"/>
      <c r="N1241" s="1436"/>
      <c r="O1241" s="1436"/>
      <c r="P1241" s="1436"/>
      <c r="Q1241" s="1436"/>
      <c r="R1241" s="1436"/>
      <c r="S1241" s="1436"/>
      <c r="T1241" s="1436"/>
      <c r="U1241" s="1436"/>
      <c r="V1241" s="1436"/>
      <c r="W1241" s="1436"/>
      <c r="X1241" s="1436"/>
      <c r="Y1241" s="1436"/>
      <c r="Z1241" s="1436"/>
      <c r="AA1241" s="1436"/>
      <c r="AB1241" s="1436"/>
      <c r="AC1241" s="1436"/>
      <c r="AD1241" s="1436"/>
      <c r="AE1241" s="1436"/>
      <c r="AF1241" s="1436"/>
    </row>
    <row r="1242" spans="1:32">
      <c r="A1242" s="1436"/>
      <c r="B1242" s="1436"/>
      <c r="C1242" s="1436"/>
      <c r="D1242" s="1436"/>
      <c r="E1242" s="1436"/>
      <c r="F1242" s="1436"/>
      <c r="G1242" s="1436"/>
      <c r="H1242" s="1436"/>
      <c r="I1242" s="1436"/>
      <c r="J1242" s="1436"/>
      <c r="K1242" s="1436"/>
      <c r="L1242" s="1436"/>
      <c r="M1242" s="1436"/>
      <c r="N1242" s="1436"/>
      <c r="O1242" s="1436"/>
      <c r="P1242" s="1436"/>
      <c r="Q1242" s="1436"/>
      <c r="R1242" s="1436"/>
      <c r="S1242" s="1436"/>
      <c r="T1242" s="1436"/>
      <c r="U1242" s="1436"/>
      <c r="V1242" s="1436"/>
      <c r="W1242" s="1436"/>
      <c r="X1242" s="1436"/>
      <c r="Y1242" s="1436"/>
      <c r="Z1242" s="1436"/>
      <c r="AA1242" s="1436"/>
      <c r="AB1242" s="1436"/>
      <c r="AC1242" s="1436"/>
      <c r="AD1242" s="1436"/>
      <c r="AE1242" s="1436"/>
      <c r="AF1242" s="1436"/>
    </row>
    <row r="1243" spans="1:32">
      <c r="A1243" s="1436"/>
      <c r="B1243" s="1436"/>
      <c r="C1243" s="1436"/>
      <c r="D1243" s="1436"/>
      <c r="E1243" s="1436"/>
      <c r="F1243" s="1436"/>
      <c r="G1243" s="1436"/>
      <c r="H1243" s="1436"/>
      <c r="I1243" s="1436"/>
      <c r="J1243" s="1436"/>
      <c r="K1243" s="1436"/>
      <c r="L1243" s="1436"/>
      <c r="M1243" s="1436"/>
      <c r="N1243" s="1436"/>
      <c r="O1243" s="1436"/>
      <c r="P1243" s="1436"/>
      <c r="Q1243" s="1436"/>
      <c r="R1243" s="1436"/>
      <c r="S1243" s="1436"/>
      <c r="T1243" s="1436"/>
      <c r="U1243" s="1436"/>
      <c r="V1243" s="1436"/>
      <c r="W1243" s="1436"/>
      <c r="X1243" s="1436"/>
      <c r="Y1243" s="1436"/>
      <c r="Z1243" s="1436"/>
      <c r="AA1243" s="1436"/>
      <c r="AB1243" s="1436"/>
      <c r="AC1243" s="1436"/>
      <c r="AD1243" s="1436"/>
      <c r="AE1243" s="1436"/>
      <c r="AF1243" s="1436"/>
    </row>
    <row r="1244" spans="1:32">
      <c r="A1244" s="1436"/>
      <c r="B1244" s="1436"/>
      <c r="C1244" s="1436"/>
      <c r="D1244" s="1436"/>
      <c r="E1244" s="1436"/>
      <c r="F1244" s="1436"/>
      <c r="G1244" s="1436"/>
      <c r="H1244" s="1436"/>
      <c r="I1244" s="1436"/>
      <c r="J1244" s="1436"/>
      <c r="K1244" s="1436"/>
      <c r="L1244" s="1436"/>
      <c r="M1244" s="1436"/>
      <c r="N1244" s="1436"/>
      <c r="O1244" s="1436"/>
      <c r="P1244" s="1436"/>
      <c r="Q1244" s="1436"/>
      <c r="R1244" s="1436"/>
      <c r="S1244" s="1436"/>
      <c r="T1244" s="1436"/>
      <c r="U1244" s="1436"/>
      <c r="V1244" s="1436"/>
      <c r="W1244" s="1436"/>
      <c r="X1244" s="1436"/>
      <c r="Y1244" s="1436"/>
      <c r="Z1244" s="1436"/>
      <c r="AA1244" s="1436"/>
      <c r="AB1244" s="1436"/>
      <c r="AC1244" s="1436"/>
      <c r="AD1244" s="1436"/>
      <c r="AE1244" s="1436"/>
      <c r="AF1244" s="1436"/>
    </row>
    <row r="1245" spans="1:32">
      <c r="A1245" s="1436"/>
      <c r="B1245" s="1436"/>
      <c r="C1245" s="1436"/>
      <c r="D1245" s="1436"/>
      <c r="E1245" s="1436"/>
      <c r="F1245" s="1436"/>
      <c r="G1245" s="1436"/>
      <c r="H1245" s="1436"/>
      <c r="I1245" s="1436"/>
      <c r="J1245" s="1436"/>
      <c r="K1245" s="1436"/>
      <c r="L1245" s="1436"/>
      <c r="M1245" s="1436"/>
      <c r="N1245" s="1436"/>
      <c r="O1245" s="1436"/>
      <c r="P1245" s="1436"/>
      <c r="Q1245" s="1436"/>
      <c r="R1245" s="1436"/>
      <c r="S1245" s="1436"/>
      <c r="T1245" s="1436"/>
      <c r="U1245" s="1436"/>
      <c r="V1245" s="1436"/>
      <c r="W1245" s="1436"/>
      <c r="X1245" s="1436"/>
      <c r="Y1245" s="1436"/>
      <c r="Z1245" s="1436"/>
      <c r="AA1245" s="1436"/>
      <c r="AB1245" s="1436"/>
      <c r="AC1245" s="1436"/>
      <c r="AD1245" s="1436"/>
      <c r="AE1245" s="1436"/>
      <c r="AF1245" s="1436"/>
    </row>
    <row r="1246" spans="1:32">
      <c r="A1246" s="1436"/>
      <c r="B1246" s="1436"/>
      <c r="C1246" s="1436"/>
      <c r="D1246" s="1436"/>
      <c r="E1246" s="1436"/>
      <c r="F1246" s="1436"/>
      <c r="G1246" s="1436"/>
      <c r="H1246" s="1436"/>
      <c r="I1246" s="1436"/>
      <c r="J1246" s="1436"/>
      <c r="K1246" s="1436"/>
      <c r="L1246" s="1436"/>
      <c r="M1246" s="1436"/>
      <c r="N1246" s="1436"/>
      <c r="O1246" s="1436"/>
      <c r="P1246" s="1436"/>
      <c r="Q1246" s="1436"/>
      <c r="R1246" s="1436"/>
      <c r="S1246" s="1436"/>
      <c r="T1246" s="1436"/>
      <c r="U1246" s="1436"/>
      <c r="V1246" s="1436"/>
      <c r="W1246" s="1436"/>
      <c r="X1246" s="1436"/>
      <c r="Y1246" s="1436"/>
      <c r="Z1246" s="1436"/>
      <c r="AA1246" s="1436"/>
      <c r="AB1246" s="1436"/>
      <c r="AC1246" s="1436"/>
      <c r="AD1246" s="1436"/>
      <c r="AE1246" s="1436"/>
      <c r="AF1246" s="1436"/>
    </row>
    <row r="1247" spans="1:32">
      <c r="A1247" s="1436"/>
      <c r="B1247" s="1436"/>
      <c r="C1247" s="1436"/>
      <c r="D1247" s="1436"/>
      <c r="E1247" s="1436"/>
      <c r="F1247" s="1436"/>
      <c r="G1247" s="1436"/>
      <c r="H1247" s="1436"/>
      <c r="I1247" s="1436"/>
      <c r="J1247" s="1436"/>
      <c r="K1247" s="1436"/>
      <c r="L1247" s="1436"/>
      <c r="M1247" s="1436"/>
      <c r="N1247" s="1436"/>
      <c r="O1247" s="1436"/>
      <c r="P1247" s="1436"/>
      <c r="Q1247" s="1436"/>
      <c r="R1247" s="1436"/>
      <c r="S1247" s="1436"/>
      <c r="T1247" s="1436"/>
      <c r="U1247" s="1436"/>
      <c r="V1247" s="1436"/>
      <c r="W1247" s="1436"/>
      <c r="X1247" s="1436"/>
      <c r="Y1247" s="1436"/>
      <c r="Z1247" s="1436"/>
      <c r="AA1247" s="1436"/>
      <c r="AB1247" s="1436"/>
      <c r="AC1247" s="1436"/>
      <c r="AD1247" s="1436"/>
      <c r="AE1247" s="1436"/>
      <c r="AF1247" s="1436"/>
    </row>
    <row r="1248" spans="1:32">
      <c r="A1248" s="1436"/>
      <c r="B1248" s="1436"/>
      <c r="C1248" s="1436"/>
      <c r="D1248" s="1436"/>
      <c r="E1248" s="1436"/>
      <c r="F1248" s="1436"/>
      <c r="G1248" s="1436"/>
      <c r="H1248" s="1436"/>
      <c r="I1248" s="1436"/>
      <c r="J1248" s="1436"/>
      <c r="K1248" s="1436"/>
      <c r="L1248" s="1436"/>
      <c r="M1248" s="1436"/>
      <c r="N1248" s="1436"/>
      <c r="O1248" s="1436"/>
      <c r="P1248" s="1436"/>
      <c r="Q1248" s="1436"/>
      <c r="R1248" s="1436"/>
      <c r="S1248" s="1436"/>
      <c r="T1248" s="1436"/>
      <c r="U1248" s="1436"/>
      <c r="V1248" s="1436"/>
      <c r="W1248" s="1436"/>
      <c r="X1248" s="1436"/>
      <c r="Y1248" s="1436"/>
      <c r="Z1248" s="1436"/>
      <c r="AA1248" s="1436"/>
      <c r="AB1248" s="1436"/>
      <c r="AC1248" s="1436"/>
      <c r="AD1248" s="1436"/>
      <c r="AE1248" s="1436"/>
      <c r="AF1248" s="1436"/>
    </row>
    <row r="1249" spans="1:32">
      <c r="A1249" s="1436"/>
      <c r="B1249" s="1436"/>
      <c r="C1249" s="1436"/>
      <c r="D1249" s="1436"/>
      <c r="E1249" s="1436"/>
      <c r="F1249" s="1436"/>
      <c r="G1249" s="1436"/>
      <c r="H1249" s="1436"/>
      <c r="I1249" s="1436"/>
      <c r="J1249" s="1436"/>
      <c r="K1249" s="1436"/>
      <c r="L1249" s="1436"/>
      <c r="M1249" s="1436"/>
      <c r="N1249" s="1436"/>
      <c r="O1249" s="1436"/>
      <c r="P1249" s="1436"/>
      <c r="Q1249" s="1436"/>
      <c r="R1249" s="1436"/>
      <c r="S1249" s="1436"/>
      <c r="T1249" s="1436"/>
      <c r="U1249" s="1436"/>
      <c r="V1249" s="1436"/>
      <c r="W1249" s="1436"/>
      <c r="X1249" s="1436"/>
      <c r="Y1249" s="1436"/>
      <c r="Z1249" s="1436"/>
      <c r="AA1249" s="1436"/>
      <c r="AB1249" s="1436"/>
      <c r="AC1249" s="1436"/>
      <c r="AD1249" s="1436"/>
      <c r="AE1249" s="1436"/>
      <c r="AF1249" s="1436"/>
    </row>
    <row r="1250" spans="1:32">
      <c r="A1250" s="1436"/>
      <c r="B1250" s="1436"/>
      <c r="C1250" s="1436"/>
      <c r="D1250" s="1436"/>
      <c r="E1250" s="1436"/>
      <c r="F1250" s="1436"/>
      <c r="G1250" s="1436"/>
      <c r="H1250" s="1436"/>
      <c r="I1250" s="1436"/>
      <c r="J1250" s="1436"/>
      <c r="K1250" s="1436"/>
      <c r="L1250" s="1436"/>
      <c r="M1250" s="1436"/>
      <c r="N1250" s="1436"/>
      <c r="O1250" s="1436"/>
      <c r="P1250" s="1436"/>
      <c r="Q1250" s="1436"/>
      <c r="R1250" s="1436"/>
      <c r="S1250" s="1436"/>
      <c r="T1250" s="1436"/>
      <c r="U1250" s="1436"/>
      <c r="V1250" s="1436"/>
      <c r="W1250" s="1436"/>
      <c r="X1250" s="1436"/>
      <c r="Y1250" s="1436"/>
      <c r="Z1250" s="1436"/>
      <c r="AA1250" s="1436"/>
      <c r="AB1250" s="1436"/>
      <c r="AC1250" s="1436"/>
      <c r="AD1250" s="1436"/>
      <c r="AE1250" s="1436"/>
      <c r="AF1250" s="1436"/>
    </row>
    <row r="1251" spans="1:32">
      <c r="A1251" s="1436"/>
      <c r="B1251" s="1436"/>
      <c r="C1251" s="1436"/>
      <c r="D1251" s="1436"/>
      <c r="E1251" s="1436"/>
      <c r="F1251" s="1436"/>
      <c r="G1251" s="1436"/>
      <c r="H1251" s="1436"/>
      <c r="I1251" s="1436"/>
      <c r="J1251" s="1436"/>
      <c r="K1251" s="1436"/>
      <c r="L1251" s="1436"/>
      <c r="M1251" s="1436"/>
      <c r="N1251" s="1436"/>
      <c r="O1251" s="1436"/>
      <c r="P1251" s="1436"/>
      <c r="Q1251" s="1436"/>
      <c r="R1251" s="1436"/>
      <c r="S1251" s="1436"/>
      <c r="T1251" s="1436"/>
      <c r="U1251" s="1436"/>
      <c r="V1251" s="1436"/>
      <c r="W1251" s="1436"/>
      <c r="X1251" s="1436"/>
      <c r="Y1251" s="1436"/>
      <c r="Z1251" s="1436"/>
      <c r="AA1251" s="1436"/>
      <c r="AB1251" s="1436"/>
      <c r="AC1251" s="1436"/>
      <c r="AD1251" s="1436"/>
      <c r="AE1251" s="1436"/>
      <c r="AF1251" s="1436"/>
    </row>
    <row r="1252" spans="1:32">
      <c r="A1252" s="1436"/>
      <c r="B1252" s="1436"/>
      <c r="C1252" s="1436"/>
      <c r="D1252" s="1436"/>
      <c r="E1252" s="1436"/>
      <c r="F1252" s="1436"/>
      <c r="G1252" s="1436"/>
      <c r="H1252" s="1436"/>
      <c r="I1252" s="1436"/>
      <c r="J1252" s="1436"/>
      <c r="K1252" s="1436"/>
      <c r="L1252" s="1436"/>
      <c r="M1252" s="1436"/>
      <c r="N1252" s="1436"/>
      <c r="O1252" s="1436"/>
      <c r="P1252" s="1436"/>
      <c r="Q1252" s="1436"/>
      <c r="R1252" s="1436"/>
      <c r="S1252" s="1436"/>
      <c r="T1252" s="1436"/>
      <c r="U1252" s="1436"/>
      <c r="V1252" s="1436"/>
      <c r="W1252" s="1436"/>
      <c r="X1252" s="1436"/>
      <c r="Y1252" s="1436"/>
      <c r="Z1252" s="1436"/>
      <c r="AA1252" s="1436"/>
      <c r="AB1252" s="1436"/>
      <c r="AC1252" s="1436"/>
      <c r="AD1252" s="1436"/>
      <c r="AE1252" s="1436"/>
      <c r="AF1252" s="1436"/>
    </row>
    <row r="1253" spans="1:32">
      <c r="A1253" s="1436"/>
      <c r="B1253" s="1436"/>
      <c r="C1253" s="1436"/>
      <c r="D1253" s="1436"/>
      <c r="E1253" s="1436"/>
      <c r="F1253" s="1436"/>
      <c r="G1253" s="1436"/>
      <c r="H1253" s="1436"/>
      <c r="I1253" s="1436"/>
      <c r="J1253" s="1436"/>
      <c r="K1253" s="1436"/>
      <c r="L1253" s="1436"/>
      <c r="M1253" s="1436"/>
      <c r="N1253" s="1436"/>
      <c r="O1253" s="1436"/>
      <c r="P1253" s="1436"/>
      <c r="Q1253" s="1436"/>
      <c r="R1253" s="1436"/>
      <c r="S1253" s="1436"/>
      <c r="T1253" s="1436"/>
      <c r="U1253" s="1436"/>
      <c r="V1253" s="1436"/>
      <c r="W1253" s="1436"/>
      <c r="X1253" s="1436"/>
      <c r="Y1253" s="1436"/>
      <c r="Z1253" s="1436"/>
      <c r="AA1253" s="1436"/>
      <c r="AB1253" s="1436"/>
      <c r="AC1253" s="1436"/>
      <c r="AD1253" s="1436"/>
      <c r="AE1253" s="1436"/>
      <c r="AF1253" s="1436"/>
    </row>
    <row r="1254" spans="1:32">
      <c r="A1254" s="1436"/>
      <c r="B1254" s="1436"/>
      <c r="C1254" s="1436"/>
      <c r="D1254" s="1436"/>
      <c r="E1254" s="1436"/>
      <c r="F1254" s="1436"/>
      <c r="G1254" s="1436"/>
      <c r="H1254" s="1436"/>
      <c r="I1254" s="1436"/>
      <c r="J1254" s="1436"/>
      <c r="K1254" s="1436"/>
      <c r="L1254" s="1436"/>
      <c r="M1254" s="1436"/>
      <c r="N1254" s="1436"/>
      <c r="O1254" s="1436"/>
      <c r="P1254" s="1436"/>
      <c r="Q1254" s="1436"/>
      <c r="R1254" s="1436"/>
      <c r="S1254" s="1436"/>
      <c r="T1254" s="1436"/>
      <c r="U1254" s="1436"/>
      <c r="V1254" s="1436"/>
      <c r="W1254" s="1436"/>
      <c r="X1254" s="1436"/>
      <c r="Y1254" s="1436"/>
      <c r="Z1254" s="1436"/>
      <c r="AA1254" s="1436"/>
      <c r="AB1254" s="1436"/>
      <c r="AC1254" s="1436"/>
      <c r="AD1254" s="1436"/>
      <c r="AE1254" s="1436"/>
      <c r="AF1254" s="1436"/>
    </row>
    <row r="1255" spans="1:32">
      <c r="A1255" s="1436"/>
      <c r="B1255" s="1436"/>
      <c r="C1255" s="1436"/>
      <c r="D1255" s="1436"/>
      <c r="E1255" s="1436"/>
      <c r="F1255" s="1436"/>
      <c r="G1255" s="1436"/>
      <c r="H1255" s="1436"/>
      <c r="I1255" s="1436"/>
      <c r="J1255" s="1436"/>
      <c r="K1255" s="1436"/>
      <c r="L1255" s="1436"/>
      <c r="M1255" s="1436"/>
      <c r="N1255" s="1436"/>
      <c r="O1255" s="1436"/>
      <c r="P1255" s="1436"/>
      <c r="Q1255" s="1436"/>
      <c r="R1255" s="1436"/>
      <c r="S1255" s="1436"/>
      <c r="T1255" s="1436"/>
      <c r="U1255" s="1436"/>
      <c r="V1255" s="1436"/>
      <c r="W1255" s="1436"/>
      <c r="X1255" s="1436"/>
      <c r="Y1255" s="1436"/>
      <c r="Z1255" s="1436"/>
      <c r="AA1255" s="1436"/>
      <c r="AB1255" s="1436"/>
      <c r="AC1255" s="1436"/>
      <c r="AD1255" s="1436"/>
      <c r="AE1255" s="1436"/>
      <c r="AF1255" s="1436"/>
    </row>
    <row r="1256" spans="1:32">
      <c r="A1256" s="1436"/>
      <c r="B1256" s="1436"/>
      <c r="C1256" s="1436"/>
      <c r="D1256" s="1436"/>
      <c r="E1256" s="1436"/>
      <c r="F1256" s="1436"/>
      <c r="G1256" s="1436"/>
      <c r="H1256" s="1436"/>
      <c r="I1256" s="1436"/>
      <c r="J1256" s="1436"/>
      <c r="K1256" s="1436"/>
      <c r="L1256" s="1436"/>
      <c r="M1256" s="1436"/>
      <c r="N1256" s="1436"/>
      <c r="O1256" s="1436"/>
      <c r="P1256" s="1436"/>
      <c r="Q1256" s="1436"/>
      <c r="R1256" s="1436"/>
      <c r="S1256" s="1436"/>
      <c r="T1256" s="1436"/>
      <c r="U1256" s="1436"/>
      <c r="V1256" s="1436"/>
      <c r="W1256" s="1436"/>
      <c r="X1256" s="1436"/>
      <c r="Y1256" s="1436"/>
      <c r="Z1256" s="1436"/>
      <c r="AA1256" s="1436"/>
      <c r="AB1256" s="1436"/>
      <c r="AC1256" s="1436"/>
      <c r="AD1256" s="1436"/>
      <c r="AE1256" s="1436"/>
      <c r="AF1256" s="1436"/>
    </row>
    <row r="1257" spans="1:32">
      <c r="A1257" s="1436"/>
      <c r="B1257" s="1436"/>
      <c r="C1257" s="1436"/>
      <c r="D1257" s="1436"/>
      <c r="E1257" s="1436"/>
      <c r="F1257" s="1436"/>
      <c r="G1257" s="1436"/>
      <c r="H1257" s="1436"/>
      <c r="I1257" s="1436"/>
      <c r="J1257" s="1436"/>
      <c r="K1257" s="1436"/>
      <c r="L1257" s="1436"/>
      <c r="M1257" s="1436"/>
      <c r="N1257" s="1436"/>
      <c r="O1257" s="1436"/>
      <c r="P1257" s="1436"/>
      <c r="Q1257" s="1436"/>
      <c r="R1257" s="1436"/>
      <c r="S1257" s="1436"/>
      <c r="T1257" s="1436"/>
      <c r="U1257" s="1436"/>
      <c r="V1257" s="1436"/>
      <c r="W1257" s="1436"/>
      <c r="X1257" s="1436"/>
      <c r="Y1257" s="1436"/>
      <c r="Z1257" s="1436"/>
      <c r="AA1257" s="1436"/>
      <c r="AB1257" s="1436"/>
      <c r="AC1257" s="1436"/>
      <c r="AD1257" s="1436"/>
      <c r="AE1257" s="1436"/>
      <c r="AF1257" s="1436"/>
    </row>
    <row r="1258" spans="1:32">
      <c r="A1258" s="1436"/>
      <c r="B1258" s="1436"/>
      <c r="C1258" s="1436"/>
      <c r="D1258" s="1436"/>
      <c r="E1258" s="1436"/>
      <c r="F1258" s="1436"/>
      <c r="G1258" s="1436"/>
      <c r="H1258" s="1436"/>
      <c r="I1258" s="1436"/>
      <c r="J1258" s="1436"/>
      <c r="K1258" s="1436"/>
      <c r="L1258" s="1436"/>
      <c r="M1258" s="1436"/>
      <c r="N1258" s="1436"/>
      <c r="O1258" s="1436"/>
      <c r="P1258" s="1436"/>
      <c r="Q1258" s="1436"/>
      <c r="R1258" s="1436"/>
      <c r="S1258" s="1436"/>
      <c r="T1258" s="1436"/>
      <c r="U1258" s="1436"/>
      <c r="V1258" s="1436"/>
      <c r="W1258" s="1436"/>
      <c r="X1258" s="1436"/>
      <c r="Y1258" s="1436"/>
      <c r="Z1258" s="1436"/>
      <c r="AA1258" s="1436"/>
      <c r="AB1258" s="1436"/>
      <c r="AC1258" s="1436"/>
      <c r="AD1258" s="1436"/>
      <c r="AE1258" s="1436"/>
      <c r="AF1258" s="1436"/>
    </row>
    <row r="1259" spans="1:32">
      <c r="A1259" s="1436"/>
      <c r="B1259" s="1436"/>
      <c r="C1259" s="1436"/>
      <c r="D1259" s="1436"/>
      <c r="E1259" s="1436"/>
      <c r="F1259" s="1436"/>
      <c r="G1259" s="1436"/>
      <c r="H1259" s="1436"/>
      <c r="I1259" s="1436"/>
      <c r="J1259" s="1436"/>
      <c r="K1259" s="1436"/>
      <c r="L1259" s="1436"/>
      <c r="M1259" s="1436"/>
      <c r="N1259" s="1436"/>
      <c r="O1259" s="1436"/>
      <c r="P1259" s="1436"/>
      <c r="Q1259" s="1436"/>
      <c r="R1259" s="1436"/>
      <c r="S1259" s="1436"/>
      <c r="T1259" s="1436"/>
      <c r="U1259" s="1436"/>
      <c r="V1259" s="1436"/>
      <c r="W1259" s="1436"/>
      <c r="X1259" s="1436"/>
      <c r="Y1259" s="1436"/>
      <c r="Z1259" s="1436"/>
      <c r="AA1259" s="1436"/>
      <c r="AB1259" s="1436"/>
      <c r="AC1259" s="1436"/>
      <c r="AD1259" s="1436"/>
      <c r="AE1259" s="1436"/>
      <c r="AF1259" s="1436"/>
    </row>
    <row r="1260" spans="1:32">
      <c r="A1260" s="1436"/>
      <c r="B1260" s="1436"/>
      <c r="C1260" s="1436"/>
      <c r="D1260" s="1436"/>
      <c r="E1260" s="1436"/>
      <c r="F1260" s="1436"/>
      <c r="G1260" s="1436"/>
      <c r="H1260" s="1436"/>
      <c r="I1260" s="1436"/>
      <c r="J1260" s="1436"/>
      <c r="K1260" s="1436"/>
      <c r="L1260" s="1436"/>
      <c r="M1260" s="1436"/>
      <c r="N1260" s="1436"/>
      <c r="O1260" s="1436"/>
      <c r="P1260" s="1436"/>
      <c r="Q1260" s="1436"/>
      <c r="R1260" s="1436"/>
      <c r="S1260" s="1436"/>
      <c r="T1260" s="1436"/>
      <c r="U1260" s="1436"/>
      <c r="V1260" s="1436"/>
      <c r="W1260" s="1436"/>
      <c r="X1260" s="1436"/>
      <c r="Y1260" s="1436"/>
      <c r="Z1260" s="1436"/>
      <c r="AA1260" s="1436"/>
      <c r="AB1260" s="1436"/>
      <c r="AC1260" s="1436"/>
      <c r="AD1260" s="1436"/>
      <c r="AE1260" s="1436"/>
      <c r="AF1260" s="1436"/>
    </row>
    <row r="1261" spans="1:32">
      <c r="A1261" s="1436"/>
      <c r="B1261" s="1436"/>
      <c r="C1261" s="1436"/>
      <c r="D1261" s="1436"/>
      <c r="E1261" s="1436"/>
      <c r="F1261" s="1436"/>
      <c r="G1261" s="1436"/>
      <c r="H1261" s="1436"/>
      <c r="I1261" s="1436"/>
      <c r="J1261" s="1436"/>
      <c r="K1261" s="1436"/>
      <c r="L1261" s="1436"/>
      <c r="M1261" s="1436"/>
      <c r="N1261" s="1436"/>
      <c r="O1261" s="1436"/>
      <c r="P1261" s="1436"/>
      <c r="Q1261" s="1436"/>
      <c r="R1261" s="1436"/>
      <c r="S1261" s="1436"/>
      <c r="T1261" s="1436"/>
      <c r="U1261" s="1436"/>
      <c r="V1261" s="1436"/>
      <c r="W1261" s="1436"/>
      <c r="X1261" s="1436"/>
      <c r="Y1261" s="1436"/>
      <c r="Z1261" s="1436"/>
      <c r="AA1261" s="1436"/>
      <c r="AB1261" s="1436"/>
      <c r="AC1261" s="1436"/>
      <c r="AD1261" s="1436"/>
      <c r="AE1261" s="1436"/>
      <c r="AF1261" s="1436"/>
    </row>
    <row r="1262" spans="1:32">
      <c r="A1262" s="1436"/>
      <c r="B1262" s="1436"/>
      <c r="C1262" s="1436"/>
      <c r="D1262" s="1436"/>
      <c r="E1262" s="1436"/>
      <c r="F1262" s="1436"/>
      <c r="G1262" s="1436"/>
      <c r="H1262" s="1436"/>
      <c r="I1262" s="1436"/>
      <c r="J1262" s="1436"/>
      <c r="K1262" s="1436"/>
      <c r="L1262" s="1436"/>
      <c r="M1262" s="1436"/>
      <c r="N1262" s="1436"/>
      <c r="O1262" s="1436"/>
      <c r="P1262" s="1436"/>
      <c r="Q1262" s="1436"/>
      <c r="R1262" s="1436"/>
      <c r="S1262" s="1436"/>
      <c r="T1262" s="1436"/>
      <c r="U1262" s="1436"/>
      <c r="V1262" s="1436"/>
      <c r="W1262" s="1436"/>
      <c r="X1262" s="1436"/>
      <c r="Y1262" s="1436"/>
      <c r="Z1262" s="1436"/>
      <c r="AA1262" s="1436"/>
      <c r="AB1262" s="1436"/>
      <c r="AC1262" s="1436"/>
      <c r="AD1262" s="1436"/>
      <c r="AE1262" s="1436"/>
      <c r="AF1262" s="1436"/>
    </row>
    <row r="1263" spans="1:32">
      <c r="A1263" s="1436"/>
      <c r="B1263" s="1436"/>
      <c r="C1263" s="1436"/>
      <c r="D1263" s="1436"/>
      <c r="E1263" s="1436"/>
      <c r="F1263" s="1436"/>
      <c r="G1263" s="1436"/>
      <c r="H1263" s="1436"/>
      <c r="I1263" s="1436"/>
      <c r="J1263" s="1436"/>
      <c r="K1263" s="1436"/>
      <c r="L1263" s="1436"/>
      <c r="M1263" s="1436"/>
      <c r="N1263" s="1436"/>
      <c r="O1263" s="1436"/>
      <c r="P1263" s="1436"/>
      <c r="Q1263" s="1436"/>
      <c r="R1263" s="1436"/>
      <c r="S1263" s="1436"/>
      <c r="T1263" s="1436"/>
      <c r="U1263" s="1436"/>
      <c r="V1263" s="1436"/>
      <c r="W1263" s="1436"/>
      <c r="X1263" s="1436"/>
      <c r="Y1263" s="1436"/>
      <c r="Z1263" s="1436"/>
      <c r="AA1263" s="1436"/>
      <c r="AB1263" s="1436"/>
      <c r="AC1263" s="1436"/>
      <c r="AD1263" s="1436"/>
      <c r="AE1263" s="1436"/>
      <c r="AF1263" s="1436"/>
    </row>
    <row r="1264" spans="1:32">
      <c r="A1264" s="1436"/>
      <c r="B1264" s="1436"/>
      <c r="C1264" s="1436"/>
      <c r="D1264" s="1436"/>
      <c r="E1264" s="1436"/>
      <c r="F1264" s="1436"/>
      <c r="G1264" s="1436"/>
      <c r="H1264" s="1436"/>
      <c r="I1264" s="1436"/>
      <c r="J1264" s="1436"/>
      <c r="K1264" s="1436"/>
      <c r="L1264" s="1436"/>
      <c r="M1264" s="1436"/>
      <c r="N1264" s="1436"/>
      <c r="O1264" s="1436"/>
      <c r="P1264" s="1436"/>
      <c r="Q1264" s="1436"/>
      <c r="R1264" s="1436"/>
      <c r="S1264" s="1436"/>
      <c r="T1264" s="1436"/>
      <c r="U1264" s="1436"/>
      <c r="V1264" s="1436"/>
      <c r="W1264" s="1436"/>
      <c r="X1264" s="1436"/>
      <c r="Y1264" s="1436"/>
      <c r="Z1264" s="1436"/>
      <c r="AA1264" s="1436"/>
      <c r="AB1264" s="1436"/>
      <c r="AC1264" s="1436"/>
      <c r="AD1264" s="1436"/>
      <c r="AE1264" s="1436"/>
      <c r="AF1264" s="1436"/>
    </row>
    <row r="1265" spans="1:32">
      <c r="A1265" s="1436"/>
      <c r="B1265" s="1436"/>
      <c r="C1265" s="1436"/>
      <c r="D1265" s="1436"/>
      <c r="E1265" s="1436"/>
      <c r="F1265" s="1436"/>
      <c r="G1265" s="1436"/>
      <c r="H1265" s="1436"/>
      <c r="I1265" s="1436"/>
      <c r="J1265" s="1436"/>
      <c r="K1265" s="1436"/>
      <c r="L1265" s="1436"/>
      <c r="M1265" s="1436"/>
      <c r="N1265" s="1436"/>
      <c r="O1265" s="1436"/>
      <c r="P1265" s="1436"/>
      <c r="Q1265" s="1436"/>
      <c r="R1265" s="1436"/>
      <c r="S1265" s="1436"/>
      <c r="T1265" s="1436"/>
      <c r="U1265" s="1436"/>
      <c r="V1265" s="1436"/>
      <c r="W1265" s="1436"/>
      <c r="X1265" s="1436"/>
      <c r="Y1265" s="1436"/>
      <c r="Z1265" s="1436"/>
      <c r="AA1265" s="1436"/>
      <c r="AB1265" s="1436"/>
      <c r="AC1265" s="1436"/>
      <c r="AD1265" s="1436"/>
      <c r="AE1265" s="1436"/>
      <c r="AF1265" s="1436"/>
    </row>
    <row r="1266" spans="1:32">
      <c r="A1266" s="1436"/>
      <c r="B1266" s="1436"/>
      <c r="C1266" s="1436"/>
      <c r="D1266" s="1436"/>
      <c r="E1266" s="1436"/>
      <c r="F1266" s="1436"/>
      <c r="G1266" s="1436"/>
      <c r="H1266" s="1436"/>
      <c r="I1266" s="1436"/>
      <c r="J1266" s="1436"/>
      <c r="K1266" s="1436"/>
      <c r="L1266" s="1436"/>
      <c r="M1266" s="1436"/>
      <c r="N1266" s="1436"/>
      <c r="O1266" s="1436"/>
      <c r="P1266" s="1436"/>
      <c r="Q1266" s="1436"/>
      <c r="R1266" s="1436"/>
      <c r="S1266" s="1436"/>
      <c r="T1266" s="1436"/>
      <c r="U1266" s="1436"/>
      <c r="V1266" s="1436"/>
      <c r="W1266" s="1436"/>
      <c r="X1266" s="1436"/>
      <c r="Y1266" s="1436"/>
      <c r="Z1266" s="1436"/>
      <c r="AA1266" s="1436"/>
      <c r="AB1266" s="1436"/>
      <c r="AC1266" s="1436"/>
      <c r="AD1266" s="1436"/>
      <c r="AE1266" s="1436"/>
      <c r="AF1266" s="1436"/>
    </row>
    <row r="1267" spans="1:32">
      <c r="A1267" s="1436"/>
      <c r="B1267" s="1436"/>
      <c r="C1267" s="1436"/>
      <c r="D1267" s="1436"/>
      <c r="E1267" s="1436"/>
      <c r="F1267" s="1436"/>
      <c r="G1267" s="1436"/>
      <c r="H1267" s="1436"/>
      <c r="I1267" s="1436"/>
      <c r="J1267" s="1436"/>
      <c r="K1267" s="1436"/>
      <c r="L1267" s="1436"/>
      <c r="M1267" s="1436"/>
      <c r="N1267" s="1436"/>
      <c r="O1267" s="1436"/>
      <c r="P1267" s="1436"/>
      <c r="Q1267" s="1436"/>
      <c r="R1267" s="1436"/>
      <c r="S1267" s="1436"/>
      <c r="T1267" s="1436"/>
      <c r="U1267" s="1436"/>
      <c r="V1267" s="1436"/>
      <c r="W1267" s="1436"/>
      <c r="X1267" s="1436"/>
      <c r="Y1267" s="1436"/>
      <c r="Z1267" s="1436"/>
      <c r="AA1267" s="1436"/>
      <c r="AB1267" s="1436"/>
      <c r="AC1267" s="1436"/>
      <c r="AD1267" s="1436"/>
      <c r="AE1267" s="1436"/>
      <c r="AF1267" s="1436"/>
    </row>
    <row r="1268" spans="1:32">
      <c r="A1268" s="1436"/>
      <c r="B1268" s="1436"/>
      <c r="C1268" s="1436"/>
      <c r="D1268" s="1436"/>
      <c r="E1268" s="1436"/>
      <c r="F1268" s="1436"/>
      <c r="G1268" s="1436"/>
      <c r="H1268" s="1436"/>
      <c r="I1268" s="1436"/>
      <c r="J1268" s="1436"/>
      <c r="K1268" s="1436"/>
      <c r="L1268" s="1436"/>
      <c r="M1268" s="1436"/>
      <c r="N1268" s="1436"/>
      <c r="O1268" s="1436"/>
      <c r="P1268" s="1436"/>
      <c r="Q1268" s="1436"/>
      <c r="R1268" s="1436"/>
      <c r="S1268" s="1436"/>
      <c r="T1268" s="1436"/>
      <c r="U1268" s="1436"/>
      <c r="V1268" s="1436"/>
      <c r="W1268" s="1436"/>
      <c r="X1268" s="1436"/>
      <c r="Y1268" s="1436"/>
      <c r="Z1268" s="1436"/>
      <c r="AA1268" s="1436"/>
      <c r="AB1268" s="1436"/>
      <c r="AC1268" s="1436"/>
      <c r="AD1268" s="1436"/>
      <c r="AE1268" s="1436"/>
      <c r="AF1268" s="1436"/>
    </row>
    <row r="1269" spans="1:32">
      <c r="A1269" s="1436"/>
      <c r="B1269" s="1436"/>
      <c r="C1269" s="1436"/>
      <c r="D1269" s="1436"/>
      <c r="E1269" s="1436"/>
      <c r="F1269" s="1436"/>
      <c r="G1269" s="1436"/>
      <c r="H1269" s="1436"/>
      <c r="I1269" s="1436"/>
      <c r="J1269" s="1436"/>
      <c r="K1269" s="1436"/>
      <c r="L1269" s="1436"/>
      <c r="M1269" s="1436"/>
      <c r="N1269" s="1436"/>
      <c r="O1269" s="1436"/>
      <c r="P1269" s="1436"/>
      <c r="Q1269" s="1436"/>
      <c r="R1269" s="1436"/>
      <c r="S1269" s="1436"/>
      <c r="T1269" s="1436"/>
      <c r="U1269" s="1436"/>
      <c r="V1269" s="1436"/>
      <c r="W1269" s="1436"/>
      <c r="X1269" s="1436"/>
      <c r="Y1269" s="1436"/>
      <c r="Z1269" s="1436"/>
      <c r="AA1269" s="1436"/>
      <c r="AB1269" s="1436"/>
      <c r="AC1269" s="1436"/>
      <c r="AD1269" s="1436"/>
      <c r="AE1269" s="1436"/>
      <c r="AF1269" s="1436"/>
    </row>
    <row r="1270" spans="1:32">
      <c r="A1270" s="1436"/>
      <c r="B1270" s="1436"/>
      <c r="C1270" s="1436"/>
      <c r="D1270" s="1436"/>
      <c r="E1270" s="1436"/>
      <c r="F1270" s="1436"/>
      <c r="G1270" s="1436"/>
      <c r="H1270" s="1436"/>
      <c r="I1270" s="1436"/>
      <c r="J1270" s="1436"/>
      <c r="K1270" s="1436"/>
      <c r="L1270" s="1436"/>
      <c r="M1270" s="1436"/>
      <c r="N1270" s="1436"/>
      <c r="O1270" s="1436"/>
      <c r="P1270" s="1436"/>
      <c r="Q1270" s="1436"/>
      <c r="R1270" s="1436"/>
      <c r="S1270" s="1436"/>
      <c r="T1270" s="1436"/>
      <c r="U1270" s="1436"/>
      <c r="V1270" s="1436"/>
      <c r="W1270" s="1436"/>
      <c r="X1270" s="1436"/>
      <c r="Y1270" s="1436"/>
      <c r="Z1270" s="1436"/>
      <c r="AA1270" s="1436"/>
      <c r="AB1270" s="1436"/>
      <c r="AC1270" s="1436"/>
      <c r="AD1270" s="1436"/>
      <c r="AE1270" s="1436"/>
      <c r="AF1270" s="1436"/>
    </row>
    <row r="1271" spans="1:32">
      <c r="A1271" s="1436"/>
      <c r="B1271" s="1436"/>
      <c r="C1271" s="1436"/>
      <c r="D1271" s="1436"/>
      <c r="E1271" s="1436"/>
      <c r="F1271" s="1436"/>
      <c r="G1271" s="1436"/>
      <c r="H1271" s="1436"/>
      <c r="I1271" s="1436"/>
      <c r="J1271" s="1436"/>
      <c r="K1271" s="1436"/>
      <c r="L1271" s="1436"/>
      <c r="M1271" s="1436"/>
      <c r="N1271" s="1436"/>
      <c r="O1271" s="1436"/>
      <c r="P1271" s="1436"/>
      <c r="Q1271" s="1436"/>
      <c r="R1271" s="1436"/>
      <c r="S1271" s="1436"/>
      <c r="T1271" s="1436"/>
      <c r="U1271" s="1436"/>
      <c r="V1271" s="1436"/>
      <c r="W1271" s="1436"/>
      <c r="X1271" s="1436"/>
      <c r="Y1271" s="1436"/>
      <c r="Z1271" s="1436"/>
      <c r="AA1271" s="1436"/>
      <c r="AB1271" s="1436"/>
      <c r="AC1271" s="1436"/>
      <c r="AD1271" s="1436"/>
      <c r="AE1271" s="1436"/>
      <c r="AF1271" s="1436"/>
    </row>
    <row r="1272" spans="1:32">
      <c r="A1272" s="1436"/>
      <c r="B1272" s="1436"/>
      <c r="C1272" s="1436"/>
      <c r="D1272" s="1436"/>
      <c r="E1272" s="1436"/>
      <c r="F1272" s="1436"/>
      <c r="G1272" s="1436"/>
      <c r="H1272" s="1436"/>
      <c r="I1272" s="1436"/>
      <c r="J1272" s="1436"/>
      <c r="K1272" s="1436"/>
      <c r="L1272" s="1436"/>
      <c r="M1272" s="1436"/>
      <c r="N1272" s="1436"/>
      <c r="O1272" s="1436"/>
      <c r="P1272" s="1436"/>
      <c r="Q1272" s="1436"/>
      <c r="R1272" s="1436"/>
      <c r="S1272" s="1436"/>
      <c r="T1272" s="1436"/>
      <c r="U1272" s="1436"/>
      <c r="V1272" s="1436"/>
      <c r="W1272" s="1436"/>
      <c r="X1272" s="1436"/>
      <c r="Y1272" s="1436"/>
      <c r="Z1272" s="1436"/>
      <c r="AA1272" s="1436"/>
      <c r="AB1272" s="1436"/>
      <c r="AC1272" s="1436"/>
      <c r="AD1272" s="1436"/>
      <c r="AE1272" s="1436"/>
      <c r="AF1272" s="1436"/>
    </row>
    <row r="1273" spans="1:32">
      <c r="A1273" s="1436"/>
      <c r="B1273" s="1436"/>
      <c r="C1273" s="1436"/>
      <c r="D1273" s="1436"/>
      <c r="E1273" s="1436"/>
      <c r="F1273" s="1436"/>
      <c r="G1273" s="1436"/>
      <c r="H1273" s="1436"/>
      <c r="I1273" s="1436"/>
      <c r="J1273" s="1436"/>
      <c r="K1273" s="1436"/>
      <c r="L1273" s="1436"/>
      <c r="M1273" s="1436"/>
      <c r="N1273" s="1436"/>
      <c r="O1273" s="1436"/>
      <c r="P1273" s="1436"/>
      <c r="Q1273" s="1436"/>
      <c r="R1273" s="1436"/>
      <c r="S1273" s="1436"/>
      <c r="T1273" s="1436"/>
      <c r="U1273" s="1436"/>
      <c r="V1273" s="1436"/>
      <c r="W1273" s="1436"/>
      <c r="X1273" s="1436"/>
      <c r="Y1273" s="1436"/>
      <c r="Z1273" s="1436"/>
      <c r="AA1273" s="1436"/>
      <c r="AB1273" s="1436"/>
      <c r="AC1273" s="1436"/>
      <c r="AD1273" s="1436"/>
      <c r="AE1273" s="1436"/>
      <c r="AF1273" s="1436"/>
    </row>
    <row r="1274" spans="1:32">
      <c r="A1274" s="1436"/>
      <c r="B1274" s="1436"/>
      <c r="C1274" s="1436"/>
      <c r="D1274" s="1436"/>
      <c r="E1274" s="1436"/>
      <c r="F1274" s="1436"/>
      <c r="G1274" s="1436"/>
      <c r="H1274" s="1436"/>
      <c r="I1274" s="1436"/>
      <c r="J1274" s="1436"/>
      <c r="K1274" s="1436"/>
      <c r="L1274" s="1436"/>
      <c r="M1274" s="1436"/>
      <c r="N1274" s="1436"/>
      <c r="O1274" s="1436"/>
      <c r="P1274" s="1436"/>
      <c r="Q1274" s="1436"/>
      <c r="R1274" s="1436"/>
      <c r="S1274" s="1436"/>
      <c r="T1274" s="1436"/>
      <c r="U1274" s="1436"/>
      <c r="V1274" s="1436"/>
      <c r="W1274" s="1436"/>
      <c r="X1274" s="1436"/>
      <c r="Y1274" s="1436"/>
      <c r="Z1274" s="1436"/>
      <c r="AA1274" s="1436"/>
      <c r="AB1274" s="1436"/>
      <c r="AC1274" s="1436"/>
      <c r="AD1274" s="1436"/>
      <c r="AE1274" s="1436"/>
      <c r="AF1274" s="1436"/>
    </row>
    <row r="1275" spans="1:32">
      <c r="A1275" s="1436"/>
      <c r="B1275" s="1436"/>
      <c r="C1275" s="1436"/>
      <c r="D1275" s="1436"/>
      <c r="E1275" s="1436"/>
      <c r="F1275" s="1436"/>
      <c r="G1275" s="1436"/>
      <c r="H1275" s="1436"/>
      <c r="I1275" s="1436"/>
      <c r="J1275" s="1436"/>
      <c r="K1275" s="1436"/>
      <c r="L1275" s="1436"/>
      <c r="M1275" s="1436"/>
      <c r="N1275" s="1436"/>
      <c r="O1275" s="1436"/>
      <c r="P1275" s="1436"/>
      <c r="Q1275" s="1436"/>
      <c r="R1275" s="1436"/>
      <c r="S1275" s="1436"/>
      <c r="T1275" s="1436"/>
      <c r="U1275" s="1436"/>
      <c r="V1275" s="1436"/>
      <c r="W1275" s="1436"/>
      <c r="X1275" s="1436"/>
      <c r="Y1275" s="1436"/>
      <c r="Z1275" s="1436"/>
      <c r="AA1275" s="1436"/>
      <c r="AB1275" s="1436"/>
      <c r="AC1275" s="1436"/>
      <c r="AD1275" s="1436"/>
      <c r="AE1275" s="1436"/>
      <c r="AF1275" s="1436"/>
    </row>
    <row r="1276" spans="1:32">
      <c r="A1276" s="1436"/>
      <c r="B1276" s="1436"/>
      <c r="C1276" s="1436"/>
      <c r="D1276" s="1436"/>
      <c r="E1276" s="1436"/>
      <c r="F1276" s="1436"/>
      <c r="G1276" s="1436"/>
      <c r="H1276" s="1436"/>
      <c r="I1276" s="1436"/>
      <c r="J1276" s="1436"/>
      <c r="K1276" s="1436"/>
      <c r="L1276" s="1436"/>
      <c r="M1276" s="1436"/>
      <c r="N1276" s="1436"/>
      <c r="O1276" s="1436"/>
      <c r="P1276" s="1436"/>
      <c r="Q1276" s="1436"/>
      <c r="R1276" s="1436"/>
      <c r="S1276" s="1436"/>
      <c r="T1276" s="1436"/>
      <c r="U1276" s="1436"/>
      <c r="V1276" s="1436"/>
      <c r="W1276" s="1436"/>
      <c r="X1276" s="1436"/>
      <c r="Y1276" s="1436"/>
      <c r="Z1276" s="1436"/>
      <c r="AA1276" s="1436"/>
      <c r="AB1276" s="1436"/>
      <c r="AC1276" s="1436"/>
      <c r="AD1276" s="1436"/>
      <c r="AE1276" s="1436"/>
      <c r="AF1276" s="1436"/>
    </row>
    <row r="1277" spans="1:32">
      <c r="A1277" s="1436"/>
      <c r="B1277" s="1436"/>
      <c r="C1277" s="1436"/>
      <c r="D1277" s="1436"/>
      <c r="E1277" s="1436"/>
      <c r="F1277" s="1436"/>
      <c r="G1277" s="1436"/>
      <c r="H1277" s="1436"/>
      <c r="I1277" s="1436"/>
      <c r="J1277" s="1436"/>
      <c r="K1277" s="1436"/>
      <c r="L1277" s="1436"/>
      <c r="M1277" s="1436"/>
      <c r="N1277" s="1436"/>
      <c r="O1277" s="1436"/>
      <c r="P1277" s="1436"/>
      <c r="Q1277" s="1436"/>
      <c r="R1277" s="1436"/>
      <c r="S1277" s="1436"/>
      <c r="T1277" s="1436"/>
      <c r="U1277" s="1436"/>
      <c r="V1277" s="1436"/>
      <c r="W1277" s="1436"/>
      <c r="X1277" s="1436"/>
      <c r="Y1277" s="1436"/>
      <c r="Z1277" s="1436"/>
      <c r="AA1277" s="1436"/>
      <c r="AB1277" s="1436"/>
      <c r="AC1277" s="1436"/>
      <c r="AD1277" s="1436"/>
      <c r="AE1277" s="1436"/>
      <c r="AF1277" s="1436"/>
    </row>
    <row r="1278" spans="1:32">
      <c r="A1278" s="1436"/>
      <c r="B1278" s="1436"/>
      <c r="C1278" s="1436"/>
      <c r="D1278" s="1436"/>
      <c r="E1278" s="1436"/>
      <c r="F1278" s="1436"/>
      <c r="G1278" s="1436"/>
      <c r="H1278" s="1436"/>
      <c r="I1278" s="1436"/>
      <c r="J1278" s="1436"/>
      <c r="K1278" s="1436"/>
      <c r="L1278" s="1436"/>
      <c r="M1278" s="1436"/>
      <c r="N1278" s="1436"/>
      <c r="O1278" s="1436"/>
      <c r="P1278" s="1436"/>
      <c r="Q1278" s="1436"/>
      <c r="R1278" s="1436"/>
      <c r="S1278" s="1436"/>
      <c r="T1278" s="1436"/>
      <c r="U1278" s="1436"/>
      <c r="V1278" s="1436"/>
      <c r="W1278" s="1436"/>
      <c r="X1278" s="1436"/>
      <c r="Y1278" s="1436"/>
      <c r="Z1278" s="1436"/>
      <c r="AA1278" s="1436"/>
      <c r="AB1278" s="1436"/>
      <c r="AC1278" s="1436"/>
      <c r="AD1278" s="1436"/>
      <c r="AE1278" s="1436"/>
      <c r="AF1278" s="1436"/>
    </row>
    <row r="1279" spans="1:32">
      <c r="A1279" s="1436"/>
      <c r="B1279" s="1436"/>
      <c r="C1279" s="1436"/>
      <c r="D1279" s="1436"/>
      <c r="E1279" s="1436"/>
      <c r="F1279" s="1436"/>
      <c r="G1279" s="1436"/>
      <c r="H1279" s="1436"/>
      <c r="I1279" s="1436"/>
      <c r="J1279" s="1436"/>
      <c r="K1279" s="1436"/>
      <c r="L1279" s="1436"/>
      <c r="M1279" s="1436"/>
      <c r="N1279" s="1436"/>
      <c r="O1279" s="1436"/>
      <c r="P1279" s="1436"/>
      <c r="Q1279" s="1436"/>
      <c r="R1279" s="1436"/>
      <c r="S1279" s="1436"/>
      <c r="T1279" s="1436"/>
      <c r="U1279" s="1436"/>
      <c r="V1279" s="1436"/>
      <c r="W1279" s="1436"/>
      <c r="X1279" s="1436"/>
      <c r="Y1279" s="1436"/>
      <c r="Z1279" s="1436"/>
      <c r="AA1279" s="1436"/>
      <c r="AB1279" s="1436"/>
      <c r="AC1279" s="1436"/>
      <c r="AD1279" s="1436"/>
      <c r="AE1279" s="1436"/>
      <c r="AF1279" s="1436"/>
    </row>
    <row r="1280" spans="1:32">
      <c r="A1280" s="1436"/>
      <c r="B1280" s="1436"/>
      <c r="C1280" s="1436"/>
      <c r="D1280" s="1436"/>
      <c r="E1280" s="1436"/>
      <c r="F1280" s="1436"/>
      <c r="G1280" s="1436"/>
      <c r="H1280" s="1436"/>
      <c r="I1280" s="1436"/>
      <c r="J1280" s="1436"/>
      <c r="K1280" s="1436"/>
      <c r="L1280" s="1436"/>
      <c r="M1280" s="1436"/>
      <c r="N1280" s="1436"/>
      <c r="O1280" s="1436"/>
      <c r="P1280" s="1436"/>
      <c r="Q1280" s="1436"/>
      <c r="R1280" s="1436"/>
      <c r="S1280" s="1436"/>
      <c r="T1280" s="1436"/>
      <c r="U1280" s="1436"/>
      <c r="V1280" s="1436"/>
      <c r="W1280" s="1436"/>
      <c r="X1280" s="1436"/>
      <c r="Y1280" s="1436"/>
      <c r="Z1280" s="1436"/>
      <c r="AA1280" s="1436"/>
      <c r="AB1280" s="1436"/>
      <c r="AC1280" s="1436"/>
      <c r="AD1280" s="1436"/>
      <c r="AE1280" s="1436"/>
      <c r="AF1280" s="1436"/>
    </row>
    <row r="1281" spans="1:32">
      <c r="A1281" s="1436"/>
      <c r="B1281" s="1436"/>
      <c r="C1281" s="1436"/>
      <c r="D1281" s="1436"/>
      <c r="E1281" s="1436"/>
      <c r="F1281" s="1436"/>
      <c r="G1281" s="1436"/>
      <c r="H1281" s="1436"/>
      <c r="I1281" s="1436"/>
      <c r="J1281" s="1436"/>
      <c r="K1281" s="1436"/>
      <c r="L1281" s="1436"/>
      <c r="M1281" s="1436"/>
      <c r="N1281" s="1436"/>
      <c r="O1281" s="1436"/>
      <c r="P1281" s="1436"/>
      <c r="Q1281" s="1436"/>
      <c r="R1281" s="1436"/>
      <c r="S1281" s="1436"/>
      <c r="T1281" s="1436"/>
      <c r="U1281" s="1436"/>
      <c r="V1281" s="1436"/>
      <c r="W1281" s="1436"/>
      <c r="X1281" s="1436"/>
      <c r="Y1281" s="1436"/>
      <c r="Z1281" s="1436"/>
      <c r="AA1281" s="1436"/>
      <c r="AB1281" s="1436"/>
      <c r="AC1281" s="1436"/>
      <c r="AD1281" s="1436"/>
      <c r="AE1281" s="1436"/>
      <c r="AF1281" s="1436"/>
    </row>
    <row r="1282" spans="1:32">
      <c r="A1282" s="1436"/>
      <c r="B1282" s="1436"/>
      <c r="C1282" s="1436"/>
      <c r="D1282" s="1436"/>
      <c r="E1282" s="1436"/>
      <c r="F1282" s="1436"/>
      <c r="G1282" s="1436"/>
      <c r="H1282" s="1436"/>
      <c r="I1282" s="1436"/>
      <c r="J1282" s="1436"/>
      <c r="K1282" s="1436"/>
      <c r="L1282" s="1436"/>
      <c r="M1282" s="1436"/>
      <c r="N1282" s="1436"/>
      <c r="O1282" s="1436"/>
      <c r="P1282" s="1436"/>
      <c r="Q1282" s="1436"/>
      <c r="R1282" s="1436"/>
      <c r="S1282" s="1436"/>
      <c r="T1282" s="1436"/>
      <c r="U1282" s="1436"/>
      <c r="V1282" s="1436"/>
      <c r="W1282" s="1436"/>
      <c r="X1282" s="1436"/>
      <c r="Y1282" s="1436"/>
      <c r="Z1282" s="1436"/>
      <c r="AA1282" s="1436"/>
      <c r="AB1282" s="1436"/>
      <c r="AC1282" s="1436"/>
      <c r="AD1282" s="1436"/>
      <c r="AE1282" s="1436"/>
      <c r="AF1282" s="1436"/>
    </row>
    <row r="1283" spans="1:32">
      <c r="A1283" s="1436"/>
      <c r="B1283" s="1436"/>
      <c r="C1283" s="1436"/>
      <c r="D1283" s="1436"/>
      <c r="E1283" s="1436"/>
      <c r="F1283" s="1436"/>
      <c r="G1283" s="1436"/>
      <c r="H1283" s="1436"/>
      <c r="I1283" s="1436"/>
      <c r="J1283" s="1436"/>
      <c r="K1283" s="1436"/>
      <c r="L1283" s="1436"/>
      <c r="M1283" s="1436"/>
      <c r="N1283" s="1436"/>
      <c r="O1283" s="1436"/>
      <c r="P1283" s="1436"/>
      <c r="Q1283" s="1436"/>
      <c r="R1283" s="1436"/>
      <c r="S1283" s="1436"/>
      <c r="T1283" s="1436"/>
      <c r="U1283" s="1436"/>
      <c r="V1283" s="1436"/>
      <c r="W1283" s="1436"/>
      <c r="X1283" s="1436"/>
      <c r="Y1283" s="1436"/>
      <c r="Z1283" s="1436"/>
      <c r="AA1283" s="1436"/>
      <c r="AB1283" s="1436"/>
      <c r="AC1283" s="1436"/>
      <c r="AD1283" s="1436"/>
      <c r="AE1283" s="1436"/>
      <c r="AF1283" s="1436"/>
    </row>
    <row r="1284" spans="1:32">
      <c r="A1284" s="1436"/>
      <c r="B1284" s="1436"/>
      <c r="C1284" s="1436"/>
      <c r="D1284" s="1436"/>
      <c r="E1284" s="1436"/>
      <c r="F1284" s="1436"/>
      <c r="G1284" s="1436"/>
      <c r="H1284" s="1436"/>
      <c r="I1284" s="1436"/>
      <c r="J1284" s="1436"/>
      <c r="K1284" s="1436"/>
      <c r="L1284" s="1436"/>
      <c r="M1284" s="1436"/>
      <c r="N1284" s="1436"/>
      <c r="O1284" s="1436"/>
      <c r="P1284" s="1436"/>
      <c r="Q1284" s="1436"/>
      <c r="R1284" s="1436"/>
      <c r="S1284" s="1436"/>
      <c r="T1284" s="1436"/>
      <c r="U1284" s="1436"/>
      <c r="V1284" s="1436"/>
      <c r="W1284" s="1436"/>
      <c r="X1284" s="1436"/>
      <c r="Y1284" s="1436"/>
      <c r="Z1284" s="1436"/>
      <c r="AA1284" s="1436"/>
      <c r="AB1284" s="1436"/>
      <c r="AC1284" s="1436"/>
      <c r="AD1284" s="1436"/>
      <c r="AE1284" s="1436"/>
      <c r="AF1284" s="1436"/>
    </row>
    <row r="1285" spans="1:32">
      <c r="A1285" s="1436"/>
      <c r="B1285" s="1436"/>
      <c r="C1285" s="1436"/>
      <c r="D1285" s="1436"/>
      <c r="E1285" s="1436"/>
      <c r="F1285" s="1436"/>
      <c r="G1285" s="1436"/>
      <c r="H1285" s="1436"/>
      <c r="I1285" s="1436"/>
      <c r="J1285" s="1436"/>
      <c r="K1285" s="1436"/>
      <c r="L1285" s="1436"/>
      <c r="M1285" s="1436"/>
      <c r="N1285" s="1436"/>
      <c r="O1285" s="1436"/>
      <c r="P1285" s="1436"/>
      <c r="Q1285" s="1436"/>
      <c r="R1285" s="1436"/>
      <c r="S1285" s="1436"/>
      <c r="T1285" s="1436"/>
      <c r="U1285" s="1436"/>
      <c r="V1285" s="1436"/>
      <c r="W1285" s="1436"/>
      <c r="X1285" s="1436"/>
      <c r="Y1285" s="1436"/>
      <c r="Z1285" s="1436"/>
      <c r="AA1285" s="1436"/>
      <c r="AB1285" s="1436"/>
      <c r="AC1285" s="1436"/>
      <c r="AD1285" s="1436"/>
      <c r="AE1285" s="1436"/>
      <c r="AF1285" s="1436"/>
    </row>
    <row r="1286" spans="1:32">
      <c r="A1286" s="1436"/>
      <c r="B1286" s="1436"/>
      <c r="C1286" s="1436"/>
      <c r="D1286" s="1436"/>
      <c r="E1286" s="1436"/>
      <c r="F1286" s="1436"/>
      <c r="G1286" s="1436"/>
      <c r="H1286" s="1436"/>
      <c r="I1286" s="1436"/>
      <c r="J1286" s="1436"/>
      <c r="K1286" s="1436"/>
      <c r="L1286" s="1436"/>
      <c r="M1286" s="1436"/>
      <c r="N1286" s="1436"/>
      <c r="O1286" s="1436"/>
      <c r="P1286" s="1436"/>
      <c r="Q1286" s="1436"/>
      <c r="R1286" s="1436"/>
      <c r="S1286" s="1436"/>
      <c r="T1286" s="1436"/>
      <c r="U1286" s="1436"/>
      <c r="V1286" s="1436"/>
      <c r="W1286" s="1436"/>
      <c r="X1286" s="1436"/>
      <c r="Y1286" s="1436"/>
      <c r="Z1286" s="1436"/>
      <c r="AA1286" s="1436"/>
      <c r="AB1286" s="1436"/>
      <c r="AC1286" s="1436"/>
      <c r="AD1286" s="1436"/>
      <c r="AE1286" s="1436"/>
      <c r="AF1286" s="1436"/>
    </row>
    <row r="1287" spans="1:32">
      <c r="A1287" s="1436"/>
      <c r="B1287" s="1436"/>
      <c r="C1287" s="1436"/>
      <c r="D1287" s="1436"/>
      <c r="E1287" s="1436"/>
      <c r="F1287" s="1436"/>
      <c r="G1287" s="1436"/>
      <c r="H1287" s="1436"/>
      <c r="I1287" s="1436"/>
      <c r="J1287" s="1436"/>
      <c r="K1287" s="1436"/>
      <c r="L1287" s="1436"/>
      <c r="M1287" s="1436"/>
      <c r="N1287" s="1436"/>
      <c r="O1287" s="1436"/>
      <c r="P1287" s="1436"/>
      <c r="Q1287" s="1436"/>
      <c r="R1287" s="1436"/>
      <c r="S1287" s="1436"/>
      <c r="T1287" s="1436"/>
      <c r="U1287" s="1436"/>
      <c r="V1287" s="1436"/>
      <c r="W1287" s="1436"/>
      <c r="X1287" s="1436"/>
      <c r="Y1287" s="1436"/>
      <c r="Z1287" s="1436"/>
      <c r="AA1287" s="1436"/>
      <c r="AB1287" s="1436"/>
      <c r="AC1287" s="1436"/>
      <c r="AD1287" s="1436"/>
      <c r="AE1287" s="1436"/>
      <c r="AF1287" s="1436"/>
    </row>
    <row r="1288" spans="1:32">
      <c r="A1288" s="1436"/>
      <c r="B1288" s="1436"/>
      <c r="C1288" s="1436"/>
      <c r="D1288" s="1436"/>
      <c r="E1288" s="1436"/>
      <c r="F1288" s="1436"/>
      <c r="G1288" s="1436"/>
      <c r="H1288" s="1436"/>
      <c r="I1288" s="1436"/>
      <c r="J1288" s="1436"/>
      <c r="K1288" s="1436"/>
      <c r="L1288" s="1436"/>
      <c r="M1288" s="1436"/>
      <c r="N1288" s="1436"/>
      <c r="O1288" s="1436"/>
      <c r="P1288" s="1436"/>
      <c r="Q1288" s="1436"/>
      <c r="R1288" s="1436"/>
      <c r="S1288" s="1436"/>
      <c r="T1288" s="1436"/>
      <c r="U1288" s="1436"/>
      <c r="V1288" s="1436"/>
      <c r="W1288" s="1436"/>
      <c r="X1288" s="1436"/>
      <c r="Y1288" s="1436"/>
      <c r="Z1288" s="1436"/>
      <c r="AA1288" s="1436"/>
      <c r="AB1288" s="1436"/>
      <c r="AC1288" s="1436"/>
      <c r="AD1288" s="1436"/>
      <c r="AE1288" s="1436"/>
      <c r="AF1288" s="1436"/>
    </row>
    <row r="1289" spans="1:32">
      <c r="A1289" s="1436"/>
      <c r="B1289" s="1436"/>
      <c r="C1289" s="1436"/>
      <c r="D1289" s="1436"/>
      <c r="E1289" s="1436"/>
      <c r="F1289" s="1436"/>
      <c r="G1289" s="1436"/>
      <c r="H1289" s="1436"/>
      <c r="I1289" s="1436"/>
      <c r="J1289" s="1436"/>
      <c r="K1289" s="1436"/>
      <c r="L1289" s="1436"/>
      <c r="M1289" s="1436"/>
      <c r="N1289" s="1436"/>
      <c r="O1289" s="1436"/>
      <c r="P1289" s="1436"/>
      <c r="Q1289" s="1436"/>
      <c r="R1289" s="1436"/>
      <c r="S1289" s="1436"/>
      <c r="T1289" s="1436"/>
      <c r="U1289" s="1436"/>
      <c r="V1289" s="1436"/>
      <c r="W1289" s="1436"/>
      <c r="X1289" s="1436"/>
      <c r="Y1289" s="1436"/>
      <c r="Z1289" s="1436"/>
      <c r="AA1289" s="1436"/>
      <c r="AB1289" s="1436"/>
      <c r="AC1289" s="1436"/>
      <c r="AD1289" s="1436"/>
      <c r="AE1289" s="1436"/>
      <c r="AF1289" s="1436"/>
    </row>
    <row r="1290" spans="1:32">
      <c r="A1290" s="1436"/>
      <c r="B1290" s="1436"/>
      <c r="C1290" s="1436"/>
      <c r="D1290" s="1436"/>
      <c r="E1290" s="1436"/>
      <c r="F1290" s="1436"/>
      <c r="G1290" s="1436"/>
      <c r="H1290" s="1436"/>
      <c r="I1290" s="1436"/>
      <c r="J1290" s="1436"/>
      <c r="K1290" s="1436"/>
      <c r="L1290" s="1436"/>
      <c r="M1290" s="1436"/>
      <c r="N1290" s="1436"/>
      <c r="O1290" s="1436"/>
      <c r="P1290" s="1436"/>
      <c r="Q1290" s="1436"/>
      <c r="R1290" s="1436"/>
      <c r="S1290" s="1436"/>
      <c r="T1290" s="1436"/>
      <c r="U1290" s="1436"/>
      <c r="V1290" s="1436"/>
      <c r="W1290" s="1436"/>
      <c r="X1290" s="1436"/>
      <c r="Y1290" s="1436"/>
      <c r="Z1290" s="1436"/>
      <c r="AA1290" s="1436"/>
      <c r="AB1290" s="1436"/>
      <c r="AC1290" s="1436"/>
      <c r="AD1290" s="1436"/>
      <c r="AE1290" s="1436"/>
      <c r="AF1290" s="1436"/>
    </row>
    <row r="1291" spans="1:32">
      <c r="A1291" s="1436"/>
      <c r="B1291" s="1436"/>
      <c r="C1291" s="1436"/>
      <c r="D1291" s="1436"/>
      <c r="E1291" s="1436"/>
      <c r="F1291" s="1436"/>
      <c r="G1291" s="1436"/>
      <c r="H1291" s="1436"/>
      <c r="I1291" s="1436"/>
      <c r="J1291" s="1436"/>
      <c r="K1291" s="1436"/>
      <c r="L1291" s="1436"/>
      <c r="M1291" s="1436"/>
      <c r="N1291" s="1436"/>
      <c r="O1291" s="1436"/>
      <c r="P1291" s="1436"/>
      <c r="Q1291" s="1436"/>
      <c r="R1291" s="1436"/>
      <c r="S1291" s="1436"/>
      <c r="T1291" s="1436"/>
      <c r="U1291" s="1436"/>
      <c r="V1291" s="1436"/>
      <c r="W1291" s="1436"/>
      <c r="X1291" s="1436"/>
      <c r="Y1291" s="1436"/>
      <c r="Z1291" s="1436"/>
      <c r="AA1291" s="1436"/>
      <c r="AB1291" s="1436"/>
      <c r="AC1291" s="1436"/>
      <c r="AD1291" s="1436"/>
      <c r="AE1291" s="1436"/>
      <c r="AF1291" s="1436"/>
    </row>
    <row r="1292" spans="1:32">
      <c r="A1292" s="1436"/>
      <c r="B1292" s="1436"/>
      <c r="C1292" s="1436"/>
      <c r="D1292" s="1436"/>
      <c r="E1292" s="1436"/>
      <c r="F1292" s="1436"/>
      <c r="G1292" s="1436"/>
      <c r="H1292" s="1436"/>
      <c r="I1292" s="1436"/>
      <c r="J1292" s="1436"/>
      <c r="K1292" s="1436"/>
      <c r="L1292" s="1436"/>
      <c r="M1292" s="1436"/>
      <c r="N1292" s="1436"/>
      <c r="O1292" s="1436"/>
      <c r="P1292" s="1436"/>
      <c r="Q1292" s="1436"/>
      <c r="R1292" s="1436"/>
      <c r="S1292" s="1436"/>
      <c r="T1292" s="1436"/>
      <c r="U1292" s="1436"/>
      <c r="V1292" s="1436"/>
      <c r="W1292" s="1436"/>
      <c r="X1292" s="1436"/>
      <c r="Y1292" s="1436"/>
      <c r="Z1292" s="1436"/>
      <c r="AA1292" s="1436"/>
      <c r="AB1292" s="1436"/>
      <c r="AC1292" s="1436"/>
      <c r="AD1292" s="1436"/>
      <c r="AE1292" s="1436"/>
      <c r="AF1292" s="1436"/>
    </row>
    <row r="1293" spans="1:32">
      <c r="A1293" s="1436"/>
      <c r="B1293" s="1436"/>
      <c r="C1293" s="1436"/>
      <c r="D1293" s="1436"/>
      <c r="E1293" s="1436"/>
      <c r="F1293" s="1436"/>
      <c r="G1293" s="1436"/>
      <c r="H1293" s="1436"/>
      <c r="I1293" s="1436"/>
      <c r="J1293" s="1436"/>
      <c r="K1293" s="1436"/>
      <c r="L1293" s="1436"/>
      <c r="M1293" s="1436"/>
      <c r="N1293" s="1436"/>
      <c r="O1293" s="1436"/>
      <c r="P1293" s="1436"/>
      <c r="Q1293" s="1436"/>
      <c r="R1293" s="1436"/>
      <c r="S1293" s="1436"/>
      <c r="T1293" s="1436"/>
      <c r="U1293" s="1436"/>
      <c r="V1293" s="1436"/>
      <c r="W1293" s="1436"/>
      <c r="X1293" s="1436"/>
      <c r="Y1293" s="1436"/>
      <c r="Z1293" s="1436"/>
      <c r="AA1293" s="1436"/>
      <c r="AB1293" s="1436"/>
      <c r="AC1293" s="1436"/>
      <c r="AD1293" s="1436"/>
      <c r="AE1293" s="1436"/>
      <c r="AF1293" s="1436"/>
    </row>
    <row r="1294" spans="1:32">
      <c r="A1294" s="1436"/>
      <c r="B1294" s="1436"/>
      <c r="C1294" s="1436"/>
      <c r="D1294" s="1436"/>
      <c r="E1294" s="1436"/>
      <c r="F1294" s="1436"/>
      <c r="G1294" s="1436"/>
      <c r="H1294" s="1436"/>
      <c r="I1294" s="1436"/>
      <c r="J1294" s="1436"/>
      <c r="K1294" s="1436"/>
      <c r="L1294" s="1436"/>
      <c r="M1294" s="1436"/>
      <c r="N1294" s="1436"/>
      <c r="O1294" s="1436"/>
      <c r="P1294" s="1436"/>
      <c r="Q1294" s="1436"/>
      <c r="R1294" s="1436"/>
      <c r="S1294" s="1436"/>
      <c r="T1294" s="1436"/>
      <c r="U1294" s="1436"/>
      <c r="V1294" s="1436"/>
      <c r="W1294" s="1436"/>
      <c r="X1294" s="1436"/>
      <c r="Y1294" s="1436"/>
      <c r="Z1294" s="1436"/>
      <c r="AA1294" s="1436"/>
      <c r="AB1294" s="1436"/>
      <c r="AC1294" s="1436"/>
      <c r="AD1294" s="1436"/>
      <c r="AE1294" s="1436"/>
      <c r="AF1294" s="1436"/>
    </row>
    <row r="1295" spans="1:32">
      <c r="A1295" s="1436"/>
      <c r="B1295" s="1436"/>
      <c r="C1295" s="1436"/>
      <c r="D1295" s="1436"/>
      <c r="E1295" s="1436"/>
      <c r="F1295" s="1436"/>
      <c r="G1295" s="1436"/>
      <c r="H1295" s="1436"/>
      <c r="I1295" s="1436"/>
      <c r="J1295" s="1436"/>
      <c r="K1295" s="1436"/>
      <c r="L1295" s="1436"/>
      <c r="M1295" s="1436"/>
      <c r="N1295" s="1436"/>
      <c r="O1295" s="1436"/>
      <c r="P1295" s="1436"/>
      <c r="Q1295" s="1436"/>
      <c r="R1295" s="1436"/>
      <c r="S1295" s="1436"/>
      <c r="T1295" s="1436"/>
      <c r="U1295" s="1436"/>
      <c r="V1295" s="1436"/>
      <c r="W1295" s="1436"/>
      <c r="X1295" s="1436"/>
      <c r="Y1295" s="1436"/>
      <c r="Z1295" s="1436"/>
      <c r="AA1295" s="1436"/>
      <c r="AB1295" s="1436"/>
      <c r="AC1295" s="1436"/>
      <c r="AD1295" s="1436"/>
      <c r="AE1295" s="1436"/>
      <c r="AF1295" s="1436"/>
    </row>
    <row r="1296" spans="1:32">
      <c r="A1296" s="1436"/>
      <c r="B1296" s="1436"/>
      <c r="C1296" s="1436"/>
      <c r="D1296" s="1436"/>
      <c r="E1296" s="1436"/>
      <c r="F1296" s="1436"/>
      <c r="G1296" s="1436"/>
      <c r="H1296" s="1436"/>
      <c r="I1296" s="1436"/>
      <c r="J1296" s="1436"/>
      <c r="K1296" s="1436"/>
      <c r="L1296" s="1436"/>
      <c r="M1296" s="1436"/>
      <c r="N1296" s="1436"/>
      <c r="O1296" s="1436"/>
      <c r="P1296" s="1436"/>
      <c r="Q1296" s="1436"/>
      <c r="R1296" s="1436"/>
      <c r="S1296" s="1436"/>
      <c r="T1296" s="1436"/>
      <c r="U1296" s="1436"/>
      <c r="V1296" s="1436"/>
      <c r="W1296" s="1436"/>
      <c r="X1296" s="1436"/>
      <c r="Y1296" s="1436"/>
      <c r="Z1296" s="1436"/>
      <c r="AA1296" s="1436"/>
      <c r="AB1296" s="1436"/>
      <c r="AC1296" s="1436"/>
      <c r="AD1296" s="1436"/>
      <c r="AE1296" s="1436"/>
      <c r="AF1296" s="1436"/>
    </row>
    <row r="1297" spans="1:32">
      <c r="A1297" s="1436"/>
      <c r="B1297" s="1436"/>
      <c r="C1297" s="1436"/>
      <c r="D1297" s="1436"/>
      <c r="E1297" s="1436"/>
      <c r="F1297" s="1436"/>
      <c r="G1297" s="1436"/>
      <c r="H1297" s="1436"/>
      <c r="I1297" s="1436"/>
      <c r="J1297" s="1436"/>
      <c r="K1297" s="1436"/>
      <c r="L1297" s="1436"/>
      <c r="M1297" s="1436"/>
      <c r="N1297" s="1436"/>
      <c r="O1297" s="1436"/>
      <c r="P1297" s="1436"/>
      <c r="Q1297" s="1436"/>
      <c r="R1297" s="1436"/>
      <c r="S1297" s="1436"/>
      <c r="T1297" s="1436"/>
      <c r="U1297" s="1436"/>
      <c r="V1297" s="1436"/>
      <c r="W1297" s="1436"/>
      <c r="X1297" s="1436"/>
      <c r="Y1297" s="1436"/>
      <c r="Z1297" s="1436"/>
      <c r="AA1297" s="1436"/>
      <c r="AB1297" s="1436"/>
      <c r="AC1297" s="1436"/>
      <c r="AD1297" s="1436"/>
      <c r="AE1297" s="1436"/>
      <c r="AF1297" s="1436"/>
    </row>
    <row r="1298" spans="1:32">
      <c r="A1298" s="1436"/>
      <c r="B1298" s="1436"/>
      <c r="C1298" s="1436"/>
      <c r="D1298" s="1436"/>
      <c r="E1298" s="1436"/>
      <c r="F1298" s="1436"/>
      <c r="G1298" s="1436"/>
      <c r="H1298" s="1436"/>
      <c r="I1298" s="1436"/>
      <c r="J1298" s="1436"/>
      <c r="K1298" s="1436"/>
      <c r="L1298" s="1436"/>
      <c r="M1298" s="1436"/>
      <c r="N1298" s="1436"/>
      <c r="O1298" s="1436"/>
      <c r="P1298" s="1436"/>
      <c r="Q1298" s="1436"/>
      <c r="R1298" s="1436"/>
      <c r="S1298" s="1436"/>
      <c r="T1298" s="1436"/>
      <c r="U1298" s="1436"/>
      <c r="V1298" s="1436"/>
      <c r="W1298" s="1436"/>
      <c r="X1298" s="1436"/>
      <c r="Y1298" s="1436"/>
      <c r="Z1298" s="1436"/>
      <c r="AA1298" s="1436"/>
      <c r="AB1298" s="1436"/>
      <c r="AC1298" s="1436"/>
      <c r="AD1298" s="1436"/>
      <c r="AE1298" s="1436"/>
      <c r="AF1298" s="1436"/>
    </row>
    <row r="1299" spans="1:32">
      <c r="A1299" s="1436"/>
      <c r="B1299" s="1436"/>
      <c r="C1299" s="1436"/>
      <c r="D1299" s="1436"/>
      <c r="E1299" s="1436"/>
      <c r="F1299" s="1436"/>
      <c r="G1299" s="1436"/>
      <c r="H1299" s="1436"/>
      <c r="I1299" s="1436"/>
      <c r="J1299" s="1436"/>
      <c r="K1299" s="1436"/>
      <c r="L1299" s="1436"/>
      <c r="M1299" s="1436"/>
      <c r="N1299" s="1436"/>
      <c r="O1299" s="1436"/>
      <c r="P1299" s="1436"/>
      <c r="Q1299" s="1436"/>
      <c r="R1299" s="1436"/>
      <c r="S1299" s="1436"/>
      <c r="T1299" s="1436"/>
      <c r="U1299" s="1436"/>
      <c r="V1299" s="1436"/>
      <c r="W1299" s="1436"/>
      <c r="X1299" s="1436"/>
      <c r="Y1299" s="1436"/>
      <c r="Z1299" s="1436"/>
      <c r="AA1299" s="1436"/>
      <c r="AB1299" s="1436"/>
      <c r="AC1299" s="1436"/>
      <c r="AD1299" s="1436"/>
      <c r="AE1299" s="1436"/>
      <c r="AF1299" s="1436"/>
    </row>
    <row r="1300" spans="1:32">
      <c r="A1300" s="1436"/>
      <c r="B1300" s="1436"/>
      <c r="C1300" s="1436"/>
      <c r="D1300" s="1436"/>
      <c r="E1300" s="1436"/>
      <c r="F1300" s="1436"/>
      <c r="G1300" s="1436"/>
      <c r="H1300" s="1436"/>
      <c r="I1300" s="1436"/>
      <c r="J1300" s="1436"/>
      <c r="K1300" s="1436"/>
      <c r="L1300" s="1436"/>
      <c r="M1300" s="1436"/>
      <c r="N1300" s="1436"/>
      <c r="O1300" s="1436"/>
      <c r="P1300" s="1436"/>
      <c r="Q1300" s="1436"/>
      <c r="R1300" s="1436"/>
      <c r="S1300" s="1436"/>
      <c r="T1300" s="1436"/>
      <c r="U1300" s="1436"/>
      <c r="V1300" s="1436"/>
      <c r="W1300" s="1436"/>
      <c r="X1300" s="1436"/>
      <c r="Y1300" s="1436"/>
      <c r="Z1300" s="1436"/>
      <c r="AA1300" s="1436"/>
      <c r="AB1300" s="1436"/>
      <c r="AC1300" s="1436"/>
      <c r="AD1300" s="1436"/>
      <c r="AE1300" s="1436"/>
      <c r="AF1300" s="1436"/>
    </row>
    <row r="1301" spans="1:32">
      <c r="A1301" s="1436"/>
      <c r="B1301" s="1436"/>
      <c r="C1301" s="1436"/>
      <c r="D1301" s="1436"/>
      <c r="E1301" s="1436"/>
      <c r="F1301" s="1436"/>
      <c r="G1301" s="1436"/>
      <c r="H1301" s="1436"/>
      <c r="I1301" s="1436"/>
      <c r="J1301" s="1436"/>
      <c r="K1301" s="1436"/>
      <c r="L1301" s="1436"/>
      <c r="M1301" s="1436"/>
      <c r="N1301" s="1436"/>
      <c r="O1301" s="1436"/>
      <c r="P1301" s="1436"/>
      <c r="Q1301" s="1436"/>
      <c r="R1301" s="1436"/>
      <c r="S1301" s="1436"/>
      <c r="T1301" s="1436"/>
      <c r="U1301" s="1436"/>
      <c r="V1301" s="1436"/>
      <c r="W1301" s="1436"/>
      <c r="X1301" s="1436"/>
      <c r="Y1301" s="1436"/>
      <c r="Z1301" s="1436"/>
      <c r="AA1301" s="1436"/>
      <c r="AB1301" s="1436"/>
      <c r="AC1301" s="1436"/>
      <c r="AD1301" s="1436"/>
      <c r="AE1301" s="1436"/>
      <c r="AF1301" s="1436"/>
    </row>
    <row r="1302" spans="1:32">
      <c r="A1302" s="1436"/>
      <c r="B1302" s="1436"/>
      <c r="C1302" s="1436"/>
      <c r="D1302" s="1436"/>
      <c r="E1302" s="1436"/>
      <c r="F1302" s="1436"/>
      <c r="G1302" s="1436"/>
      <c r="H1302" s="1436"/>
      <c r="I1302" s="1436"/>
      <c r="J1302" s="1436"/>
      <c r="K1302" s="1436"/>
      <c r="L1302" s="1436"/>
      <c r="M1302" s="1436"/>
      <c r="N1302" s="1436"/>
      <c r="O1302" s="1436"/>
      <c r="P1302" s="1436"/>
      <c r="Q1302" s="1436"/>
      <c r="R1302" s="1436"/>
      <c r="S1302" s="1436"/>
      <c r="T1302" s="1436"/>
      <c r="U1302" s="1436"/>
      <c r="V1302" s="1436"/>
      <c r="W1302" s="1436"/>
      <c r="X1302" s="1436"/>
      <c r="Y1302" s="1436"/>
      <c r="Z1302" s="1436"/>
      <c r="AA1302" s="1436"/>
      <c r="AB1302" s="1436"/>
      <c r="AC1302" s="1436"/>
      <c r="AD1302" s="1436"/>
      <c r="AE1302" s="1436"/>
      <c r="AF1302" s="1436"/>
    </row>
    <row r="1303" spans="1:32">
      <c r="A1303" s="1436"/>
      <c r="B1303" s="1436"/>
      <c r="C1303" s="1436"/>
      <c r="D1303" s="1436"/>
      <c r="E1303" s="1436"/>
      <c r="F1303" s="1436"/>
      <c r="G1303" s="1436"/>
      <c r="H1303" s="1436"/>
      <c r="I1303" s="1436"/>
      <c r="J1303" s="1436"/>
      <c r="K1303" s="1436"/>
      <c r="L1303" s="1436"/>
      <c r="M1303" s="1436"/>
      <c r="N1303" s="1436"/>
      <c r="O1303" s="1436"/>
      <c r="P1303" s="1436"/>
      <c r="Q1303" s="1436"/>
      <c r="R1303" s="1436"/>
      <c r="S1303" s="1436"/>
      <c r="T1303" s="1436"/>
      <c r="U1303" s="1436"/>
      <c r="V1303" s="1436"/>
      <c r="W1303" s="1436"/>
      <c r="X1303" s="1436"/>
      <c r="Y1303" s="1436"/>
      <c r="Z1303" s="1436"/>
      <c r="AA1303" s="1436"/>
      <c r="AB1303" s="1436"/>
      <c r="AC1303" s="1436"/>
      <c r="AD1303" s="1436"/>
      <c r="AE1303" s="1436"/>
      <c r="AF1303" s="1436"/>
    </row>
    <row r="1304" spans="1:32">
      <c r="A1304" s="1436"/>
      <c r="B1304" s="1436"/>
      <c r="C1304" s="1436"/>
      <c r="D1304" s="1436"/>
      <c r="E1304" s="1436"/>
      <c r="F1304" s="1436"/>
      <c r="G1304" s="1436"/>
      <c r="H1304" s="1436"/>
      <c r="I1304" s="1436"/>
      <c r="J1304" s="1436"/>
      <c r="K1304" s="1436"/>
      <c r="L1304" s="1436"/>
      <c r="M1304" s="1436"/>
      <c r="N1304" s="1436"/>
      <c r="O1304" s="1436"/>
      <c r="P1304" s="1436"/>
      <c r="Q1304" s="1436"/>
      <c r="R1304" s="1436"/>
      <c r="S1304" s="1436"/>
      <c r="T1304" s="1436"/>
      <c r="U1304" s="1436"/>
      <c r="V1304" s="1436"/>
      <c r="W1304" s="1436"/>
      <c r="X1304" s="1436"/>
      <c r="Y1304" s="1436"/>
      <c r="Z1304" s="1436"/>
      <c r="AA1304" s="1436"/>
      <c r="AB1304" s="1436"/>
      <c r="AC1304" s="1436"/>
      <c r="AD1304" s="1436"/>
      <c r="AE1304" s="1436"/>
      <c r="AF1304" s="1436"/>
    </row>
    <row r="1305" spans="1:32">
      <c r="A1305" s="1436"/>
      <c r="B1305" s="1436"/>
      <c r="C1305" s="1436"/>
      <c r="D1305" s="1436"/>
      <c r="E1305" s="1436"/>
      <c r="F1305" s="1436"/>
      <c r="G1305" s="1436"/>
      <c r="H1305" s="1436"/>
      <c r="I1305" s="1436"/>
      <c r="J1305" s="1436"/>
      <c r="K1305" s="1436"/>
      <c r="L1305" s="1436"/>
      <c r="M1305" s="1436"/>
      <c r="N1305" s="1436"/>
      <c r="O1305" s="1436"/>
      <c r="P1305" s="1436"/>
      <c r="Q1305" s="1436"/>
      <c r="R1305" s="1436"/>
      <c r="S1305" s="1436"/>
      <c r="T1305" s="1436"/>
      <c r="U1305" s="1436"/>
      <c r="V1305" s="1436"/>
      <c r="W1305" s="1436"/>
      <c r="X1305" s="1436"/>
      <c r="Y1305" s="1436"/>
      <c r="Z1305" s="1436"/>
      <c r="AA1305" s="1436"/>
      <c r="AB1305" s="1436"/>
      <c r="AC1305" s="1436"/>
      <c r="AD1305" s="1436"/>
      <c r="AE1305" s="1436"/>
      <c r="AF1305" s="1436"/>
    </row>
    <row r="1306" spans="1:32">
      <c r="A1306" s="1436"/>
      <c r="B1306" s="1436"/>
      <c r="C1306" s="1436"/>
      <c r="D1306" s="1436"/>
      <c r="E1306" s="1436"/>
      <c r="F1306" s="1436"/>
      <c r="G1306" s="1436"/>
      <c r="H1306" s="1436"/>
      <c r="I1306" s="1436"/>
      <c r="J1306" s="1436"/>
      <c r="K1306" s="1436"/>
      <c r="L1306" s="1436"/>
      <c r="M1306" s="1436"/>
      <c r="N1306" s="1436"/>
      <c r="O1306" s="1436"/>
      <c r="P1306" s="1436"/>
      <c r="Q1306" s="1436"/>
      <c r="R1306" s="1436"/>
      <c r="S1306" s="1436"/>
      <c r="T1306" s="1436"/>
      <c r="U1306" s="1436"/>
      <c r="V1306" s="1436"/>
      <c r="W1306" s="1436"/>
      <c r="X1306" s="1436"/>
      <c r="Y1306" s="1436"/>
      <c r="Z1306" s="1436"/>
      <c r="AA1306" s="1436"/>
      <c r="AB1306" s="1436"/>
      <c r="AC1306" s="1436"/>
      <c r="AD1306" s="1436"/>
      <c r="AE1306" s="1436"/>
      <c r="AF1306" s="1436"/>
    </row>
    <row r="1307" spans="1:32">
      <c r="A1307" s="1436"/>
      <c r="B1307" s="1436"/>
      <c r="C1307" s="1436"/>
      <c r="D1307" s="1436"/>
      <c r="E1307" s="1436"/>
      <c r="F1307" s="1436"/>
      <c r="G1307" s="1436"/>
      <c r="H1307" s="1436"/>
      <c r="I1307" s="1436"/>
      <c r="J1307" s="1436"/>
      <c r="K1307" s="1436"/>
      <c r="L1307" s="1436"/>
      <c r="M1307" s="1436"/>
      <c r="N1307" s="1436"/>
      <c r="O1307" s="1436"/>
      <c r="P1307" s="1436"/>
      <c r="Q1307" s="1436"/>
      <c r="R1307" s="1436"/>
      <c r="S1307" s="1436"/>
      <c r="T1307" s="1436"/>
      <c r="U1307" s="1436"/>
      <c r="V1307" s="1436"/>
      <c r="W1307" s="1436"/>
      <c r="X1307" s="1436"/>
      <c r="Y1307" s="1436"/>
      <c r="Z1307" s="1436"/>
      <c r="AA1307" s="1436"/>
      <c r="AB1307" s="1436"/>
      <c r="AC1307" s="1436"/>
      <c r="AD1307" s="1436"/>
      <c r="AE1307" s="1436"/>
      <c r="AF1307" s="1436"/>
    </row>
    <row r="1308" spans="1:32">
      <c r="A1308" s="1436"/>
      <c r="B1308" s="1436"/>
      <c r="C1308" s="1436"/>
      <c r="D1308" s="1436"/>
      <c r="E1308" s="1436"/>
      <c r="F1308" s="1436"/>
      <c r="G1308" s="1436"/>
      <c r="H1308" s="1436"/>
      <c r="I1308" s="1436"/>
      <c r="J1308" s="1436"/>
      <c r="K1308" s="1436"/>
      <c r="L1308" s="1436"/>
      <c r="M1308" s="1436"/>
      <c r="N1308" s="1436"/>
      <c r="O1308" s="1436"/>
      <c r="P1308" s="1436"/>
      <c r="Q1308" s="1436"/>
      <c r="R1308" s="1436"/>
      <c r="S1308" s="1436"/>
      <c r="T1308" s="1436"/>
      <c r="U1308" s="1436"/>
      <c r="V1308" s="1436"/>
      <c r="W1308" s="1436"/>
      <c r="X1308" s="1436"/>
      <c r="Y1308" s="1436"/>
      <c r="Z1308" s="1436"/>
      <c r="AA1308" s="1436"/>
      <c r="AB1308" s="1436"/>
      <c r="AC1308" s="1436"/>
      <c r="AD1308" s="1436"/>
      <c r="AE1308" s="1436"/>
      <c r="AF1308" s="1436"/>
    </row>
    <row r="1309" spans="1:32">
      <c r="A1309" s="1436"/>
      <c r="B1309" s="1436"/>
      <c r="C1309" s="1436"/>
      <c r="D1309" s="1436"/>
      <c r="E1309" s="1436"/>
      <c r="F1309" s="1436"/>
      <c r="G1309" s="1436"/>
      <c r="H1309" s="1436"/>
      <c r="I1309" s="1436"/>
      <c r="J1309" s="1436"/>
      <c r="K1309" s="1436"/>
      <c r="L1309" s="1436"/>
      <c r="M1309" s="1436"/>
      <c r="N1309" s="1436"/>
      <c r="O1309" s="1436"/>
      <c r="P1309" s="1436"/>
      <c r="Q1309" s="1436"/>
      <c r="R1309" s="1436"/>
      <c r="S1309" s="1436"/>
      <c r="T1309" s="1436"/>
      <c r="U1309" s="1436"/>
      <c r="V1309" s="1436"/>
      <c r="W1309" s="1436"/>
      <c r="X1309" s="1436"/>
      <c r="Y1309" s="1436"/>
      <c r="Z1309" s="1436"/>
      <c r="AA1309" s="1436"/>
      <c r="AB1309" s="1436"/>
      <c r="AC1309" s="1436"/>
      <c r="AD1309" s="1436"/>
      <c r="AE1309" s="1436"/>
      <c r="AF1309" s="1436"/>
    </row>
    <row r="1310" spans="1:32">
      <c r="A1310" s="1436"/>
      <c r="B1310" s="1436"/>
      <c r="C1310" s="1436"/>
      <c r="D1310" s="1436"/>
      <c r="E1310" s="1436"/>
      <c r="F1310" s="1436"/>
      <c r="G1310" s="1436"/>
      <c r="H1310" s="1436"/>
      <c r="I1310" s="1436"/>
      <c r="J1310" s="1436"/>
      <c r="K1310" s="1436"/>
      <c r="L1310" s="1436"/>
      <c r="M1310" s="1436"/>
      <c r="N1310" s="1436"/>
      <c r="O1310" s="1436"/>
      <c r="P1310" s="1436"/>
      <c r="Q1310" s="1436"/>
      <c r="R1310" s="1436"/>
      <c r="S1310" s="1436"/>
      <c r="T1310" s="1436"/>
      <c r="U1310" s="1436"/>
      <c r="V1310" s="1436"/>
      <c r="W1310" s="1436"/>
      <c r="X1310" s="1436"/>
      <c r="Y1310" s="1436"/>
      <c r="Z1310" s="1436"/>
      <c r="AA1310" s="1436"/>
      <c r="AB1310" s="1436"/>
      <c r="AC1310" s="1436"/>
      <c r="AD1310" s="1436"/>
      <c r="AE1310" s="1436"/>
      <c r="AF1310" s="1436"/>
    </row>
    <row r="1311" spans="1:32">
      <c r="A1311" s="1436"/>
      <c r="B1311" s="1436"/>
      <c r="C1311" s="1436"/>
      <c r="D1311" s="1436"/>
      <c r="E1311" s="1436"/>
      <c r="F1311" s="1436"/>
      <c r="G1311" s="1436"/>
      <c r="H1311" s="1436"/>
      <c r="I1311" s="1436"/>
      <c r="J1311" s="1436"/>
      <c r="K1311" s="1436"/>
      <c r="L1311" s="1436"/>
      <c r="M1311" s="1436"/>
      <c r="N1311" s="1436"/>
      <c r="O1311" s="1436"/>
      <c r="P1311" s="1436"/>
      <c r="Q1311" s="1436"/>
      <c r="R1311" s="1436"/>
      <c r="S1311" s="1436"/>
      <c r="T1311" s="1436"/>
      <c r="U1311" s="1436"/>
      <c r="V1311" s="1436"/>
      <c r="W1311" s="1436"/>
      <c r="X1311" s="1436"/>
      <c r="Y1311" s="1436"/>
      <c r="Z1311" s="1436"/>
      <c r="AA1311" s="1436"/>
      <c r="AB1311" s="1436"/>
      <c r="AC1311" s="1436"/>
      <c r="AD1311" s="1436"/>
      <c r="AE1311" s="1436"/>
      <c r="AF1311" s="1436"/>
    </row>
    <row r="1312" spans="1:32">
      <c r="A1312" s="1436"/>
      <c r="B1312" s="1436"/>
      <c r="C1312" s="1436"/>
      <c r="D1312" s="1436"/>
      <c r="E1312" s="1436"/>
      <c r="F1312" s="1436"/>
      <c r="G1312" s="1436"/>
      <c r="H1312" s="1436"/>
      <c r="I1312" s="1436"/>
      <c r="J1312" s="1436"/>
      <c r="K1312" s="1436"/>
      <c r="L1312" s="1436"/>
      <c r="M1312" s="1436"/>
      <c r="N1312" s="1436"/>
      <c r="O1312" s="1436"/>
      <c r="P1312" s="1436"/>
      <c r="Q1312" s="1436"/>
      <c r="R1312" s="1436"/>
      <c r="S1312" s="1436"/>
      <c r="T1312" s="1436"/>
      <c r="U1312" s="1436"/>
      <c r="V1312" s="1436"/>
      <c r="W1312" s="1436"/>
      <c r="X1312" s="1436"/>
      <c r="Y1312" s="1436"/>
      <c r="Z1312" s="1436"/>
      <c r="AA1312" s="1436"/>
      <c r="AB1312" s="1436"/>
      <c r="AC1312" s="1436"/>
      <c r="AD1312" s="1436"/>
      <c r="AE1312" s="1436"/>
      <c r="AF1312" s="1436"/>
    </row>
    <row r="1313" spans="1:32">
      <c r="A1313" s="1436"/>
      <c r="B1313" s="1436"/>
      <c r="C1313" s="1436"/>
      <c r="D1313" s="1436"/>
      <c r="E1313" s="1436"/>
      <c r="F1313" s="1436"/>
      <c r="G1313" s="1436"/>
      <c r="H1313" s="1436"/>
      <c r="I1313" s="1436"/>
      <c r="J1313" s="1436"/>
      <c r="K1313" s="1436"/>
      <c r="L1313" s="1436"/>
      <c r="M1313" s="1436"/>
      <c r="N1313" s="1436"/>
      <c r="O1313" s="1436"/>
      <c r="P1313" s="1436"/>
      <c r="Q1313" s="1436"/>
      <c r="R1313" s="1436"/>
      <c r="S1313" s="1436"/>
      <c r="T1313" s="1436"/>
      <c r="U1313" s="1436"/>
      <c r="V1313" s="1436"/>
      <c r="W1313" s="1436"/>
      <c r="X1313" s="1436"/>
      <c r="Y1313" s="1436"/>
      <c r="Z1313" s="1436"/>
      <c r="AA1313" s="1436"/>
      <c r="AB1313" s="1436"/>
      <c r="AC1313" s="1436"/>
      <c r="AD1313" s="1436"/>
      <c r="AE1313" s="1436"/>
      <c r="AF1313" s="1436"/>
    </row>
    <row r="1314" spans="1:32">
      <c r="A1314" s="1436"/>
      <c r="B1314" s="1436"/>
      <c r="C1314" s="1436"/>
      <c r="D1314" s="1436"/>
      <c r="E1314" s="1436"/>
      <c r="F1314" s="1436"/>
      <c r="G1314" s="1436"/>
      <c r="H1314" s="1436"/>
      <c r="I1314" s="1436"/>
      <c r="J1314" s="1436"/>
      <c r="K1314" s="1436"/>
      <c r="L1314" s="1436"/>
      <c r="M1314" s="1436"/>
      <c r="N1314" s="1436"/>
      <c r="O1314" s="1436"/>
      <c r="P1314" s="1436"/>
      <c r="Q1314" s="1436"/>
      <c r="R1314" s="1436"/>
      <c r="S1314" s="1436"/>
      <c r="T1314" s="1436"/>
      <c r="U1314" s="1436"/>
      <c r="V1314" s="1436"/>
      <c r="W1314" s="1436"/>
      <c r="X1314" s="1436"/>
      <c r="Y1314" s="1436"/>
      <c r="Z1314" s="1436"/>
      <c r="AA1314" s="1436"/>
      <c r="AB1314" s="1436"/>
      <c r="AC1314" s="1436"/>
      <c r="AD1314" s="1436"/>
      <c r="AE1314" s="1436"/>
      <c r="AF1314" s="1436"/>
    </row>
    <row r="1315" spans="1:32">
      <c r="A1315" s="1436"/>
      <c r="B1315" s="1436"/>
      <c r="C1315" s="1436"/>
      <c r="D1315" s="1436"/>
      <c r="E1315" s="1436"/>
      <c r="F1315" s="1436"/>
      <c r="G1315" s="1436"/>
      <c r="H1315" s="1436"/>
      <c r="I1315" s="1436"/>
      <c r="J1315" s="1436"/>
      <c r="K1315" s="1436"/>
      <c r="L1315" s="1436"/>
      <c r="M1315" s="1436"/>
      <c r="N1315" s="1436"/>
      <c r="O1315" s="1436"/>
      <c r="P1315" s="1436"/>
      <c r="Q1315" s="1436"/>
      <c r="R1315" s="1436"/>
      <c r="S1315" s="1436"/>
      <c r="T1315" s="1436"/>
      <c r="U1315" s="1436"/>
      <c r="V1315" s="1436"/>
      <c r="W1315" s="1436"/>
      <c r="X1315" s="1436"/>
      <c r="Y1315" s="1436"/>
      <c r="Z1315" s="1436"/>
      <c r="AA1315" s="1436"/>
      <c r="AB1315" s="1436"/>
      <c r="AC1315" s="1436"/>
      <c r="AD1315" s="1436"/>
      <c r="AE1315" s="1436"/>
      <c r="AF1315" s="1436"/>
    </row>
    <row r="1316" spans="1:32">
      <c r="A1316" s="1436"/>
      <c r="B1316" s="1436"/>
      <c r="C1316" s="1436"/>
      <c r="D1316" s="1436"/>
      <c r="E1316" s="1436"/>
      <c r="F1316" s="1436"/>
      <c r="G1316" s="1436"/>
      <c r="H1316" s="1436"/>
      <c r="I1316" s="1436"/>
      <c r="J1316" s="1436"/>
      <c r="K1316" s="1436"/>
      <c r="L1316" s="1436"/>
      <c r="M1316" s="1436"/>
      <c r="N1316" s="1436"/>
      <c r="O1316" s="1436"/>
      <c r="P1316" s="1436"/>
      <c r="Q1316" s="1436"/>
      <c r="R1316" s="1436"/>
      <c r="S1316" s="1436"/>
      <c r="T1316" s="1436"/>
      <c r="U1316" s="1436"/>
      <c r="V1316" s="1436"/>
      <c r="W1316" s="1436"/>
      <c r="X1316" s="1436"/>
      <c r="Y1316" s="1436"/>
      <c r="Z1316" s="1436"/>
      <c r="AA1316" s="1436"/>
      <c r="AB1316" s="1436"/>
      <c r="AC1316" s="1436"/>
      <c r="AD1316" s="1436"/>
      <c r="AE1316" s="1436"/>
      <c r="AF1316" s="1436"/>
    </row>
    <row r="1317" spans="1:32">
      <c r="A1317" s="1436"/>
      <c r="B1317" s="1436"/>
      <c r="C1317" s="1436"/>
      <c r="D1317" s="1436"/>
      <c r="E1317" s="1436"/>
      <c r="F1317" s="1436"/>
      <c r="G1317" s="1436"/>
      <c r="H1317" s="1436"/>
      <c r="I1317" s="1436"/>
      <c r="J1317" s="1436"/>
      <c r="K1317" s="1436"/>
      <c r="L1317" s="1436"/>
      <c r="M1317" s="1436"/>
      <c r="N1317" s="1436"/>
      <c r="O1317" s="1436"/>
      <c r="P1317" s="1436"/>
      <c r="Q1317" s="1436"/>
      <c r="R1317" s="1436"/>
      <c r="S1317" s="1436"/>
      <c r="T1317" s="1436"/>
      <c r="U1317" s="1436"/>
      <c r="V1317" s="1436"/>
      <c r="W1317" s="1436"/>
      <c r="X1317" s="1436"/>
      <c r="Y1317" s="1436"/>
      <c r="Z1317" s="1436"/>
      <c r="AA1317" s="1436"/>
      <c r="AB1317" s="1436"/>
      <c r="AC1317" s="1436"/>
      <c r="AD1317" s="1436"/>
      <c r="AE1317" s="1436"/>
      <c r="AF1317" s="1436"/>
    </row>
    <row r="1318" spans="1:32">
      <c r="A1318" s="1436"/>
      <c r="B1318" s="1436"/>
      <c r="C1318" s="1436"/>
      <c r="D1318" s="1436"/>
      <c r="E1318" s="1436"/>
      <c r="F1318" s="1436"/>
      <c r="G1318" s="1436"/>
      <c r="H1318" s="1436"/>
      <c r="I1318" s="1436"/>
      <c r="J1318" s="1436"/>
      <c r="K1318" s="1436"/>
      <c r="L1318" s="1436"/>
      <c r="M1318" s="1436"/>
      <c r="N1318" s="1436"/>
      <c r="O1318" s="1436"/>
      <c r="P1318" s="1436"/>
      <c r="Q1318" s="1436"/>
      <c r="R1318" s="1436"/>
      <c r="S1318" s="1436"/>
      <c r="T1318" s="1436"/>
      <c r="U1318" s="1436"/>
      <c r="V1318" s="1436"/>
      <c r="W1318" s="1436"/>
      <c r="X1318" s="1436"/>
      <c r="Y1318" s="1436"/>
      <c r="Z1318" s="1436"/>
      <c r="AA1318" s="1436"/>
      <c r="AB1318" s="1436"/>
      <c r="AC1318" s="1436"/>
      <c r="AD1318" s="1436"/>
      <c r="AE1318" s="1436"/>
      <c r="AF1318" s="1436"/>
    </row>
    <row r="1319" spans="1:32">
      <c r="A1319" s="1436"/>
      <c r="B1319" s="1436"/>
      <c r="C1319" s="1436"/>
      <c r="D1319" s="1436"/>
      <c r="E1319" s="1436"/>
      <c r="F1319" s="1436"/>
      <c r="G1319" s="1436"/>
      <c r="H1319" s="1436"/>
      <c r="I1319" s="1436"/>
      <c r="J1319" s="1436"/>
      <c r="K1319" s="1436"/>
      <c r="L1319" s="1436"/>
      <c r="M1319" s="1436"/>
      <c r="N1319" s="1436"/>
      <c r="O1319" s="1436"/>
      <c r="P1319" s="1436"/>
      <c r="Q1319" s="1436"/>
      <c r="R1319" s="1436"/>
      <c r="S1319" s="1436"/>
      <c r="T1319" s="1436"/>
      <c r="U1319" s="1436"/>
      <c r="V1319" s="1436"/>
      <c r="W1319" s="1436"/>
      <c r="X1319" s="1436"/>
      <c r="Y1319" s="1436"/>
      <c r="Z1319" s="1436"/>
      <c r="AA1319" s="1436"/>
      <c r="AB1319" s="1436"/>
      <c r="AC1319" s="1436"/>
      <c r="AD1319" s="1436"/>
      <c r="AE1319" s="1436"/>
      <c r="AF1319" s="1436"/>
    </row>
    <row r="1320" spans="1:32">
      <c r="A1320" s="1436"/>
      <c r="B1320" s="1436"/>
      <c r="C1320" s="1436"/>
      <c r="D1320" s="1436"/>
      <c r="E1320" s="1436"/>
      <c r="F1320" s="1436"/>
      <c r="G1320" s="1436"/>
      <c r="H1320" s="1436"/>
      <c r="I1320" s="1436"/>
      <c r="J1320" s="1436"/>
      <c r="K1320" s="1436"/>
      <c r="L1320" s="1436"/>
      <c r="M1320" s="1436"/>
      <c r="N1320" s="1436"/>
      <c r="O1320" s="1436"/>
      <c r="P1320" s="1436"/>
      <c r="Q1320" s="1436"/>
      <c r="R1320" s="1436"/>
      <c r="S1320" s="1436"/>
      <c r="T1320" s="1436"/>
      <c r="U1320" s="1436"/>
      <c r="V1320" s="1436"/>
      <c r="W1320" s="1436"/>
      <c r="X1320" s="1436"/>
      <c r="Y1320" s="1436"/>
      <c r="Z1320" s="1436"/>
      <c r="AA1320" s="1436"/>
      <c r="AB1320" s="1436"/>
      <c r="AC1320" s="1436"/>
      <c r="AD1320" s="1436"/>
      <c r="AE1320" s="1436"/>
      <c r="AF1320" s="1436"/>
    </row>
    <row r="1321" spans="1:32">
      <c r="A1321" s="1436"/>
      <c r="B1321" s="1436"/>
      <c r="C1321" s="1436"/>
      <c r="D1321" s="1436"/>
      <c r="E1321" s="1436"/>
      <c r="F1321" s="1436"/>
      <c r="G1321" s="1436"/>
      <c r="H1321" s="1436"/>
      <c r="I1321" s="1436"/>
      <c r="J1321" s="1436"/>
      <c r="K1321" s="1436"/>
      <c r="L1321" s="1436"/>
      <c r="M1321" s="1436"/>
      <c r="N1321" s="1436"/>
      <c r="O1321" s="1436"/>
      <c r="P1321" s="1436"/>
      <c r="Q1321" s="1436"/>
      <c r="R1321" s="1436"/>
      <c r="S1321" s="1436"/>
      <c r="T1321" s="1436"/>
      <c r="U1321" s="1436"/>
      <c r="V1321" s="1436"/>
      <c r="W1321" s="1436"/>
      <c r="X1321" s="1436"/>
      <c r="Y1321" s="1436"/>
      <c r="Z1321" s="1436"/>
      <c r="AA1321" s="1436"/>
      <c r="AB1321" s="1436"/>
      <c r="AC1321" s="1436"/>
      <c r="AD1321" s="1436"/>
      <c r="AE1321" s="1436"/>
      <c r="AF1321" s="1436"/>
    </row>
    <row r="1322" spans="1:32">
      <c r="A1322" s="1436"/>
      <c r="B1322" s="1436"/>
      <c r="C1322" s="1436"/>
      <c r="D1322" s="1436"/>
      <c r="E1322" s="1436"/>
      <c r="F1322" s="1436"/>
      <c r="G1322" s="1436"/>
      <c r="H1322" s="1436"/>
      <c r="I1322" s="1436"/>
      <c r="J1322" s="1436"/>
      <c r="K1322" s="1436"/>
      <c r="L1322" s="1436"/>
      <c r="M1322" s="1436"/>
      <c r="N1322" s="1436"/>
      <c r="O1322" s="1436"/>
      <c r="P1322" s="1436"/>
      <c r="Q1322" s="1436"/>
      <c r="R1322" s="1436"/>
      <c r="S1322" s="1436"/>
      <c r="T1322" s="1436"/>
      <c r="U1322" s="1436"/>
      <c r="V1322" s="1436"/>
      <c r="W1322" s="1436"/>
      <c r="X1322" s="1436"/>
      <c r="Y1322" s="1436"/>
      <c r="Z1322" s="1436"/>
      <c r="AA1322" s="1436"/>
      <c r="AB1322" s="1436"/>
      <c r="AC1322" s="1436"/>
      <c r="AD1322" s="1436"/>
      <c r="AE1322" s="1436"/>
      <c r="AF1322" s="1436"/>
    </row>
    <row r="1323" spans="1:32">
      <c r="A1323" s="1436"/>
      <c r="B1323" s="1436"/>
      <c r="C1323" s="1436"/>
      <c r="D1323" s="1436"/>
      <c r="E1323" s="1436"/>
      <c r="F1323" s="1436"/>
      <c r="G1323" s="1436"/>
      <c r="H1323" s="1436"/>
      <c r="I1323" s="1436"/>
      <c r="J1323" s="1436"/>
      <c r="K1323" s="1436"/>
      <c r="L1323" s="1436"/>
      <c r="M1323" s="1436"/>
      <c r="N1323" s="1436"/>
      <c r="O1323" s="1436"/>
      <c r="P1323" s="1436"/>
      <c r="Q1323" s="1436"/>
      <c r="R1323" s="1436"/>
      <c r="S1323" s="1436"/>
      <c r="T1323" s="1436"/>
      <c r="U1323" s="1436"/>
      <c r="V1323" s="1436"/>
      <c r="W1323" s="1436"/>
      <c r="X1323" s="1436"/>
      <c r="Y1323" s="1436"/>
      <c r="Z1323" s="1436"/>
      <c r="AA1323" s="1436"/>
      <c r="AB1323" s="1436"/>
      <c r="AC1323" s="1436"/>
      <c r="AD1323" s="1436"/>
      <c r="AE1323" s="1436"/>
      <c r="AF1323" s="1436"/>
    </row>
    <row r="1324" spans="1:32">
      <c r="A1324" s="1436"/>
      <c r="B1324" s="1436"/>
      <c r="C1324" s="1436"/>
      <c r="D1324" s="1436"/>
      <c r="E1324" s="1436"/>
      <c r="F1324" s="1436"/>
      <c r="G1324" s="1436"/>
      <c r="H1324" s="1436"/>
      <c r="I1324" s="1436"/>
      <c r="J1324" s="1436"/>
      <c r="K1324" s="1436"/>
      <c r="L1324" s="1436"/>
      <c r="M1324" s="1436"/>
      <c r="N1324" s="1436"/>
      <c r="O1324" s="1436"/>
      <c r="P1324" s="1436"/>
      <c r="Q1324" s="1436"/>
      <c r="R1324" s="1436"/>
      <c r="S1324" s="1436"/>
      <c r="T1324" s="1436"/>
      <c r="U1324" s="1436"/>
      <c r="V1324" s="1436"/>
      <c r="W1324" s="1436"/>
      <c r="X1324" s="1436"/>
      <c r="Y1324" s="1436"/>
      <c r="Z1324" s="1436"/>
      <c r="AA1324" s="1436"/>
      <c r="AB1324" s="1436"/>
      <c r="AC1324" s="1436"/>
      <c r="AD1324" s="1436"/>
      <c r="AE1324" s="1436"/>
      <c r="AF1324" s="1436"/>
    </row>
    <row r="1325" spans="1:32">
      <c r="A1325" s="1436"/>
      <c r="B1325" s="1436"/>
      <c r="C1325" s="1436"/>
      <c r="D1325" s="1436"/>
      <c r="E1325" s="1436"/>
      <c r="F1325" s="1436"/>
      <c r="G1325" s="1436"/>
      <c r="H1325" s="1436"/>
      <c r="I1325" s="1436"/>
      <c r="J1325" s="1436"/>
      <c r="K1325" s="1436"/>
      <c r="L1325" s="1436"/>
      <c r="M1325" s="1436"/>
      <c r="N1325" s="1436"/>
      <c r="O1325" s="1436"/>
      <c r="P1325" s="1436"/>
      <c r="Q1325" s="1436"/>
      <c r="R1325" s="1436"/>
      <c r="S1325" s="1436"/>
      <c r="T1325" s="1436"/>
      <c r="U1325" s="1436"/>
      <c r="V1325" s="1436"/>
      <c r="W1325" s="1436"/>
      <c r="X1325" s="1436"/>
      <c r="Y1325" s="1436"/>
      <c r="Z1325" s="1436"/>
      <c r="AA1325" s="1436"/>
      <c r="AB1325" s="1436"/>
      <c r="AC1325" s="1436"/>
      <c r="AD1325" s="1436"/>
      <c r="AE1325" s="1436"/>
      <c r="AF1325" s="1436"/>
    </row>
    <row r="1326" spans="1:32">
      <c r="A1326" s="1436"/>
      <c r="B1326" s="1436"/>
      <c r="C1326" s="1436"/>
      <c r="D1326" s="1436"/>
      <c r="E1326" s="1436"/>
      <c r="F1326" s="1436"/>
      <c r="G1326" s="1436"/>
      <c r="H1326" s="1436"/>
      <c r="I1326" s="1436"/>
      <c r="J1326" s="1436"/>
      <c r="K1326" s="1436"/>
      <c r="L1326" s="1436"/>
      <c r="M1326" s="1436"/>
      <c r="N1326" s="1436"/>
      <c r="O1326" s="1436"/>
      <c r="P1326" s="1436"/>
      <c r="Q1326" s="1436"/>
      <c r="R1326" s="1436"/>
      <c r="S1326" s="1436"/>
      <c r="T1326" s="1436"/>
      <c r="U1326" s="1436"/>
      <c r="V1326" s="1436"/>
      <c r="W1326" s="1436"/>
      <c r="X1326" s="1436"/>
      <c r="Y1326" s="1436"/>
      <c r="Z1326" s="1436"/>
      <c r="AA1326" s="1436"/>
      <c r="AB1326" s="1436"/>
      <c r="AC1326" s="1436"/>
      <c r="AD1326" s="1436"/>
      <c r="AE1326" s="1436"/>
      <c r="AF1326" s="1436"/>
    </row>
    <row r="1327" spans="1:32">
      <c r="A1327" s="1436"/>
      <c r="B1327" s="1436"/>
      <c r="C1327" s="1436"/>
      <c r="D1327" s="1436"/>
      <c r="E1327" s="1436"/>
      <c r="F1327" s="1436"/>
      <c r="G1327" s="1436"/>
      <c r="H1327" s="1436"/>
      <c r="I1327" s="1436"/>
      <c r="J1327" s="1436"/>
      <c r="K1327" s="1436"/>
      <c r="L1327" s="1436"/>
      <c r="M1327" s="1436"/>
      <c r="N1327" s="1436"/>
      <c r="O1327" s="1436"/>
      <c r="P1327" s="1436"/>
      <c r="Q1327" s="1436"/>
      <c r="R1327" s="1436"/>
      <c r="S1327" s="1436"/>
      <c r="T1327" s="1436"/>
      <c r="U1327" s="1436"/>
      <c r="V1327" s="1436"/>
      <c r="W1327" s="1436"/>
      <c r="X1327" s="1436"/>
      <c r="Y1327" s="1436"/>
      <c r="Z1327" s="1436"/>
      <c r="AA1327" s="1436"/>
      <c r="AB1327" s="1436"/>
      <c r="AC1327" s="1436"/>
      <c r="AD1327" s="1436"/>
      <c r="AE1327" s="1436"/>
      <c r="AF1327" s="1436"/>
    </row>
    <row r="1328" spans="1:32">
      <c r="A1328" s="1436"/>
      <c r="B1328" s="1436"/>
      <c r="C1328" s="1436"/>
      <c r="D1328" s="1436"/>
      <c r="E1328" s="1436"/>
      <c r="F1328" s="1436"/>
      <c r="G1328" s="1436"/>
      <c r="H1328" s="1436"/>
      <c r="I1328" s="1436"/>
      <c r="J1328" s="1436"/>
      <c r="K1328" s="1436"/>
      <c r="L1328" s="1436"/>
      <c r="M1328" s="1436"/>
      <c r="N1328" s="1436"/>
      <c r="O1328" s="1436"/>
      <c r="P1328" s="1436"/>
      <c r="Q1328" s="1436"/>
      <c r="R1328" s="1436"/>
      <c r="S1328" s="1436"/>
      <c r="T1328" s="1436"/>
      <c r="U1328" s="1436"/>
      <c r="V1328" s="1436"/>
      <c r="W1328" s="1436"/>
      <c r="X1328" s="1436"/>
      <c r="Y1328" s="1436"/>
      <c r="Z1328" s="1436"/>
      <c r="AA1328" s="1436"/>
      <c r="AB1328" s="1436"/>
      <c r="AC1328" s="1436"/>
      <c r="AD1328" s="1436"/>
      <c r="AE1328" s="1436"/>
      <c r="AF1328" s="1436"/>
    </row>
    <row r="1329" spans="1:32">
      <c r="A1329" s="1436"/>
      <c r="B1329" s="1436"/>
      <c r="C1329" s="1436"/>
      <c r="D1329" s="1436"/>
      <c r="E1329" s="1436"/>
      <c r="F1329" s="1436"/>
      <c r="G1329" s="1436"/>
      <c r="H1329" s="1436"/>
      <c r="I1329" s="1436"/>
      <c r="J1329" s="1436"/>
      <c r="K1329" s="1436"/>
      <c r="L1329" s="1436"/>
      <c r="M1329" s="1436"/>
      <c r="N1329" s="1436"/>
      <c r="O1329" s="1436"/>
      <c r="P1329" s="1436"/>
      <c r="Q1329" s="1436"/>
      <c r="R1329" s="1436"/>
      <c r="S1329" s="1436"/>
      <c r="T1329" s="1436"/>
      <c r="U1329" s="1436"/>
      <c r="V1329" s="1436"/>
      <c r="W1329" s="1436"/>
      <c r="X1329" s="1436"/>
      <c r="Y1329" s="1436"/>
      <c r="Z1329" s="1436"/>
      <c r="AA1329" s="1436"/>
      <c r="AB1329" s="1436"/>
      <c r="AC1329" s="1436"/>
      <c r="AD1329" s="1436"/>
      <c r="AE1329" s="1436"/>
      <c r="AF1329" s="1436"/>
    </row>
    <row r="1330" spans="1:32">
      <c r="A1330" s="1436"/>
      <c r="B1330" s="1436"/>
      <c r="C1330" s="1436"/>
      <c r="D1330" s="1436"/>
      <c r="E1330" s="1436"/>
      <c r="F1330" s="1436"/>
      <c r="G1330" s="1436"/>
      <c r="H1330" s="1436"/>
      <c r="I1330" s="1436"/>
      <c r="J1330" s="1436"/>
      <c r="K1330" s="1436"/>
      <c r="L1330" s="1436"/>
      <c r="M1330" s="1436"/>
      <c r="N1330" s="1436"/>
      <c r="O1330" s="1436"/>
      <c r="P1330" s="1436"/>
      <c r="Q1330" s="1436"/>
      <c r="R1330" s="1436"/>
      <c r="S1330" s="1436"/>
      <c r="T1330" s="1436"/>
      <c r="U1330" s="1436"/>
      <c r="V1330" s="1436"/>
      <c r="W1330" s="1436"/>
      <c r="X1330" s="1436"/>
      <c r="Y1330" s="1436"/>
      <c r="Z1330" s="1436"/>
      <c r="AA1330" s="1436"/>
      <c r="AB1330" s="1436"/>
      <c r="AC1330" s="1436"/>
      <c r="AD1330" s="1436"/>
      <c r="AE1330" s="1436"/>
      <c r="AF1330" s="1436"/>
    </row>
    <row r="1331" spans="1:32">
      <c r="A1331" s="1436"/>
      <c r="B1331" s="1436"/>
      <c r="C1331" s="1436"/>
      <c r="D1331" s="1436"/>
      <c r="E1331" s="1436"/>
      <c r="F1331" s="1436"/>
      <c r="G1331" s="1436"/>
      <c r="H1331" s="1436"/>
      <c r="I1331" s="1436"/>
      <c r="J1331" s="1436"/>
      <c r="K1331" s="1436"/>
      <c r="L1331" s="1436"/>
      <c r="M1331" s="1436"/>
      <c r="N1331" s="1436"/>
      <c r="O1331" s="1436"/>
      <c r="P1331" s="1436"/>
      <c r="Q1331" s="1436"/>
      <c r="R1331" s="1436"/>
      <c r="S1331" s="1436"/>
      <c r="T1331" s="1436"/>
      <c r="U1331" s="1436"/>
      <c r="V1331" s="1436"/>
      <c r="W1331" s="1436"/>
      <c r="X1331" s="1436"/>
      <c r="Y1331" s="1436"/>
      <c r="Z1331" s="1436"/>
      <c r="AA1331" s="1436"/>
      <c r="AB1331" s="1436"/>
      <c r="AC1331" s="1436"/>
      <c r="AD1331" s="1436"/>
      <c r="AE1331" s="1436"/>
      <c r="AF1331" s="1436"/>
    </row>
    <row r="1332" spans="1:32">
      <c r="A1332" s="1436"/>
      <c r="B1332" s="1436"/>
      <c r="C1332" s="1436"/>
      <c r="D1332" s="1436"/>
      <c r="E1332" s="1436"/>
      <c r="F1332" s="1436"/>
      <c r="G1332" s="1436"/>
      <c r="H1332" s="1436"/>
      <c r="I1332" s="1436"/>
      <c r="J1332" s="1436"/>
      <c r="K1332" s="1436"/>
      <c r="L1332" s="1436"/>
      <c r="M1332" s="1436"/>
      <c r="N1332" s="1436"/>
      <c r="O1332" s="1436"/>
      <c r="P1332" s="1436"/>
      <c r="Q1332" s="1436"/>
      <c r="R1332" s="1436"/>
      <c r="S1332" s="1436"/>
      <c r="T1332" s="1436"/>
      <c r="U1332" s="1436"/>
      <c r="V1332" s="1436"/>
      <c r="W1332" s="1436"/>
      <c r="X1332" s="1436"/>
      <c r="Y1332" s="1436"/>
      <c r="Z1332" s="1436"/>
      <c r="AA1332" s="1436"/>
      <c r="AB1332" s="1436"/>
      <c r="AC1332" s="1436"/>
      <c r="AD1332" s="1436"/>
      <c r="AE1332" s="1436"/>
      <c r="AF1332" s="1436"/>
    </row>
    <row r="1333" spans="1:32">
      <c r="A1333" s="1436"/>
      <c r="B1333" s="1436"/>
      <c r="C1333" s="1436"/>
      <c r="D1333" s="1436"/>
      <c r="E1333" s="1436"/>
      <c r="F1333" s="1436"/>
      <c r="G1333" s="1436"/>
      <c r="H1333" s="1436"/>
      <c r="I1333" s="1436"/>
      <c r="J1333" s="1436"/>
      <c r="K1333" s="1436"/>
      <c r="L1333" s="1436"/>
      <c r="M1333" s="1436"/>
      <c r="N1333" s="1436"/>
      <c r="O1333" s="1436"/>
      <c r="P1333" s="1436"/>
      <c r="Q1333" s="1436"/>
      <c r="R1333" s="1436"/>
      <c r="S1333" s="1436"/>
      <c r="T1333" s="1436"/>
      <c r="U1333" s="1436"/>
      <c r="V1333" s="1436"/>
      <c r="W1333" s="1436"/>
      <c r="X1333" s="1436"/>
      <c r="Y1333" s="1436"/>
      <c r="Z1333" s="1436"/>
      <c r="AA1333" s="1436"/>
      <c r="AB1333" s="1436"/>
      <c r="AC1333" s="1436"/>
      <c r="AD1333" s="1436"/>
      <c r="AE1333" s="1436"/>
      <c r="AF1333" s="1436"/>
    </row>
    <row r="1334" spans="1:32">
      <c r="A1334" s="1436"/>
      <c r="B1334" s="1436"/>
      <c r="C1334" s="1436"/>
      <c r="D1334" s="1436"/>
      <c r="E1334" s="1436"/>
      <c r="F1334" s="1436"/>
      <c r="G1334" s="1436"/>
      <c r="H1334" s="1436"/>
      <c r="I1334" s="1436"/>
      <c r="J1334" s="1436"/>
      <c r="K1334" s="1436"/>
      <c r="L1334" s="1436"/>
      <c r="M1334" s="1436"/>
      <c r="N1334" s="1436"/>
      <c r="O1334" s="1436"/>
      <c r="P1334" s="1436"/>
      <c r="Q1334" s="1436"/>
      <c r="R1334" s="1436"/>
      <c r="S1334" s="1436"/>
      <c r="T1334" s="1436"/>
      <c r="U1334" s="1436"/>
      <c r="V1334" s="1436"/>
      <c r="W1334" s="1436"/>
      <c r="X1334" s="1436"/>
      <c r="Y1334" s="1436"/>
      <c r="Z1334" s="1436"/>
      <c r="AA1334" s="1436"/>
      <c r="AB1334" s="1436"/>
      <c r="AC1334" s="1436"/>
      <c r="AD1334" s="1436"/>
      <c r="AE1334" s="1436"/>
      <c r="AF1334" s="1436"/>
    </row>
    <row r="1335" spans="1:32">
      <c r="A1335" s="1436"/>
      <c r="B1335" s="1436"/>
      <c r="C1335" s="1436"/>
      <c r="D1335" s="1436"/>
      <c r="E1335" s="1436"/>
      <c r="F1335" s="1436"/>
      <c r="G1335" s="1436"/>
      <c r="H1335" s="1436"/>
      <c r="I1335" s="1436"/>
      <c r="J1335" s="1436"/>
      <c r="K1335" s="1436"/>
      <c r="L1335" s="1436"/>
      <c r="M1335" s="1436"/>
      <c r="N1335" s="1436"/>
      <c r="O1335" s="1436"/>
      <c r="P1335" s="1436"/>
      <c r="Q1335" s="1436"/>
      <c r="R1335" s="1436"/>
      <c r="S1335" s="1436"/>
      <c r="T1335" s="1436"/>
      <c r="U1335" s="1436"/>
      <c r="V1335" s="1436"/>
      <c r="W1335" s="1436"/>
      <c r="X1335" s="1436"/>
      <c r="Y1335" s="1436"/>
      <c r="Z1335" s="1436"/>
      <c r="AA1335" s="1436"/>
      <c r="AB1335" s="1436"/>
      <c r="AC1335" s="1436"/>
      <c r="AD1335" s="1436"/>
      <c r="AE1335" s="1436"/>
      <c r="AF1335" s="1436"/>
    </row>
    <row r="1336" spans="1:32">
      <c r="A1336" s="1436"/>
      <c r="B1336" s="1436"/>
      <c r="C1336" s="1436"/>
      <c r="D1336" s="1436"/>
      <c r="E1336" s="1436"/>
      <c r="F1336" s="1436"/>
      <c r="G1336" s="1436"/>
      <c r="H1336" s="1436"/>
      <c r="I1336" s="1436"/>
      <c r="J1336" s="1436"/>
      <c r="K1336" s="1436"/>
      <c r="L1336" s="1436"/>
      <c r="M1336" s="1436"/>
      <c r="N1336" s="1436"/>
      <c r="O1336" s="1436"/>
      <c r="P1336" s="1436"/>
      <c r="Q1336" s="1436"/>
      <c r="R1336" s="1436"/>
      <c r="S1336" s="1436"/>
      <c r="T1336" s="1436"/>
      <c r="U1336" s="1436"/>
      <c r="V1336" s="1436"/>
      <c r="W1336" s="1436"/>
      <c r="X1336" s="1436"/>
      <c r="Y1336" s="1436"/>
      <c r="Z1336" s="1436"/>
      <c r="AA1336" s="1436"/>
      <c r="AB1336" s="1436"/>
      <c r="AC1336" s="1436"/>
      <c r="AD1336" s="1436"/>
      <c r="AE1336" s="1436"/>
      <c r="AF1336" s="1436"/>
    </row>
    <row r="1337" spans="1:32">
      <c r="A1337" s="1436"/>
      <c r="B1337" s="1436"/>
      <c r="C1337" s="1436"/>
      <c r="D1337" s="1436"/>
      <c r="E1337" s="1436"/>
      <c r="F1337" s="1436"/>
      <c r="G1337" s="1436"/>
      <c r="H1337" s="1436"/>
      <c r="I1337" s="1436"/>
      <c r="J1337" s="1436"/>
      <c r="K1337" s="1436"/>
      <c r="L1337" s="1436"/>
      <c r="M1337" s="1436"/>
      <c r="N1337" s="1436"/>
      <c r="O1337" s="1436"/>
      <c r="P1337" s="1436"/>
      <c r="Q1337" s="1436"/>
      <c r="R1337" s="1436"/>
      <c r="S1337" s="1436"/>
      <c r="T1337" s="1436"/>
      <c r="U1337" s="1436"/>
      <c r="V1337" s="1436"/>
      <c r="W1337" s="1436"/>
      <c r="X1337" s="1436"/>
      <c r="Y1337" s="1436"/>
      <c r="Z1337" s="1436"/>
      <c r="AA1337" s="1436"/>
      <c r="AB1337" s="1436"/>
      <c r="AC1337" s="1436"/>
      <c r="AD1337" s="1436"/>
      <c r="AE1337" s="1436"/>
      <c r="AF1337" s="1436"/>
    </row>
    <row r="1338" spans="1:32">
      <c r="A1338" s="1436"/>
      <c r="B1338" s="1436"/>
      <c r="C1338" s="1436"/>
      <c r="D1338" s="1436"/>
      <c r="E1338" s="1436"/>
      <c r="F1338" s="1436"/>
      <c r="G1338" s="1436"/>
      <c r="H1338" s="1436"/>
      <c r="I1338" s="1436"/>
      <c r="J1338" s="1436"/>
      <c r="K1338" s="1436"/>
      <c r="L1338" s="1436"/>
      <c r="M1338" s="1436"/>
      <c r="N1338" s="1436"/>
      <c r="O1338" s="1436"/>
      <c r="P1338" s="1436"/>
      <c r="Q1338" s="1436"/>
      <c r="R1338" s="1436"/>
      <c r="S1338" s="1436"/>
      <c r="T1338" s="1436"/>
      <c r="U1338" s="1436"/>
      <c r="V1338" s="1436"/>
      <c r="W1338" s="1436"/>
      <c r="X1338" s="1436"/>
      <c r="Y1338" s="1436"/>
      <c r="Z1338" s="1436"/>
      <c r="AA1338" s="1436"/>
      <c r="AB1338" s="1436"/>
      <c r="AC1338" s="1436"/>
      <c r="AD1338" s="1436"/>
      <c r="AE1338" s="1436"/>
      <c r="AF1338" s="1436"/>
    </row>
    <row r="1339" spans="1:32">
      <c r="A1339" s="1436"/>
      <c r="B1339" s="1436"/>
      <c r="C1339" s="1436"/>
      <c r="D1339" s="1436"/>
      <c r="E1339" s="1436"/>
      <c r="F1339" s="1436"/>
      <c r="G1339" s="1436"/>
      <c r="H1339" s="1436"/>
      <c r="I1339" s="1436"/>
      <c r="J1339" s="1436"/>
      <c r="K1339" s="1436"/>
      <c r="L1339" s="1436"/>
      <c r="M1339" s="1436"/>
      <c r="N1339" s="1436"/>
      <c r="O1339" s="1436"/>
      <c r="P1339" s="1436"/>
      <c r="Q1339" s="1436"/>
      <c r="R1339" s="1436"/>
      <c r="S1339" s="1436"/>
      <c r="T1339" s="1436"/>
      <c r="U1339" s="1436"/>
      <c r="V1339" s="1436"/>
      <c r="W1339" s="1436"/>
      <c r="X1339" s="1436"/>
      <c r="Y1339" s="1436"/>
      <c r="Z1339" s="1436"/>
      <c r="AA1339" s="1436"/>
      <c r="AB1339" s="1436"/>
      <c r="AC1339" s="1436"/>
      <c r="AD1339" s="1436"/>
      <c r="AE1339" s="1436"/>
      <c r="AF1339" s="1436"/>
    </row>
    <row r="1340" spans="1:32">
      <c r="A1340" s="1436"/>
      <c r="B1340" s="1436"/>
      <c r="C1340" s="1436"/>
      <c r="D1340" s="1436"/>
      <c r="E1340" s="1436"/>
      <c r="F1340" s="1436"/>
      <c r="G1340" s="1436"/>
      <c r="H1340" s="1436"/>
      <c r="I1340" s="1436"/>
      <c r="J1340" s="1436"/>
      <c r="K1340" s="1436"/>
      <c r="L1340" s="1436"/>
      <c r="M1340" s="1436"/>
      <c r="N1340" s="1436"/>
      <c r="O1340" s="1436"/>
      <c r="P1340" s="1436"/>
      <c r="Q1340" s="1436"/>
      <c r="R1340" s="1436"/>
      <c r="S1340" s="1436"/>
      <c r="T1340" s="1436"/>
      <c r="U1340" s="1436"/>
      <c r="V1340" s="1436"/>
      <c r="W1340" s="1436"/>
      <c r="X1340" s="1436"/>
      <c r="Y1340" s="1436"/>
      <c r="Z1340" s="1436"/>
      <c r="AA1340" s="1436"/>
      <c r="AB1340" s="1436"/>
      <c r="AC1340" s="1436"/>
      <c r="AD1340" s="1436"/>
      <c r="AE1340" s="1436"/>
      <c r="AF1340" s="1436"/>
    </row>
    <row r="1341" spans="1:32">
      <c r="A1341" s="1436"/>
      <c r="B1341" s="1436"/>
      <c r="C1341" s="1436"/>
      <c r="D1341" s="1436"/>
      <c r="E1341" s="1436"/>
      <c r="F1341" s="1436"/>
      <c r="G1341" s="1436"/>
      <c r="H1341" s="1436"/>
      <c r="I1341" s="1436"/>
      <c r="J1341" s="1436"/>
      <c r="K1341" s="1436"/>
      <c r="L1341" s="1436"/>
      <c r="M1341" s="1436"/>
      <c r="N1341" s="1436"/>
      <c r="O1341" s="1436"/>
      <c r="P1341" s="1436"/>
      <c r="Q1341" s="1436"/>
      <c r="R1341" s="1436"/>
      <c r="S1341" s="1436"/>
      <c r="T1341" s="1436"/>
      <c r="U1341" s="1436"/>
      <c r="V1341" s="1436"/>
      <c r="W1341" s="1436"/>
      <c r="X1341" s="1436"/>
      <c r="Y1341" s="1436"/>
      <c r="Z1341" s="1436"/>
      <c r="AA1341" s="1436"/>
      <c r="AB1341" s="1436"/>
      <c r="AC1341" s="1436"/>
      <c r="AD1341" s="1436"/>
      <c r="AE1341" s="1436"/>
      <c r="AF1341" s="1436"/>
    </row>
    <row r="1342" spans="1:32">
      <c r="A1342" s="1436"/>
      <c r="B1342" s="1436"/>
      <c r="C1342" s="1436"/>
      <c r="D1342" s="1436"/>
      <c r="E1342" s="1436"/>
      <c r="F1342" s="1436"/>
      <c r="G1342" s="1436"/>
      <c r="H1342" s="1436"/>
      <c r="I1342" s="1436"/>
      <c r="J1342" s="1436"/>
      <c r="K1342" s="1436"/>
      <c r="L1342" s="1436"/>
      <c r="M1342" s="1436"/>
      <c r="N1342" s="1436"/>
      <c r="O1342" s="1436"/>
      <c r="P1342" s="1436"/>
      <c r="Q1342" s="1436"/>
      <c r="R1342" s="1436"/>
      <c r="S1342" s="1436"/>
      <c r="T1342" s="1436"/>
      <c r="U1342" s="1436"/>
      <c r="V1342" s="1436"/>
      <c r="W1342" s="1436"/>
      <c r="X1342" s="1436"/>
      <c r="Y1342" s="1436"/>
      <c r="Z1342" s="1436"/>
      <c r="AA1342" s="1436"/>
      <c r="AB1342" s="1436"/>
      <c r="AC1342" s="1436"/>
      <c r="AD1342" s="1436"/>
      <c r="AE1342" s="1436"/>
      <c r="AF1342" s="1436"/>
    </row>
    <row r="1343" spans="1:32">
      <c r="A1343" s="1436"/>
      <c r="B1343" s="1436"/>
      <c r="C1343" s="1436"/>
      <c r="D1343" s="1436"/>
      <c r="E1343" s="1436"/>
      <c r="F1343" s="1436"/>
      <c r="G1343" s="1436"/>
      <c r="H1343" s="1436"/>
      <c r="I1343" s="1436"/>
      <c r="J1343" s="1436"/>
      <c r="K1343" s="1436"/>
      <c r="L1343" s="1436"/>
      <c r="M1343" s="1436"/>
      <c r="N1343" s="1436"/>
      <c r="O1343" s="1436"/>
      <c r="P1343" s="1436"/>
      <c r="Q1343" s="1436"/>
      <c r="R1343" s="1436"/>
      <c r="S1343" s="1436"/>
      <c r="T1343" s="1436"/>
      <c r="U1343" s="1436"/>
      <c r="V1343" s="1436"/>
      <c r="W1343" s="1436"/>
      <c r="X1343" s="1436"/>
      <c r="Y1343" s="1436"/>
      <c r="Z1343" s="1436"/>
      <c r="AA1343" s="1436"/>
      <c r="AB1343" s="1436"/>
      <c r="AC1343" s="1436"/>
      <c r="AD1343" s="1436"/>
      <c r="AE1343" s="1436"/>
      <c r="AF1343" s="1436"/>
    </row>
    <row r="1344" spans="1:32">
      <c r="A1344" s="1436"/>
      <c r="B1344" s="1436"/>
      <c r="C1344" s="1436"/>
      <c r="D1344" s="1436"/>
      <c r="E1344" s="1436"/>
      <c r="F1344" s="1436"/>
      <c r="G1344" s="1436"/>
      <c r="H1344" s="1436"/>
      <c r="I1344" s="1436"/>
      <c r="J1344" s="1436"/>
      <c r="K1344" s="1436"/>
      <c r="L1344" s="1436"/>
      <c r="M1344" s="1436"/>
      <c r="N1344" s="1436"/>
      <c r="O1344" s="1436"/>
      <c r="P1344" s="1436"/>
      <c r="Q1344" s="1436"/>
      <c r="R1344" s="1436"/>
      <c r="S1344" s="1436"/>
      <c r="T1344" s="1436"/>
      <c r="U1344" s="1436"/>
      <c r="V1344" s="1436"/>
      <c r="W1344" s="1436"/>
      <c r="X1344" s="1436"/>
      <c r="Y1344" s="1436"/>
      <c r="Z1344" s="1436"/>
      <c r="AA1344" s="1436"/>
      <c r="AB1344" s="1436"/>
      <c r="AC1344" s="1436"/>
      <c r="AD1344" s="1436"/>
      <c r="AE1344" s="1436"/>
      <c r="AF1344" s="1436"/>
    </row>
    <row r="1345" spans="1:32">
      <c r="A1345" s="1436"/>
      <c r="B1345" s="1436"/>
      <c r="C1345" s="1436"/>
      <c r="D1345" s="1436"/>
      <c r="E1345" s="1436"/>
      <c r="F1345" s="1436"/>
      <c r="G1345" s="1436"/>
      <c r="H1345" s="1436"/>
      <c r="I1345" s="1436"/>
      <c r="J1345" s="1436"/>
      <c r="K1345" s="1436"/>
      <c r="L1345" s="1436"/>
      <c r="M1345" s="1436"/>
      <c r="N1345" s="1436"/>
      <c r="O1345" s="1436"/>
      <c r="P1345" s="1436"/>
      <c r="Q1345" s="1436"/>
      <c r="R1345" s="1436"/>
      <c r="S1345" s="1436"/>
      <c r="T1345" s="1436"/>
      <c r="U1345" s="1436"/>
      <c r="V1345" s="1436"/>
      <c r="W1345" s="1436"/>
      <c r="X1345" s="1436"/>
      <c r="Y1345" s="1436"/>
      <c r="Z1345" s="1436"/>
      <c r="AA1345" s="1436"/>
      <c r="AB1345" s="1436"/>
      <c r="AC1345" s="1436"/>
      <c r="AD1345" s="1436"/>
      <c r="AE1345" s="1436"/>
      <c r="AF1345" s="1436"/>
    </row>
    <row r="1346" spans="1:32">
      <c r="A1346" s="1436"/>
      <c r="B1346" s="1436"/>
      <c r="C1346" s="1436"/>
      <c r="D1346" s="1436"/>
      <c r="E1346" s="1436"/>
      <c r="F1346" s="1436"/>
      <c r="G1346" s="1436"/>
      <c r="H1346" s="1436"/>
      <c r="I1346" s="1436"/>
      <c r="J1346" s="1436"/>
      <c r="K1346" s="1436"/>
      <c r="L1346" s="1436"/>
      <c r="M1346" s="1436"/>
      <c r="N1346" s="1436"/>
      <c r="O1346" s="1436"/>
      <c r="P1346" s="1436"/>
      <c r="Q1346" s="1436"/>
      <c r="R1346" s="1436"/>
      <c r="S1346" s="1436"/>
      <c r="T1346" s="1436"/>
      <c r="U1346" s="1436"/>
      <c r="V1346" s="1436"/>
      <c r="W1346" s="1436"/>
      <c r="X1346" s="1436"/>
      <c r="Y1346" s="1436"/>
      <c r="Z1346" s="1436"/>
      <c r="AA1346" s="1436"/>
      <c r="AB1346" s="1436"/>
      <c r="AC1346" s="1436"/>
      <c r="AD1346" s="1436"/>
      <c r="AE1346" s="1436"/>
      <c r="AF1346" s="1436"/>
    </row>
    <row r="1347" spans="1:32">
      <c r="A1347" s="1436"/>
      <c r="B1347" s="1436"/>
      <c r="C1347" s="1436"/>
      <c r="D1347" s="1436"/>
      <c r="E1347" s="1436"/>
      <c r="F1347" s="1436"/>
      <c r="G1347" s="1436"/>
      <c r="H1347" s="1436"/>
      <c r="I1347" s="1436"/>
      <c r="J1347" s="1436"/>
      <c r="K1347" s="1436"/>
      <c r="L1347" s="1436"/>
      <c r="M1347" s="1436"/>
      <c r="N1347" s="1436"/>
      <c r="O1347" s="1436"/>
      <c r="P1347" s="1436"/>
      <c r="Q1347" s="1436"/>
      <c r="R1347" s="1436"/>
      <c r="S1347" s="1436"/>
      <c r="T1347" s="1436"/>
      <c r="U1347" s="1436"/>
      <c r="V1347" s="1436"/>
      <c r="W1347" s="1436"/>
      <c r="X1347" s="1436"/>
      <c r="Y1347" s="1436"/>
      <c r="Z1347" s="1436"/>
      <c r="AA1347" s="1436"/>
      <c r="AB1347" s="1436"/>
      <c r="AC1347" s="1436"/>
      <c r="AD1347" s="1436"/>
      <c r="AE1347" s="1436"/>
      <c r="AF1347" s="1436"/>
    </row>
    <row r="1348" spans="1:32">
      <c r="A1348" s="1436"/>
      <c r="B1348" s="1436"/>
      <c r="C1348" s="1436"/>
      <c r="D1348" s="1436"/>
      <c r="E1348" s="1436"/>
      <c r="F1348" s="1436"/>
      <c r="G1348" s="1436"/>
      <c r="H1348" s="1436"/>
      <c r="I1348" s="1436"/>
      <c r="J1348" s="1436"/>
      <c r="K1348" s="1436"/>
      <c r="L1348" s="1436"/>
      <c r="M1348" s="1436"/>
      <c r="N1348" s="1436"/>
      <c r="O1348" s="1436"/>
      <c r="P1348" s="1436"/>
      <c r="Q1348" s="1436"/>
      <c r="R1348" s="1436"/>
      <c r="S1348" s="1436"/>
      <c r="T1348" s="1436"/>
      <c r="U1348" s="1436"/>
      <c r="V1348" s="1436"/>
      <c r="W1348" s="1436"/>
      <c r="X1348" s="1436"/>
      <c r="Y1348" s="1436"/>
      <c r="Z1348" s="1436"/>
      <c r="AA1348" s="1436"/>
      <c r="AB1348" s="1436"/>
      <c r="AC1348" s="1436"/>
      <c r="AD1348" s="1436"/>
      <c r="AE1348" s="1436"/>
      <c r="AF1348" s="1436"/>
    </row>
    <row r="1349" spans="1:32">
      <c r="A1349" s="1436"/>
      <c r="B1349" s="1436"/>
      <c r="C1349" s="1436"/>
      <c r="D1349" s="1436"/>
      <c r="E1349" s="1436"/>
      <c r="F1349" s="1436"/>
      <c r="G1349" s="1436"/>
      <c r="H1349" s="1436"/>
      <c r="I1349" s="1436"/>
      <c r="J1349" s="1436"/>
      <c r="K1349" s="1436"/>
      <c r="L1349" s="1436"/>
      <c r="M1349" s="1436"/>
      <c r="N1349" s="1436"/>
      <c r="O1349" s="1436"/>
      <c r="P1349" s="1436"/>
      <c r="Q1349" s="1436"/>
      <c r="R1349" s="1436"/>
      <c r="S1349" s="1436"/>
      <c r="T1349" s="1436"/>
      <c r="U1349" s="1436"/>
      <c r="V1349" s="1436"/>
      <c r="W1349" s="1436"/>
      <c r="X1349" s="1436"/>
      <c r="Y1349" s="1436"/>
      <c r="Z1349" s="1436"/>
      <c r="AA1349" s="1436"/>
      <c r="AB1349" s="1436"/>
      <c r="AC1349" s="1436"/>
      <c r="AD1349" s="1436"/>
      <c r="AE1349" s="1436"/>
      <c r="AF1349" s="1436"/>
    </row>
    <row r="1350" spans="1:32">
      <c r="A1350" s="1436"/>
      <c r="B1350" s="1436"/>
      <c r="C1350" s="1436"/>
      <c r="D1350" s="1436"/>
      <c r="E1350" s="1436"/>
      <c r="F1350" s="1436"/>
      <c r="G1350" s="1436"/>
      <c r="H1350" s="1436"/>
      <c r="I1350" s="1436"/>
      <c r="J1350" s="1436"/>
      <c r="K1350" s="1436"/>
      <c r="L1350" s="1436"/>
      <c r="M1350" s="1436"/>
      <c r="N1350" s="1436"/>
      <c r="O1350" s="1436"/>
      <c r="P1350" s="1436"/>
      <c r="Q1350" s="1436"/>
      <c r="R1350" s="1436"/>
      <c r="S1350" s="1436"/>
      <c r="T1350" s="1436"/>
      <c r="U1350" s="1436"/>
      <c r="V1350" s="1436"/>
      <c r="W1350" s="1436"/>
      <c r="X1350" s="1436"/>
      <c r="Y1350" s="1436"/>
      <c r="Z1350" s="1436"/>
      <c r="AA1350" s="1436"/>
      <c r="AB1350" s="1436"/>
      <c r="AC1350" s="1436"/>
      <c r="AD1350" s="1436"/>
      <c r="AE1350" s="1436"/>
      <c r="AF1350" s="1436"/>
    </row>
    <row r="1351" spans="1:32">
      <c r="A1351" s="1436"/>
      <c r="B1351" s="1436"/>
      <c r="C1351" s="1436"/>
      <c r="D1351" s="1436"/>
      <c r="E1351" s="1436"/>
      <c r="F1351" s="1436"/>
      <c r="G1351" s="1436"/>
      <c r="H1351" s="1436"/>
      <c r="I1351" s="1436"/>
      <c r="J1351" s="1436"/>
      <c r="K1351" s="1436"/>
      <c r="L1351" s="1436"/>
      <c r="M1351" s="1436"/>
      <c r="N1351" s="1436"/>
      <c r="O1351" s="1436"/>
      <c r="P1351" s="1436"/>
      <c r="Q1351" s="1436"/>
      <c r="R1351" s="1436"/>
      <c r="S1351" s="1436"/>
      <c r="T1351" s="1436"/>
      <c r="U1351" s="1436"/>
      <c r="V1351" s="1436"/>
      <c r="W1351" s="1436"/>
      <c r="X1351" s="1436"/>
      <c r="Y1351" s="1436"/>
      <c r="Z1351" s="1436"/>
      <c r="AA1351" s="1436"/>
      <c r="AB1351" s="1436"/>
      <c r="AC1351" s="1436"/>
      <c r="AD1351" s="1436"/>
      <c r="AE1351" s="1436"/>
      <c r="AF1351" s="1436"/>
    </row>
    <row r="1352" spans="1:32">
      <c r="A1352" s="1436"/>
      <c r="B1352" s="1436"/>
      <c r="C1352" s="1436"/>
      <c r="D1352" s="1436"/>
      <c r="E1352" s="1436"/>
      <c r="F1352" s="1436"/>
      <c r="G1352" s="1436"/>
      <c r="H1352" s="1436"/>
      <c r="I1352" s="1436"/>
      <c r="J1352" s="1436"/>
      <c r="K1352" s="1436"/>
      <c r="L1352" s="1436"/>
      <c r="M1352" s="1436"/>
      <c r="N1352" s="1436"/>
      <c r="O1352" s="1436"/>
      <c r="P1352" s="1436"/>
      <c r="Q1352" s="1436"/>
      <c r="R1352" s="1436"/>
      <c r="S1352" s="1436"/>
      <c r="T1352" s="1436"/>
      <c r="U1352" s="1436"/>
      <c r="V1352" s="1436"/>
      <c r="W1352" s="1436"/>
      <c r="X1352" s="1436"/>
      <c r="Y1352" s="1436"/>
      <c r="Z1352" s="1436"/>
      <c r="AA1352" s="1436"/>
      <c r="AB1352" s="1436"/>
      <c r="AC1352" s="1436"/>
      <c r="AD1352" s="1436"/>
      <c r="AE1352" s="1436"/>
      <c r="AF1352" s="1436"/>
    </row>
    <row r="1353" spans="1:32">
      <c r="A1353" s="1436"/>
      <c r="B1353" s="1436"/>
      <c r="C1353" s="1436"/>
      <c r="D1353" s="1436"/>
      <c r="E1353" s="1436"/>
      <c r="F1353" s="1436"/>
      <c r="G1353" s="1436"/>
      <c r="H1353" s="1436"/>
      <c r="I1353" s="1436"/>
      <c r="J1353" s="1436"/>
      <c r="K1353" s="1436"/>
      <c r="L1353" s="1436"/>
      <c r="M1353" s="1436"/>
      <c r="N1353" s="1436"/>
      <c r="O1353" s="1436"/>
      <c r="P1353" s="1436"/>
      <c r="Q1353" s="1436"/>
      <c r="R1353" s="1436"/>
      <c r="S1353" s="1436"/>
      <c r="T1353" s="1436"/>
      <c r="U1353" s="1436"/>
      <c r="V1353" s="1436"/>
      <c r="W1353" s="1436"/>
      <c r="X1353" s="1436"/>
      <c r="Y1353" s="1436"/>
      <c r="Z1353" s="1436"/>
      <c r="AA1353" s="1436"/>
      <c r="AB1353" s="1436"/>
      <c r="AC1353" s="1436"/>
      <c r="AD1353" s="1436"/>
      <c r="AE1353" s="1436"/>
      <c r="AF1353" s="1436"/>
    </row>
    <row r="1354" spans="1:32">
      <c r="A1354" s="1436"/>
      <c r="B1354" s="1436"/>
      <c r="C1354" s="1436"/>
      <c r="D1354" s="1436"/>
      <c r="E1354" s="1436"/>
      <c r="F1354" s="1436"/>
      <c r="G1354" s="1436"/>
      <c r="H1354" s="1436"/>
      <c r="I1354" s="1436"/>
      <c r="J1354" s="1436"/>
      <c r="K1354" s="1436"/>
      <c r="L1354" s="1436"/>
      <c r="M1354" s="1436"/>
      <c r="N1354" s="1436"/>
      <c r="O1354" s="1436"/>
      <c r="P1354" s="1436"/>
      <c r="Q1354" s="1436"/>
      <c r="R1354" s="1436"/>
      <c r="S1354" s="1436"/>
      <c r="T1354" s="1436"/>
      <c r="U1354" s="1436"/>
      <c r="V1354" s="1436"/>
      <c r="W1354" s="1436"/>
      <c r="X1354" s="1436"/>
      <c r="Y1354" s="1436"/>
      <c r="Z1354" s="1436"/>
      <c r="AA1354" s="1436"/>
      <c r="AB1354" s="1436"/>
      <c r="AC1354" s="1436"/>
      <c r="AD1354" s="1436"/>
      <c r="AE1354" s="1436"/>
      <c r="AF1354" s="1436"/>
    </row>
    <row r="1355" spans="1:32">
      <c r="A1355" s="1436"/>
      <c r="B1355" s="1436"/>
      <c r="C1355" s="1436"/>
      <c r="D1355" s="1436"/>
      <c r="E1355" s="1436"/>
      <c r="F1355" s="1436"/>
      <c r="G1355" s="1436"/>
      <c r="H1355" s="1436"/>
      <c r="I1355" s="1436"/>
      <c r="J1355" s="1436"/>
      <c r="K1355" s="1436"/>
      <c r="L1355" s="1436"/>
      <c r="M1355" s="1436"/>
      <c r="N1355" s="1436"/>
      <c r="O1355" s="1436"/>
      <c r="P1355" s="1436"/>
      <c r="Q1355" s="1436"/>
      <c r="R1355" s="1436"/>
      <c r="S1355" s="1436"/>
      <c r="T1355" s="1436"/>
      <c r="U1355" s="1436"/>
      <c r="V1355" s="1436"/>
      <c r="W1355" s="1436"/>
      <c r="X1355" s="1436"/>
      <c r="Y1355" s="1436"/>
      <c r="Z1355" s="1436"/>
      <c r="AA1355" s="1436"/>
      <c r="AB1355" s="1436"/>
      <c r="AC1355" s="1436"/>
      <c r="AD1355" s="1436"/>
      <c r="AE1355" s="1436"/>
      <c r="AF1355" s="1436"/>
    </row>
    <row r="1356" spans="1:32">
      <c r="A1356" s="1436"/>
      <c r="B1356" s="1436"/>
      <c r="C1356" s="1436"/>
      <c r="D1356" s="1436"/>
      <c r="E1356" s="1436"/>
      <c r="F1356" s="1436"/>
      <c r="G1356" s="1436"/>
      <c r="H1356" s="1436"/>
      <c r="I1356" s="1436"/>
      <c r="J1356" s="1436"/>
      <c r="K1356" s="1436"/>
      <c r="L1356" s="1436"/>
      <c r="M1356" s="1436"/>
      <c r="N1356" s="1436"/>
      <c r="O1356" s="1436"/>
      <c r="P1356" s="1436"/>
      <c r="Q1356" s="1436"/>
      <c r="R1356" s="1436"/>
      <c r="S1356" s="1436"/>
      <c r="T1356" s="1436"/>
      <c r="U1356" s="1436"/>
      <c r="V1356" s="1436"/>
      <c r="W1356" s="1436"/>
      <c r="X1356" s="1436"/>
      <c r="Y1356" s="1436"/>
      <c r="Z1356" s="1436"/>
      <c r="AA1356" s="1436"/>
      <c r="AB1356" s="1436"/>
      <c r="AC1356" s="1436"/>
      <c r="AD1356" s="1436"/>
      <c r="AE1356" s="1436"/>
      <c r="AF1356" s="1436"/>
    </row>
    <row r="1357" spans="1:32">
      <c r="A1357" s="1436"/>
      <c r="B1357" s="1436"/>
      <c r="C1357" s="1436"/>
      <c r="D1357" s="1436"/>
      <c r="E1357" s="1436"/>
      <c r="F1357" s="1436"/>
      <c r="G1357" s="1436"/>
      <c r="H1357" s="1436"/>
      <c r="I1357" s="1436"/>
      <c r="J1357" s="1436"/>
      <c r="K1357" s="1436"/>
      <c r="L1357" s="1436"/>
      <c r="M1357" s="1436"/>
      <c r="N1357" s="1436"/>
      <c r="O1357" s="1436"/>
      <c r="P1357" s="1436"/>
      <c r="Q1357" s="1436"/>
      <c r="R1357" s="1436"/>
      <c r="S1357" s="1436"/>
      <c r="T1357" s="1436"/>
      <c r="U1357" s="1436"/>
      <c r="V1357" s="1436"/>
      <c r="W1357" s="1436"/>
      <c r="X1357" s="1436"/>
      <c r="Y1357" s="1436"/>
      <c r="Z1357" s="1436"/>
      <c r="AA1357" s="1436"/>
      <c r="AB1357" s="1436"/>
      <c r="AC1357" s="1436"/>
      <c r="AD1357" s="1436"/>
      <c r="AE1357" s="1436"/>
      <c r="AF1357" s="1436"/>
    </row>
    <row r="1358" spans="1:32">
      <c r="A1358" s="1436"/>
      <c r="B1358" s="1436"/>
      <c r="C1358" s="1436"/>
      <c r="D1358" s="1436"/>
      <c r="E1358" s="1436"/>
      <c r="F1358" s="1436"/>
      <c r="G1358" s="1436"/>
      <c r="H1358" s="1436"/>
      <c r="I1358" s="1436"/>
      <c r="J1358" s="1436"/>
      <c r="K1358" s="1436"/>
      <c r="L1358" s="1436"/>
      <c r="M1358" s="1436"/>
      <c r="N1358" s="1436"/>
      <c r="O1358" s="1436"/>
      <c r="P1358" s="1436"/>
      <c r="Q1358" s="1436"/>
      <c r="R1358" s="1436"/>
      <c r="S1358" s="1436"/>
      <c r="T1358" s="1436"/>
      <c r="U1358" s="1436"/>
      <c r="V1358" s="1436"/>
      <c r="W1358" s="1436"/>
      <c r="X1358" s="1436"/>
      <c r="Y1358" s="1436"/>
      <c r="Z1358" s="1436"/>
      <c r="AA1358" s="1436"/>
      <c r="AB1358" s="1436"/>
      <c r="AC1358" s="1436"/>
      <c r="AD1358" s="1436"/>
      <c r="AE1358" s="1436"/>
      <c r="AF1358" s="1436"/>
    </row>
    <row r="1359" spans="1:32">
      <c r="A1359" s="1436"/>
      <c r="B1359" s="1436"/>
      <c r="C1359" s="1436"/>
      <c r="D1359" s="1436"/>
      <c r="E1359" s="1436"/>
      <c r="F1359" s="1436"/>
      <c r="G1359" s="1436"/>
      <c r="H1359" s="1436"/>
      <c r="I1359" s="1436"/>
      <c r="J1359" s="1436"/>
      <c r="K1359" s="1436"/>
      <c r="L1359" s="1436"/>
      <c r="M1359" s="1436"/>
      <c r="N1359" s="1436"/>
      <c r="O1359" s="1436"/>
      <c r="P1359" s="1436"/>
      <c r="Q1359" s="1436"/>
      <c r="R1359" s="1436"/>
      <c r="S1359" s="1436"/>
      <c r="T1359" s="1436"/>
      <c r="U1359" s="1436"/>
      <c r="V1359" s="1436"/>
      <c r="W1359" s="1436"/>
      <c r="X1359" s="1436"/>
      <c r="Y1359" s="1436"/>
      <c r="Z1359" s="1436"/>
      <c r="AA1359" s="1436"/>
      <c r="AB1359" s="1436"/>
      <c r="AC1359" s="1436"/>
      <c r="AD1359" s="1436"/>
      <c r="AE1359" s="1436"/>
      <c r="AF1359" s="1436"/>
    </row>
    <row r="1360" spans="1:32">
      <c r="A1360" s="1436"/>
      <c r="B1360" s="1436"/>
      <c r="C1360" s="1436"/>
      <c r="D1360" s="1436"/>
      <c r="E1360" s="1436"/>
      <c r="F1360" s="1436"/>
      <c r="G1360" s="1436"/>
      <c r="H1360" s="1436"/>
      <c r="I1360" s="1436"/>
      <c r="J1360" s="1436"/>
      <c r="K1360" s="1436"/>
      <c r="L1360" s="1436"/>
      <c r="M1360" s="1436"/>
      <c r="N1360" s="1436"/>
      <c r="O1360" s="1436"/>
      <c r="P1360" s="1436"/>
      <c r="Q1360" s="1436"/>
      <c r="R1360" s="1436"/>
      <c r="S1360" s="1436"/>
      <c r="T1360" s="1436"/>
      <c r="U1360" s="1436"/>
      <c r="V1360" s="1436"/>
      <c r="W1360" s="1436"/>
      <c r="X1360" s="1436"/>
      <c r="Y1360" s="1436"/>
      <c r="Z1360" s="1436"/>
      <c r="AA1360" s="1436"/>
      <c r="AB1360" s="1436"/>
      <c r="AC1360" s="1436"/>
      <c r="AD1360" s="1436"/>
      <c r="AE1360" s="1436"/>
      <c r="AF1360" s="1436"/>
    </row>
    <row r="1361" spans="1:32">
      <c r="A1361" s="1436"/>
      <c r="B1361" s="1436"/>
      <c r="C1361" s="1436"/>
      <c r="D1361" s="1436"/>
      <c r="E1361" s="1436"/>
      <c r="F1361" s="1436"/>
      <c r="G1361" s="1436"/>
      <c r="H1361" s="1436"/>
      <c r="I1361" s="1436"/>
      <c r="J1361" s="1436"/>
      <c r="K1361" s="1436"/>
      <c r="L1361" s="1436"/>
      <c r="M1361" s="1436"/>
      <c r="N1361" s="1436"/>
      <c r="O1361" s="1436"/>
      <c r="P1361" s="1436"/>
      <c r="Q1361" s="1436"/>
      <c r="R1361" s="1436"/>
      <c r="S1361" s="1436"/>
      <c r="T1361" s="1436"/>
      <c r="U1361" s="1436"/>
      <c r="V1361" s="1436"/>
      <c r="W1361" s="1436"/>
      <c r="X1361" s="1436"/>
      <c r="Y1361" s="1436"/>
      <c r="Z1361" s="1436"/>
      <c r="AA1361" s="1436"/>
      <c r="AB1361" s="1436"/>
      <c r="AC1361" s="1436"/>
      <c r="AD1361" s="1436"/>
      <c r="AE1361" s="1436"/>
      <c r="AF1361" s="1436"/>
    </row>
    <row r="1362" spans="1:32">
      <c r="A1362" s="1436"/>
      <c r="B1362" s="1436"/>
      <c r="C1362" s="1436"/>
      <c r="D1362" s="1436"/>
      <c r="E1362" s="1436"/>
      <c r="F1362" s="1436"/>
      <c r="G1362" s="1436"/>
      <c r="H1362" s="1436"/>
      <c r="I1362" s="1436"/>
      <c r="J1362" s="1436"/>
      <c r="K1362" s="1436"/>
      <c r="L1362" s="1436"/>
      <c r="M1362" s="1436"/>
      <c r="N1362" s="1436"/>
      <c r="O1362" s="1436"/>
      <c r="P1362" s="1436"/>
      <c r="Q1362" s="1436"/>
      <c r="R1362" s="1436"/>
      <c r="S1362" s="1436"/>
      <c r="T1362" s="1436"/>
      <c r="U1362" s="1436"/>
      <c r="V1362" s="1436"/>
      <c r="W1362" s="1436"/>
      <c r="X1362" s="1436"/>
      <c r="Y1362" s="1436"/>
      <c r="Z1362" s="1436"/>
      <c r="AA1362" s="1436"/>
      <c r="AB1362" s="1436"/>
      <c r="AC1362" s="1436"/>
      <c r="AD1362" s="1436"/>
      <c r="AE1362" s="1436"/>
      <c r="AF1362" s="1436"/>
    </row>
    <row r="1363" spans="1:32">
      <c r="A1363" s="1436"/>
      <c r="B1363" s="1436"/>
      <c r="C1363" s="1436"/>
      <c r="D1363" s="1436"/>
      <c r="E1363" s="1436"/>
      <c r="F1363" s="1436"/>
      <c r="G1363" s="1436"/>
      <c r="H1363" s="1436"/>
      <c r="I1363" s="1436"/>
      <c r="J1363" s="1436"/>
      <c r="K1363" s="1436"/>
      <c r="L1363" s="1436"/>
      <c r="M1363" s="1436"/>
      <c r="N1363" s="1436"/>
      <c r="O1363" s="1436"/>
      <c r="P1363" s="1436"/>
      <c r="Q1363" s="1436"/>
      <c r="R1363" s="1436"/>
      <c r="S1363" s="1436"/>
      <c r="T1363" s="1436"/>
      <c r="U1363" s="1436"/>
      <c r="V1363" s="1436"/>
      <c r="W1363" s="1436"/>
      <c r="X1363" s="1436"/>
      <c r="Y1363" s="1436"/>
      <c r="Z1363" s="1436"/>
      <c r="AA1363" s="1436"/>
      <c r="AB1363" s="1436"/>
      <c r="AC1363" s="1436"/>
      <c r="AD1363" s="1436"/>
      <c r="AE1363" s="1436"/>
      <c r="AF1363" s="1436"/>
    </row>
    <row r="1364" spans="1:32">
      <c r="A1364" s="1436"/>
      <c r="B1364" s="1436"/>
      <c r="C1364" s="1436"/>
      <c r="D1364" s="1436"/>
      <c r="E1364" s="1436"/>
      <c r="F1364" s="1436"/>
      <c r="G1364" s="1436"/>
      <c r="H1364" s="1436"/>
      <c r="I1364" s="1436"/>
      <c r="J1364" s="1436"/>
      <c r="K1364" s="1436"/>
      <c r="L1364" s="1436"/>
      <c r="M1364" s="1436"/>
      <c r="N1364" s="1436"/>
      <c r="O1364" s="1436"/>
      <c r="P1364" s="1436"/>
      <c r="Q1364" s="1436"/>
      <c r="R1364" s="1436"/>
      <c r="S1364" s="1436"/>
      <c r="T1364" s="1436"/>
      <c r="U1364" s="1436"/>
      <c r="V1364" s="1436"/>
      <c r="W1364" s="1436"/>
      <c r="X1364" s="1436"/>
      <c r="Y1364" s="1436"/>
      <c r="Z1364" s="1436"/>
      <c r="AA1364" s="1436"/>
      <c r="AB1364" s="1436"/>
      <c r="AC1364" s="1436"/>
      <c r="AD1364" s="1436"/>
      <c r="AE1364" s="1436"/>
      <c r="AF1364" s="1436"/>
    </row>
    <row r="1365" spans="1:32">
      <c r="A1365" s="1436"/>
      <c r="B1365" s="1436"/>
      <c r="C1365" s="1436"/>
      <c r="D1365" s="1436"/>
      <c r="E1365" s="1436"/>
      <c r="F1365" s="1436"/>
      <c r="G1365" s="1436"/>
      <c r="H1365" s="1436"/>
      <c r="I1365" s="1436"/>
      <c r="J1365" s="1436"/>
      <c r="K1365" s="1436"/>
      <c r="L1365" s="1436"/>
      <c r="M1365" s="1436"/>
      <c r="N1365" s="1436"/>
      <c r="O1365" s="1436"/>
      <c r="P1365" s="1436"/>
      <c r="Q1365" s="1436"/>
      <c r="R1365" s="1436"/>
      <c r="S1365" s="1436"/>
      <c r="T1365" s="1436"/>
      <c r="U1365" s="1436"/>
      <c r="V1365" s="1436"/>
      <c r="W1365" s="1436"/>
      <c r="X1365" s="1436"/>
      <c r="Y1365" s="1436"/>
      <c r="Z1365" s="1436"/>
      <c r="AA1365" s="1436"/>
      <c r="AB1365" s="1436"/>
      <c r="AC1365" s="1436"/>
      <c r="AD1365" s="1436"/>
      <c r="AE1365" s="1436"/>
      <c r="AF1365" s="1436"/>
    </row>
    <row r="1366" spans="1:32">
      <c r="A1366" s="1436"/>
      <c r="B1366" s="1436"/>
      <c r="C1366" s="1436"/>
      <c r="D1366" s="1436"/>
      <c r="E1366" s="1436"/>
      <c r="F1366" s="1436"/>
      <c r="G1366" s="1436"/>
      <c r="H1366" s="1436"/>
      <c r="I1366" s="1436"/>
      <c r="J1366" s="1436"/>
      <c r="K1366" s="1436"/>
      <c r="L1366" s="1436"/>
      <c r="M1366" s="1436"/>
      <c r="N1366" s="1436"/>
      <c r="O1366" s="1436"/>
      <c r="P1366" s="1436"/>
      <c r="Q1366" s="1436"/>
      <c r="R1366" s="1436"/>
      <c r="S1366" s="1436"/>
      <c r="T1366" s="1436"/>
      <c r="U1366" s="1436"/>
      <c r="V1366" s="1436"/>
      <c r="W1366" s="1436"/>
      <c r="X1366" s="1436"/>
      <c r="Y1366" s="1436"/>
      <c r="Z1366" s="1436"/>
      <c r="AA1366" s="1436"/>
      <c r="AB1366" s="1436"/>
      <c r="AC1366" s="1436"/>
      <c r="AD1366" s="1436"/>
      <c r="AE1366" s="1436"/>
      <c r="AF1366" s="1436"/>
    </row>
    <row r="1367" spans="1:32">
      <c r="A1367" s="1436"/>
      <c r="B1367" s="1436"/>
      <c r="C1367" s="1436"/>
      <c r="D1367" s="1436"/>
      <c r="E1367" s="1436"/>
      <c r="F1367" s="1436"/>
      <c r="G1367" s="1436"/>
      <c r="H1367" s="1436"/>
      <c r="I1367" s="1436"/>
      <c r="J1367" s="1436"/>
      <c r="K1367" s="1436"/>
      <c r="L1367" s="1436"/>
      <c r="M1367" s="1436"/>
      <c r="N1367" s="1436"/>
      <c r="O1367" s="1436"/>
      <c r="P1367" s="1436"/>
      <c r="Q1367" s="1436"/>
      <c r="R1367" s="1436"/>
      <c r="S1367" s="1436"/>
      <c r="T1367" s="1436"/>
      <c r="U1367" s="1436"/>
      <c r="V1367" s="1436"/>
      <c r="W1367" s="1436"/>
      <c r="X1367" s="1436"/>
      <c r="Y1367" s="1436"/>
      <c r="Z1367" s="1436"/>
      <c r="AA1367" s="1436"/>
      <c r="AB1367" s="1436"/>
      <c r="AC1367" s="1436"/>
      <c r="AD1367" s="1436"/>
      <c r="AE1367" s="1436"/>
      <c r="AF1367" s="1436"/>
    </row>
    <row r="1368" spans="1:32">
      <c r="A1368" s="1436"/>
      <c r="B1368" s="1436"/>
      <c r="C1368" s="1436"/>
      <c r="D1368" s="1436"/>
      <c r="E1368" s="1436"/>
      <c r="F1368" s="1436"/>
      <c r="G1368" s="1436"/>
      <c r="H1368" s="1436"/>
      <c r="I1368" s="1436"/>
      <c r="J1368" s="1436"/>
      <c r="K1368" s="1436"/>
      <c r="L1368" s="1436"/>
      <c r="M1368" s="1436"/>
      <c r="N1368" s="1436"/>
      <c r="O1368" s="1436"/>
      <c r="P1368" s="1436"/>
      <c r="Q1368" s="1436"/>
      <c r="R1368" s="1436"/>
      <c r="S1368" s="1436"/>
      <c r="T1368" s="1436"/>
      <c r="U1368" s="1436"/>
      <c r="V1368" s="1436"/>
      <c r="W1368" s="1436"/>
      <c r="X1368" s="1436"/>
      <c r="Y1368" s="1436"/>
      <c r="Z1368" s="1436"/>
      <c r="AA1368" s="1436"/>
      <c r="AB1368" s="1436"/>
      <c r="AC1368" s="1436"/>
      <c r="AD1368" s="1436"/>
      <c r="AE1368" s="1436"/>
      <c r="AF1368" s="1436"/>
    </row>
    <row r="1369" spans="1:32">
      <c r="A1369" s="1436"/>
      <c r="B1369" s="1436"/>
      <c r="C1369" s="1436"/>
      <c r="D1369" s="1436"/>
      <c r="E1369" s="1436"/>
      <c r="F1369" s="1436"/>
      <c r="G1369" s="1436"/>
      <c r="H1369" s="1436"/>
      <c r="I1369" s="1436"/>
      <c r="J1369" s="1436"/>
      <c r="K1369" s="1436"/>
      <c r="L1369" s="1436"/>
      <c r="M1369" s="1436"/>
      <c r="N1369" s="1436"/>
      <c r="O1369" s="1436"/>
      <c r="P1369" s="1436"/>
      <c r="Q1369" s="1436"/>
      <c r="R1369" s="1436"/>
      <c r="S1369" s="1436"/>
      <c r="T1369" s="1436"/>
      <c r="U1369" s="1436"/>
      <c r="V1369" s="1436"/>
      <c r="W1369" s="1436"/>
      <c r="X1369" s="1436"/>
      <c r="Y1369" s="1436"/>
      <c r="Z1369" s="1436"/>
      <c r="AA1369" s="1436"/>
      <c r="AB1369" s="1436"/>
      <c r="AC1369" s="1436"/>
      <c r="AD1369" s="1436"/>
      <c r="AE1369" s="1436"/>
      <c r="AF1369" s="1436"/>
    </row>
    <row r="1370" spans="1:32">
      <c r="A1370" s="1436"/>
      <c r="B1370" s="1436"/>
      <c r="C1370" s="1436"/>
      <c r="D1370" s="1436"/>
      <c r="E1370" s="1436"/>
      <c r="F1370" s="1436"/>
      <c r="G1370" s="1436"/>
      <c r="H1370" s="1436"/>
      <c r="I1370" s="1436"/>
      <c r="J1370" s="1436"/>
      <c r="K1370" s="1436"/>
      <c r="L1370" s="1436"/>
      <c r="M1370" s="1436"/>
      <c r="N1370" s="1436"/>
      <c r="O1370" s="1436"/>
      <c r="P1370" s="1436"/>
      <c r="Q1370" s="1436"/>
      <c r="R1370" s="1436"/>
      <c r="S1370" s="1436"/>
      <c r="T1370" s="1436"/>
      <c r="U1370" s="1436"/>
      <c r="V1370" s="1436"/>
      <c r="W1370" s="1436"/>
      <c r="X1370" s="1436"/>
      <c r="Y1370" s="1436"/>
      <c r="Z1370" s="1436"/>
      <c r="AA1370" s="1436"/>
      <c r="AB1370" s="1436"/>
      <c r="AC1370" s="1436"/>
      <c r="AD1370" s="1436"/>
      <c r="AE1370" s="1436"/>
      <c r="AF1370" s="1436"/>
    </row>
    <row r="1371" spans="1:32">
      <c r="A1371" s="1436"/>
      <c r="B1371" s="1436"/>
      <c r="C1371" s="1436"/>
      <c r="D1371" s="1436"/>
      <c r="E1371" s="1436"/>
      <c r="F1371" s="1436"/>
      <c r="G1371" s="1436"/>
      <c r="H1371" s="1436"/>
      <c r="I1371" s="1436"/>
      <c r="J1371" s="1436"/>
      <c r="K1371" s="1436"/>
      <c r="L1371" s="1436"/>
      <c r="M1371" s="1436"/>
      <c r="N1371" s="1436"/>
      <c r="O1371" s="1436"/>
      <c r="P1371" s="1436"/>
      <c r="Q1371" s="1436"/>
      <c r="R1371" s="1436"/>
      <c r="S1371" s="1436"/>
      <c r="T1371" s="1436"/>
      <c r="U1371" s="1436"/>
      <c r="V1371" s="1436"/>
      <c r="W1371" s="1436"/>
      <c r="X1371" s="1436"/>
      <c r="Y1371" s="1436"/>
      <c r="Z1371" s="1436"/>
      <c r="AA1371" s="1436"/>
      <c r="AB1371" s="1436"/>
      <c r="AC1371" s="1436"/>
      <c r="AD1371" s="1436"/>
      <c r="AE1371" s="1436"/>
      <c r="AF1371" s="1436"/>
    </row>
    <row r="1372" spans="1:32">
      <c r="A1372" s="1436"/>
      <c r="B1372" s="1436"/>
      <c r="C1372" s="1436"/>
      <c r="D1372" s="1436"/>
      <c r="E1372" s="1436"/>
      <c r="F1372" s="1436"/>
      <c r="G1372" s="1436"/>
      <c r="H1372" s="1436"/>
      <c r="I1372" s="1436"/>
      <c r="J1372" s="1436"/>
      <c r="K1372" s="1436"/>
      <c r="L1372" s="1436"/>
      <c r="M1372" s="1436"/>
      <c r="N1372" s="1436"/>
      <c r="O1372" s="1436"/>
      <c r="P1372" s="1436"/>
      <c r="Q1372" s="1436"/>
      <c r="R1372" s="1436"/>
      <c r="S1372" s="1436"/>
      <c r="T1372" s="1436"/>
      <c r="U1372" s="1436"/>
      <c r="V1372" s="1436"/>
      <c r="W1372" s="1436"/>
      <c r="X1372" s="1436"/>
      <c r="Y1372" s="1436"/>
      <c r="Z1372" s="1436"/>
      <c r="AA1372" s="1436"/>
      <c r="AB1372" s="1436"/>
      <c r="AC1372" s="1436"/>
      <c r="AD1372" s="1436"/>
      <c r="AE1372" s="1436"/>
      <c r="AF1372" s="1436"/>
    </row>
    <row r="1373" spans="1:32">
      <c r="A1373" s="1436"/>
      <c r="B1373" s="1436"/>
      <c r="C1373" s="1436"/>
      <c r="D1373" s="1436"/>
      <c r="E1373" s="1436"/>
      <c r="F1373" s="1436"/>
      <c r="G1373" s="1436"/>
      <c r="H1373" s="1436"/>
      <c r="I1373" s="1436"/>
      <c r="J1373" s="1436"/>
      <c r="K1373" s="1436"/>
      <c r="L1373" s="1436"/>
      <c r="M1373" s="1436"/>
      <c r="N1373" s="1436"/>
      <c r="O1373" s="1436"/>
      <c r="P1373" s="1436"/>
      <c r="Q1373" s="1436"/>
      <c r="R1373" s="1436"/>
      <c r="S1373" s="1436"/>
      <c r="T1373" s="1436"/>
      <c r="U1373" s="1436"/>
      <c r="V1373" s="1436"/>
      <c r="W1373" s="1436"/>
      <c r="X1373" s="1436"/>
      <c r="Y1373" s="1436"/>
      <c r="Z1373" s="1436"/>
      <c r="AA1373" s="1436"/>
      <c r="AB1373" s="1436"/>
      <c r="AC1373" s="1436"/>
      <c r="AD1373" s="1436"/>
      <c r="AE1373" s="1436"/>
      <c r="AF1373" s="1436"/>
    </row>
    <row r="1374" spans="1:32">
      <c r="A1374" s="1436"/>
      <c r="B1374" s="1436"/>
      <c r="C1374" s="1436"/>
      <c r="D1374" s="1436"/>
      <c r="E1374" s="1436"/>
      <c r="F1374" s="1436"/>
      <c r="G1374" s="1436"/>
      <c r="H1374" s="1436"/>
      <c r="I1374" s="1436"/>
      <c r="J1374" s="1436"/>
      <c r="K1374" s="1436"/>
      <c r="L1374" s="1436"/>
      <c r="M1374" s="1436"/>
      <c r="N1374" s="1436"/>
      <c r="O1374" s="1436"/>
      <c r="P1374" s="1436"/>
      <c r="Q1374" s="1436"/>
      <c r="R1374" s="1436"/>
      <c r="S1374" s="1436"/>
      <c r="T1374" s="1436"/>
      <c r="U1374" s="1436"/>
      <c r="V1374" s="1436"/>
      <c r="W1374" s="1436"/>
      <c r="X1374" s="1436"/>
      <c r="Y1374" s="1436"/>
      <c r="Z1374" s="1436"/>
      <c r="AA1374" s="1436"/>
      <c r="AB1374" s="1436"/>
      <c r="AC1374" s="1436"/>
      <c r="AD1374" s="1436"/>
      <c r="AE1374" s="1436"/>
      <c r="AF1374" s="1436"/>
    </row>
    <row r="1375" spans="1:32">
      <c r="A1375" s="1436"/>
      <c r="B1375" s="1436"/>
      <c r="C1375" s="1436"/>
      <c r="D1375" s="1436"/>
      <c r="E1375" s="1436"/>
      <c r="F1375" s="1436"/>
      <c r="G1375" s="1436"/>
      <c r="H1375" s="1436"/>
      <c r="I1375" s="1436"/>
      <c r="J1375" s="1436"/>
      <c r="K1375" s="1436"/>
      <c r="L1375" s="1436"/>
      <c r="M1375" s="1436"/>
      <c r="N1375" s="1436"/>
      <c r="O1375" s="1436"/>
      <c r="P1375" s="1436"/>
      <c r="Q1375" s="1436"/>
      <c r="R1375" s="1436"/>
      <c r="S1375" s="1436"/>
      <c r="T1375" s="1436"/>
      <c r="U1375" s="1436"/>
      <c r="V1375" s="1436"/>
      <c r="W1375" s="1436"/>
      <c r="X1375" s="1436"/>
      <c r="Y1375" s="1436"/>
      <c r="Z1375" s="1436"/>
      <c r="AA1375" s="1436"/>
      <c r="AB1375" s="1436"/>
      <c r="AC1375" s="1436"/>
      <c r="AD1375" s="1436"/>
      <c r="AE1375" s="1436"/>
      <c r="AF1375" s="1436"/>
    </row>
    <row r="1376" spans="1:32">
      <c r="A1376" s="1436"/>
      <c r="B1376" s="1436"/>
      <c r="C1376" s="1436"/>
      <c r="D1376" s="1436"/>
      <c r="E1376" s="1436"/>
      <c r="F1376" s="1436"/>
      <c r="G1376" s="1436"/>
      <c r="H1376" s="1436"/>
      <c r="I1376" s="1436"/>
      <c r="J1376" s="1436"/>
      <c r="K1376" s="1436"/>
      <c r="L1376" s="1436"/>
      <c r="M1376" s="1436"/>
      <c r="N1376" s="1436"/>
      <c r="O1376" s="1436"/>
      <c r="P1376" s="1436"/>
      <c r="Q1376" s="1436"/>
      <c r="R1376" s="1436"/>
      <c r="S1376" s="1436"/>
      <c r="T1376" s="1436"/>
      <c r="U1376" s="1436"/>
      <c r="V1376" s="1436"/>
      <c r="W1376" s="1436"/>
      <c r="X1376" s="1436"/>
      <c r="Y1376" s="1436"/>
      <c r="Z1376" s="1436"/>
      <c r="AA1376" s="1436"/>
      <c r="AB1376" s="1436"/>
      <c r="AC1376" s="1436"/>
      <c r="AD1376" s="1436"/>
      <c r="AE1376" s="1436"/>
      <c r="AF1376" s="1436"/>
    </row>
    <row r="1377" spans="1:32">
      <c r="A1377" s="1436"/>
      <c r="B1377" s="1436"/>
      <c r="C1377" s="1436"/>
      <c r="D1377" s="1436"/>
      <c r="E1377" s="1436"/>
      <c r="F1377" s="1436"/>
      <c r="G1377" s="1436"/>
      <c r="H1377" s="1436"/>
      <c r="I1377" s="1436"/>
      <c r="J1377" s="1436"/>
      <c r="K1377" s="1436"/>
      <c r="L1377" s="1436"/>
      <c r="M1377" s="1436"/>
      <c r="N1377" s="1436"/>
      <c r="O1377" s="1436"/>
      <c r="P1377" s="1436"/>
      <c r="Q1377" s="1436"/>
      <c r="R1377" s="1436"/>
      <c r="S1377" s="1436"/>
      <c r="T1377" s="1436"/>
      <c r="U1377" s="1436"/>
      <c r="V1377" s="1436"/>
      <c r="W1377" s="1436"/>
      <c r="X1377" s="1436"/>
      <c r="Y1377" s="1436"/>
      <c r="Z1377" s="1436"/>
      <c r="AA1377" s="1436"/>
      <c r="AB1377" s="1436"/>
      <c r="AC1377" s="1436"/>
      <c r="AD1377" s="1436"/>
      <c r="AE1377" s="1436"/>
      <c r="AF1377" s="1436"/>
    </row>
    <row r="1378" spans="1:32">
      <c r="A1378" s="1436"/>
      <c r="B1378" s="1436"/>
      <c r="C1378" s="1436"/>
      <c r="D1378" s="1436"/>
      <c r="E1378" s="1436"/>
      <c r="F1378" s="1436"/>
      <c r="G1378" s="1436"/>
      <c r="H1378" s="1436"/>
      <c r="I1378" s="1436"/>
      <c r="J1378" s="1436"/>
      <c r="K1378" s="1436"/>
      <c r="L1378" s="1436"/>
      <c r="M1378" s="1436"/>
      <c r="N1378" s="1436"/>
      <c r="O1378" s="1436"/>
      <c r="P1378" s="1436"/>
      <c r="Q1378" s="1436"/>
      <c r="R1378" s="1436"/>
      <c r="S1378" s="1436"/>
      <c r="T1378" s="1436"/>
      <c r="U1378" s="1436"/>
      <c r="V1378" s="1436"/>
      <c r="W1378" s="1436"/>
      <c r="X1378" s="1436"/>
      <c r="Y1378" s="1436"/>
      <c r="Z1378" s="1436"/>
      <c r="AA1378" s="1436"/>
      <c r="AB1378" s="1436"/>
      <c r="AC1378" s="1436"/>
      <c r="AD1378" s="1436"/>
      <c r="AE1378" s="1436"/>
      <c r="AF1378" s="1436"/>
    </row>
    <row r="1379" spans="1:32">
      <c r="A1379" s="1436"/>
      <c r="B1379" s="1436"/>
      <c r="C1379" s="1436"/>
      <c r="D1379" s="1436"/>
      <c r="E1379" s="1436"/>
      <c r="F1379" s="1436"/>
      <c r="G1379" s="1436"/>
      <c r="H1379" s="1436"/>
      <c r="I1379" s="1436"/>
      <c r="J1379" s="1436"/>
      <c r="K1379" s="1436"/>
      <c r="L1379" s="1436"/>
      <c r="M1379" s="1436"/>
      <c r="N1379" s="1436"/>
      <c r="O1379" s="1436"/>
      <c r="P1379" s="1436"/>
      <c r="Q1379" s="1436"/>
      <c r="R1379" s="1436"/>
      <c r="S1379" s="1436"/>
      <c r="T1379" s="1436"/>
      <c r="U1379" s="1436"/>
      <c r="V1379" s="1436"/>
      <c r="W1379" s="1436"/>
      <c r="X1379" s="1436"/>
      <c r="Y1379" s="1436"/>
      <c r="Z1379" s="1436"/>
      <c r="AA1379" s="1436"/>
      <c r="AB1379" s="1436"/>
      <c r="AC1379" s="1436"/>
      <c r="AD1379" s="1436"/>
      <c r="AE1379" s="1436"/>
      <c r="AF1379" s="1436"/>
    </row>
    <row r="1380" spans="1:32">
      <c r="A1380" s="1436"/>
      <c r="B1380" s="1436"/>
      <c r="C1380" s="1436"/>
      <c r="D1380" s="1436"/>
      <c r="E1380" s="1436"/>
      <c r="F1380" s="1436"/>
      <c r="G1380" s="1436"/>
      <c r="H1380" s="1436"/>
      <c r="I1380" s="1436"/>
      <c r="J1380" s="1436"/>
      <c r="K1380" s="1436"/>
      <c r="L1380" s="1436"/>
      <c r="M1380" s="1436"/>
      <c r="N1380" s="1436"/>
      <c r="O1380" s="1436"/>
      <c r="P1380" s="1436"/>
      <c r="Q1380" s="1436"/>
      <c r="R1380" s="1436"/>
      <c r="S1380" s="1436"/>
      <c r="T1380" s="1436"/>
      <c r="U1380" s="1436"/>
      <c r="V1380" s="1436"/>
      <c r="W1380" s="1436"/>
      <c r="X1380" s="1436"/>
      <c r="Y1380" s="1436"/>
      <c r="Z1380" s="1436"/>
      <c r="AA1380" s="1436"/>
      <c r="AB1380" s="1436"/>
      <c r="AC1380" s="1436"/>
      <c r="AD1380" s="1436"/>
      <c r="AE1380" s="1436"/>
      <c r="AF1380" s="1436"/>
    </row>
    <row r="1381" spans="1:32">
      <c r="A1381" s="1436"/>
      <c r="B1381" s="1436"/>
      <c r="C1381" s="1436"/>
      <c r="D1381" s="1436"/>
      <c r="E1381" s="1436"/>
      <c r="F1381" s="1436"/>
      <c r="G1381" s="1436"/>
      <c r="H1381" s="1436"/>
      <c r="I1381" s="1436"/>
      <c r="J1381" s="1436"/>
      <c r="K1381" s="1436"/>
      <c r="L1381" s="1436"/>
      <c r="M1381" s="1436"/>
      <c r="N1381" s="1436"/>
      <c r="O1381" s="1436"/>
      <c r="P1381" s="1436"/>
      <c r="Q1381" s="1436"/>
      <c r="R1381" s="1436"/>
      <c r="S1381" s="1436"/>
      <c r="T1381" s="1436"/>
      <c r="U1381" s="1436"/>
      <c r="V1381" s="1436"/>
      <c r="W1381" s="1436"/>
      <c r="X1381" s="1436"/>
      <c r="Y1381" s="1436"/>
      <c r="Z1381" s="1436"/>
      <c r="AA1381" s="1436"/>
      <c r="AB1381" s="1436"/>
      <c r="AC1381" s="1436"/>
      <c r="AD1381" s="1436"/>
      <c r="AE1381" s="1436"/>
      <c r="AF1381" s="1436"/>
    </row>
    <row r="1382" spans="1:32">
      <c r="A1382" s="1436"/>
      <c r="B1382" s="1436"/>
      <c r="C1382" s="1436"/>
      <c r="D1382" s="1436"/>
      <c r="E1382" s="1436"/>
      <c r="F1382" s="1436"/>
      <c r="G1382" s="1436"/>
      <c r="H1382" s="1436"/>
      <c r="I1382" s="1436"/>
      <c r="J1382" s="1436"/>
      <c r="K1382" s="1436"/>
      <c r="L1382" s="1436"/>
      <c r="M1382" s="1436"/>
      <c r="N1382" s="1436"/>
      <c r="O1382" s="1436"/>
      <c r="P1382" s="1436"/>
      <c r="Q1382" s="1436"/>
      <c r="R1382" s="1436"/>
      <c r="S1382" s="1436"/>
      <c r="T1382" s="1436"/>
      <c r="U1382" s="1436"/>
      <c r="V1382" s="1436"/>
      <c r="W1382" s="1436"/>
      <c r="X1382" s="1436"/>
      <c r="Y1382" s="1436"/>
      <c r="Z1382" s="1436"/>
      <c r="AA1382" s="1436"/>
      <c r="AB1382" s="1436"/>
      <c r="AC1382" s="1436"/>
      <c r="AD1382" s="1436"/>
      <c r="AE1382" s="1436"/>
      <c r="AF1382" s="1436"/>
    </row>
    <row r="1383" spans="1:32">
      <c r="A1383" s="1436"/>
      <c r="B1383" s="1436"/>
      <c r="C1383" s="1436"/>
      <c r="D1383" s="1436"/>
      <c r="E1383" s="1436"/>
      <c r="F1383" s="1436"/>
      <c r="G1383" s="1436"/>
      <c r="H1383" s="1436"/>
      <c r="I1383" s="1436"/>
      <c r="J1383" s="1436"/>
      <c r="K1383" s="1436"/>
      <c r="L1383" s="1436"/>
      <c r="M1383" s="1436"/>
      <c r="N1383" s="1436"/>
      <c r="O1383" s="1436"/>
      <c r="P1383" s="1436"/>
      <c r="Q1383" s="1436"/>
      <c r="R1383" s="1436"/>
      <c r="S1383" s="1436"/>
      <c r="T1383" s="1436"/>
      <c r="U1383" s="1436"/>
      <c r="V1383" s="1436"/>
      <c r="W1383" s="1436"/>
      <c r="X1383" s="1436"/>
      <c r="Y1383" s="1436"/>
      <c r="Z1383" s="1436"/>
      <c r="AA1383" s="1436"/>
      <c r="AB1383" s="1436"/>
      <c r="AC1383" s="1436"/>
      <c r="AD1383" s="1436"/>
      <c r="AE1383" s="1436"/>
      <c r="AF1383" s="1436"/>
    </row>
    <row r="1384" spans="1:32">
      <c r="A1384" s="1436"/>
      <c r="B1384" s="1436"/>
      <c r="C1384" s="1436"/>
      <c r="D1384" s="1436"/>
      <c r="E1384" s="1436"/>
      <c r="F1384" s="1436"/>
      <c r="G1384" s="1436"/>
      <c r="H1384" s="1436"/>
      <c r="I1384" s="1436"/>
      <c r="J1384" s="1436"/>
      <c r="K1384" s="1436"/>
      <c r="L1384" s="1436"/>
      <c r="M1384" s="1436"/>
      <c r="N1384" s="1436"/>
      <c r="O1384" s="1436"/>
      <c r="P1384" s="1436"/>
      <c r="Q1384" s="1436"/>
      <c r="R1384" s="1436"/>
      <c r="S1384" s="1436"/>
      <c r="T1384" s="1436"/>
      <c r="U1384" s="1436"/>
      <c r="V1384" s="1436"/>
      <c r="W1384" s="1436"/>
      <c r="X1384" s="1436"/>
      <c r="Y1384" s="1436"/>
      <c r="Z1384" s="1436"/>
      <c r="AA1384" s="1436"/>
      <c r="AB1384" s="1436"/>
      <c r="AC1384" s="1436"/>
      <c r="AD1384" s="1436"/>
      <c r="AE1384" s="1436"/>
      <c r="AF1384" s="1436"/>
    </row>
    <row r="1385" spans="1:32">
      <c r="A1385" s="1436"/>
      <c r="B1385" s="1436"/>
      <c r="C1385" s="1436"/>
      <c r="D1385" s="1436"/>
      <c r="E1385" s="1436"/>
      <c r="F1385" s="1436"/>
      <c r="G1385" s="1436"/>
      <c r="H1385" s="1436"/>
      <c r="I1385" s="1436"/>
      <c r="J1385" s="1436"/>
      <c r="K1385" s="1436"/>
      <c r="L1385" s="1436"/>
      <c r="M1385" s="1436"/>
      <c r="N1385" s="1436"/>
      <c r="O1385" s="1436"/>
      <c r="P1385" s="1436"/>
      <c r="Q1385" s="1436"/>
      <c r="R1385" s="1436"/>
      <c r="S1385" s="1436"/>
      <c r="T1385" s="1436"/>
      <c r="U1385" s="1436"/>
      <c r="V1385" s="1436"/>
      <c r="W1385" s="1436"/>
      <c r="X1385" s="1436"/>
      <c r="Y1385" s="1436"/>
      <c r="Z1385" s="1436"/>
      <c r="AA1385" s="1436"/>
      <c r="AB1385" s="1436"/>
      <c r="AC1385" s="1436"/>
      <c r="AD1385" s="1436"/>
      <c r="AE1385" s="1436"/>
      <c r="AF1385" s="1436"/>
    </row>
    <row r="1386" spans="1:32">
      <c r="A1386" s="1436"/>
      <c r="B1386" s="1436"/>
      <c r="C1386" s="1436"/>
      <c r="D1386" s="1436"/>
      <c r="E1386" s="1436"/>
      <c r="F1386" s="1436"/>
      <c r="G1386" s="1436"/>
      <c r="H1386" s="1436"/>
      <c r="I1386" s="1436"/>
      <c r="J1386" s="1436"/>
      <c r="K1386" s="1436"/>
      <c r="L1386" s="1436"/>
      <c r="M1386" s="1436"/>
      <c r="N1386" s="1436"/>
      <c r="O1386" s="1436"/>
      <c r="P1386" s="1436"/>
      <c r="Q1386" s="1436"/>
      <c r="R1386" s="1436"/>
      <c r="S1386" s="1436"/>
      <c r="T1386" s="1436"/>
      <c r="U1386" s="1436"/>
      <c r="V1386" s="1436"/>
      <c r="W1386" s="1436"/>
      <c r="X1386" s="1436"/>
      <c r="Y1386" s="1436"/>
      <c r="Z1386" s="1436"/>
      <c r="AA1386" s="1436"/>
      <c r="AB1386" s="1436"/>
      <c r="AC1386" s="1436"/>
      <c r="AD1386" s="1436"/>
      <c r="AE1386" s="1436"/>
      <c r="AF1386" s="1436"/>
    </row>
    <row r="1387" spans="1:32">
      <c r="A1387" s="1436"/>
      <c r="B1387" s="1436"/>
      <c r="C1387" s="1436"/>
      <c r="D1387" s="1436"/>
      <c r="E1387" s="1436"/>
      <c r="F1387" s="1436"/>
      <c r="G1387" s="1436"/>
      <c r="H1387" s="1436"/>
      <c r="I1387" s="1436"/>
      <c r="J1387" s="1436"/>
      <c r="K1387" s="1436"/>
      <c r="L1387" s="1436"/>
      <c r="M1387" s="1436"/>
      <c r="N1387" s="1436"/>
      <c r="O1387" s="1436"/>
      <c r="P1387" s="1436"/>
      <c r="Q1387" s="1436"/>
      <c r="R1387" s="1436"/>
      <c r="S1387" s="1436"/>
      <c r="T1387" s="1436"/>
      <c r="U1387" s="1436"/>
      <c r="V1387" s="1436"/>
      <c r="W1387" s="1436"/>
      <c r="X1387" s="1436"/>
      <c r="Y1387" s="1436"/>
      <c r="Z1387" s="1436"/>
      <c r="AA1387" s="1436"/>
      <c r="AB1387" s="1436"/>
      <c r="AC1387" s="1436"/>
      <c r="AD1387" s="1436"/>
      <c r="AE1387" s="1436"/>
      <c r="AF1387" s="1436"/>
    </row>
    <row r="1388" spans="1:32">
      <c r="A1388" s="1436"/>
      <c r="B1388" s="1436"/>
      <c r="C1388" s="1436"/>
      <c r="D1388" s="1436"/>
      <c r="E1388" s="1436"/>
      <c r="F1388" s="1436"/>
      <c r="G1388" s="1436"/>
      <c r="H1388" s="1436"/>
      <c r="I1388" s="1436"/>
      <c r="J1388" s="1436"/>
      <c r="K1388" s="1436"/>
      <c r="L1388" s="1436"/>
      <c r="M1388" s="1436"/>
      <c r="N1388" s="1436"/>
      <c r="O1388" s="1436"/>
      <c r="P1388" s="1436"/>
      <c r="Q1388" s="1436"/>
      <c r="R1388" s="1436"/>
      <c r="S1388" s="1436"/>
      <c r="T1388" s="1436"/>
      <c r="U1388" s="1436"/>
      <c r="V1388" s="1436"/>
      <c r="W1388" s="1436"/>
      <c r="X1388" s="1436"/>
      <c r="Y1388" s="1436"/>
      <c r="Z1388" s="1436"/>
      <c r="AA1388" s="1436"/>
      <c r="AB1388" s="1436"/>
      <c r="AC1388" s="1436"/>
      <c r="AD1388" s="1436"/>
      <c r="AE1388" s="1436"/>
      <c r="AF1388" s="1436"/>
    </row>
    <row r="1389" spans="1:32">
      <c r="A1389" s="1436"/>
      <c r="B1389" s="1436"/>
      <c r="C1389" s="1436"/>
      <c r="D1389" s="1436"/>
      <c r="E1389" s="1436"/>
      <c r="F1389" s="1436"/>
      <c r="G1389" s="1436"/>
      <c r="H1389" s="1436"/>
      <c r="I1389" s="1436"/>
      <c r="J1389" s="1436"/>
      <c r="K1389" s="1436"/>
      <c r="L1389" s="1436"/>
      <c r="M1389" s="1436"/>
      <c r="N1389" s="1436"/>
      <c r="O1389" s="1436"/>
      <c r="P1389" s="1436"/>
      <c r="Q1389" s="1436"/>
      <c r="R1389" s="1436"/>
      <c r="S1389" s="1436"/>
      <c r="T1389" s="1436"/>
      <c r="U1389" s="1436"/>
      <c r="V1389" s="1436"/>
      <c r="W1389" s="1436"/>
      <c r="X1389" s="1436"/>
      <c r="Y1389" s="1436"/>
      <c r="Z1389" s="1436"/>
      <c r="AA1389" s="1436"/>
      <c r="AB1389" s="1436"/>
      <c r="AC1389" s="1436"/>
      <c r="AD1389" s="1436"/>
      <c r="AE1389" s="1436"/>
      <c r="AF1389" s="1436"/>
    </row>
    <row r="1390" spans="1:32">
      <c r="A1390" s="1436"/>
      <c r="B1390" s="1436"/>
      <c r="C1390" s="1436"/>
      <c r="D1390" s="1436"/>
      <c r="E1390" s="1436"/>
      <c r="F1390" s="1436"/>
      <c r="G1390" s="1436"/>
      <c r="H1390" s="1436"/>
      <c r="I1390" s="1436"/>
      <c r="J1390" s="1436"/>
      <c r="K1390" s="1436"/>
      <c r="L1390" s="1436"/>
      <c r="M1390" s="1436"/>
      <c r="N1390" s="1436"/>
      <c r="O1390" s="1436"/>
      <c r="P1390" s="1436"/>
      <c r="Q1390" s="1436"/>
      <c r="R1390" s="1436"/>
      <c r="S1390" s="1436"/>
      <c r="T1390" s="1436"/>
      <c r="U1390" s="1436"/>
      <c r="V1390" s="1436"/>
      <c r="W1390" s="1436"/>
      <c r="X1390" s="1436"/>
      <c r="Y1390" s="1436"/>
      <c r="Z1390" s="1436"/>
      <c r="AA1390" s="1436"/>
      <c r="AB1390" s="1436"/>
      <c r="AC1390" s="1436"/>
      <c r="AD1390" s="1436"/>
      <c r="AE1390" s="1436"/>
      <c r="AF1390" s="1436"/>
    </row>
    <row r="1391" spans="1:32">
      <c r="A1391" s="1436"/>
      <c r="B1391" s="1436"/>
      <c r="C1391" s="1436"/>
      <c r="D1391" s="1436"/>
      <c r="E1391" s="1436"/>
      <c r="F1391" s="1436"/>
      <c r="G1391" s="1436"/>
      <c r="H1391" s="1436"/>
      <c r="I1391" s="1436"/>
      <c r="J1391" s="1436"/>
      <c r="K1391" s="1436"/>
      <c r="L1391" s="1436"/>
      <c r="M1391" s="1436"/>
      <c r="N1391" s="1436"/>
      <c r="O1391" s="1436"/>
      <c r="P1391" s="1436"/>
      <c r="Q1391" s="1436"/>
      <c r="R1391" s="1436"/>
      <c r="S1391" s="1436"/>
      <c r="T1391" s="1436"/>
      <c r="U1391" s="1436"/>
      <c r="V1391" s="1436"/>
      <c r="W1391" s="1436"/>
      <c r="X1391" s="1436"/>
      <c r="Y1391" s="1436"/>
      <c r="Z1391" s="1436"/>
      <c r="AA1391" s="1436"/>
      <c r="AB1391" s="1436"/>
      <c r="AC1391" s="1436"/>
      <c r="AD1391" s="1436"/>
      <c r="AE1391" s="1436"/>
      <c r="AF1391" s="1436"/>
    </row>
    <row r="1392" spans="1:32">
      <c r="A1392" s="1436"/>
      <c r="B1392" s="1436"/>
      <c r="C1392" s="1436"/>
      <c r="D1392" s="1436"/>
      <c r="E1392" s="1436"/>
      <c r="F1392" s="1436"/>
      <c r="G1392" s="1436"/>
      <c r="H1392" s="1436"/>
      <c r="I1392" s="1436"/>
      <c r="J1392" s="1436"/>
      <c r="K1392" s="1436"/>
      <c r="L1392" s="1436"/>
      <c r="M1392" s="1436"/>
      <c r="N1392" s="1436"/>
      <c r="O1392" s="1436"/>
      <c r="P1392" s="1436"/>
      <c r="Q1392" s="1436"/>
      <c r="R1392" s="1436"/>
      <c r="S1392" s="1436"/>
      <c r="T1392" s="1436"/>
      <c r="U1392" s="1436"/>
      <c r="V1392" s="1436"/>
      <c r="W1392" s="1436"/>
      <c r="X1392" s="1436"/>
      <c r="Y1392" s="1436"/>
      <c r="Z1392" s="1436"/>
      <c r="AA1392" s="1436"/>
      <c r="AB1392" s="1436"/>
      <c r="AC1392" s="1436"/>
      <c r="AD1392" s="1436"/>
      <c r="AE1392" s="1436"/>
      <c r="AF1392" s="1436"/>
    </row>
    <row r="1393" spans="1:32">
      <c r="A1393" s="1436"/>
      <c r="B1393" s="1436"/>
      <c r="C1393" s="1436"/>
      <c r="D1393" s="1436"/>
      <c r="E1393" s="1436"/>
      <c r="F1393" s="1436"/>
      <c r="G1393" s="1436"/>
      <c r="H1393" s="1436"/>
      <c r="I1393" s="1436"/>
      <c r="J1393" s="1436"/>
      <c r="K1393" s="1436"/>
      <c r="L1393" s="1436"/>
      <c r="M1393" s="1436"/>
      <c r="N1393" s="1436"/>
      <c r="O1393" s="1436"/>
      <c r="P1393" s="1436"/>
      <c r="Q1393" s="1436"/>
      <c r="R1393" s="1436"/>
      <c r="S1393" s="1436"/>
      <c r="T1393" s="1436"/>
      <c r="U1393" s="1436"/>
      <c r="V1393" s="1436"/>
      <c r="W1393" s="1436"/>
      <c r="X1393" s="1436"/>
      <c r="Y1393" s="1436"/>
      <c r="Z1393" s="1436"/>
      <c r="AA1393" s="1436"/>
      <c r="AB1393" s="1436"/>
      <c r="AC1393" s="1436"/>
      <c r="AD1393" s="1436"/>
      <c r="AE1393" s="1436"/>
      <c r="AF1393" s="1436"/>
    </row>
    <row r="1394" spans="1:32">
      <c r="A1394" s="1436"/>
      <c r="B1394" s="1436"/>
      <c r="C1394" s="1436"/>
      <c r="D1394" s="1436"/>
      <c r="E1394" s="1436"/>
      <c r="F1394" s="1436"/>
      <c r="G1394" s="1436"/>
      <c r="H1394" s="1436"/>
      <c r="I1394" s="1436"/>
      <c r="J1394" s="1436"/>
      <c r="K1394" s="1436"/>
      <c r="L1394" s="1436"/>
      <c r="M1394" s="1436"/>
      <c r="N1394" s="1436"/>
      <c r="O1394" s="1436"/>
      <c r="P1394" s="1436"/>
      <c r="Q1394" s="1436"/>
      <c r="R1394" s="1436"/>
      <c r="S1394" s="1436"/>
      <c r="T1394" s="1436"/>
      <c r="U1394" s="1436"/>
      <c r="V1394" s="1436"/>
      <c r="W1394" s="1436"/>
      <c r="X1394" s="1436"/>
      <c r="Y1394" s="1436"/>
      <c r="Z1394" s="1436"/>
      <c r="AA1394" s="1436"/>
      <c r="AB1394" s="1436"/>
      <c r="AC1394" s="1436"/>
      <c r="AD1394" s="1436"/>
      <c r="AE1394" s="1436"/>
      <c r="AF1394" s="1436"/>
    </row>
    <row r="1395" spans="1:32">
      <c r="A1395" s="1436"/>
      <c r="B1395" s="1436"/>
      <c r="C1395" s="1436"/>
      <c r="D1395" s="1436"/>
      <c r="E1395" s="1436"/>
      <c r="F1395" s="1436"/>
      <c r="G1395" s="1436"/>
      <c r="H1395" s="1436"/>
      <c r="I1395" s="1436"/>
      <c r="J1395" s="1436"/>
      <c r="K1395" s="1436"/>
      <c r="L1395" s="1436"/>
      <c r="M1395" s="1436"/>
      <c r="N1395" s="1436"/>
      <c r="O1395" s="1436"/>
      <c r="P1395" s="1436"/>
      <c r="Q1395" s="1436"/>
      <c r="R1395" s="1436"/>
      <c r="S1395" s="1436"/>
      <c r="T1395" s="1436"/>
      <c r="U1395" s="1436"/>
      <c r="V1395" s="1436"/>
      <c r="W1395" s="1436"/>
      <c r="X1395" s="1436"/>
      <c r="Y1395" s="1436"/>
      <c r="Z1395" s="1436"/>
      <c r="AA1395" s="1436"/>
      <c r="AB1395" s="1436"/>
      <c r="AC1395" s="1436"/>
      <c r="AD1395" s="1436"/>
      <c r="AE1395" s="1436"/>
      <c r="AF1395" s="1436"/>
    </row>
    <row r="1396" spans="1:32">
      <c r="A1396" s="1436"/>
      <c r="B1396" s="1436"/>
      <c r="C1396" s="1436"/>
      <c r="D1396" s="1436"/>
      <c r="E1396" s="1436"/>
      <c r="F1396" s="1436"/>
      <c r="G1396" s="1436"/>
      <c r="H1396" s="1436"/>
      <c r="I1396" s="1436"/>
      <c r="J1396" s="1436"/>
      <c r="K1396" s="1436"/>
      <c r="L1396" s="1436"/>
      <c r="M1396" s="1436"/>
      <c r="N1396" s="1436"/>
      <c r="O1396" s="1436"/>
      <c r="P1396" s="1436"/>
      <c r="Q1396" s="1436"/>
      <c r="R1396" s="1436"/>
      <c r="S1396" s="1436"/>
      <c r="T1396" s="1436"/>
      <c r="U1396" s="1436"/>
      <c r="V1396" s="1436"/>
      <c r="W1396" s="1436"/>
      <c r="X1396" s="1436"/>
      <c r="Y1396" s="1436"/>
      <c r="Z1396" s="1436"/>
      <c r="AA1396" s="1436"/>
      <c r="AB1396" s="1436"/>
      <c r="AC1396" s="1436"/>
      <c r="AD1396" s="1436"/>
      <c r="AE1396" s="1436"/>
      <c r="AF1396" s="1436"/>
    </row>
    <row r="1397" spans="1:32">
      <c r="A1397" s="1436"/>
      <c r="B1397" s="1436"/>
      <c r="C1397" s="1436"/>
      <c r="D1397" s="1436"/>
      <c r="E1397" s="1436"/>
      <c r="F1397" s="1436"/>
      <c r="G1397" s="1436"/>
      <c r="H1397" s="1436"/>
      <c r="I1397" s="1436"/>
      <c r="J1397" s="1436"/>
      <c r="K1397" s="1436"/>
      <c r="L1397" s="1436"/>
      <c r="M1397" s="1436"/>
      <c r="N1397" s="1436"/>
      <c r="O1397" s="1436"/>
      <c r="P1397" s="1436"/>
      <c r="Q1397" s="1436"/>
      <c r="R1397" s="1436"/>
      <c r="S1397" s="1436"/>
      <c r="T1397" s="1436"/>
      <c r="U1397" s="1436"/>
      <c r="V1397" s="1436"/>
      <c r="W1397" s="1436"/>
      <c r="X1397" s="1436"/>
      <c r="Y1397" s="1436"/>
      <c r="Z1397" s="1436"/>
      <c r="AA1397" s="1436"/>
      <c r="AB1397" s="1436"/>
      <c r="AC1397" s="1436"/>
      <c r="AD1397" s="1436"/>
      <c r="AE1397" s="1436"/>
      <c r="AF1397" s="1436"/>
    </row>
    <row r="1398" spans="1:32">
      <c r="A1398" s="1436"/>
      <c r="B1398" s="1436"/>
      <c r="C1398" s="1436"/>
      <c r="D1398" s="1436"/>
      <c r="E1398" s="1436"/>
      <c r="F1398" s="1436"/>
      <c r="G1398" s="1436"/>
      <c r="H1398" s="1436"/>
      <c r="I1398" s="1436"/>
      <c r="J1398" s="1436"/>
      <c r="K1398" s="1436"/>
      <c r="L1398" s="1436"/>
      <c r="M1398" s="1436"/>
      <c r="N1398" s="1436"/>
      <c r="O1398" s="1436"/>
      <c r="P1398" s="1436"/>
      <c r="Q1398" s="1436"/>
      <c r="R1398" s="1436"/>
      <c r="S1398" s="1436"/>
      <c r="T1398" s="1436"/>
      <c r="U1398" s="1436"/>
      <c r="V1398" s="1436"/>
      <c r="W1398" s="1436"/>
      <c r="X1398" s="1436"/>
      <c r="Y1398" s="1436"/>
      <c r="Z1398" s="1436"/>
      <c r="AA1398" s="1436"/>
      <c r="AB1398" s="1436"/>
      <c r="AC1398" s="1436"/>
      <c r="AD1398" s="1436"/>
      <c r="AE1398" s="1436"/>
      <c r="AF1398" s="1436"/>
    </row>
    <row r="1399" spans="1:32">
      <c r="A1399" s="1436"/>
      <c r="B1399" s="1436"/>
      <c r="C1399" s="1436"/>
      <c r="D1399" s="1436"/>
      <c r="E1399" s="1436"/>
      <c r="F1399" s="1436"/>
      <c r="G1399" s="1436"/>
      <c r="H1399" s="1436"/>
      <c r="I1399" s="1436"/>
      <c r="J1399" s="1436"/>
      <c r="K1399" s="1436"/>
      <c r="L1399" s="1436"/>
      <c r="M1399" s="1436"/>
      <c r="N1399" s="1436"/>
      <c r="O1399" s="1436"/>
      <c r="P1399" s="1436"/>
      <c r="Q1399" s="1436"/>
      <c r="R1399" s="1436"/>
      <c r="S1399" s="1436"/>
      <c r="T1399" s="1436"/>
      <c r="U1399" s="1436"/>
      <c r="V1399" s="1436"/>
      <c r="W1399" s="1436"/>
      <c r="X1399" s="1436"/>
      <c r="Y1399" s="1436"/>
      <c r="Z1399" s="1436"/>
      <c r="AA1399" s="1436"/>
      <c r="AB1399" s="1436"/>
      <c r="AC1399" s="1436"/>
      <c r="AD1399" s="1436"/>
      <c r="AE1399" s="1436"/>
      <c r="AF1399" s="1436"/>
    </row>
    <row r="1400" spans="1:32">
      <c r="A1400" s="1436"/>
      <c r="B1400" s="1436"/>
      <c r="C1400" s="1436"/>
      <c r="D1400" s="1436"/>
      <c r="E1400" s="1436"/>
      <c r="F1400" s="1436"/>
      <c r="G1400" s="1436"/>
      <c r="H1400" s="1436"/>
      <c r="I1400" s="1436"/>
      <c r="J1400" s="1436"/>
      <c r="K1400" s="1436"/>
      <c r="L1400" s="1436"/>
      <c r="M1400" s="1436"/>
      <c r="N1400" s="1436"/>
      <c r="O1400" s="1436"/>
      <c r="P1400" s="1436"/>
      <c r="Q1400" s="1436"/>
      <c r="R1400" s="1436"/>
      <c r="S1400" s="1436"/>
      <c r="T1400" s="1436"/>
      <c r="U1400" s="1436"/>
      <c r="V1400" s="1436"/>
      <c r="W1400" s="1436"/>
      <c r="X1400" s="1436"/>
      <c r="Y1400" s="1436"/>
      <c r="Z1400" s="1436"/>
      <c r="AA1400" s="1436"/>
      <c r="AB1400" s="1436"/>
      <c r="AC1400" s="1436"/>
      <c r="AD1400" s="1436"/>
      <c r="AE1400" s="1436"/>
      <c r="AF1400" s="1436"/>
    </row>
    <row r="1401" spans="1:32">
      <c r="A1401" s="1436"/>
      <c r="B1401" s="1436"/>
      <c r="C1401" s="1436"/>
      <c r="D1401" s="1436"/>
      <c r="E1401" s="1436"/>
      <c r="F1401" s="1436"/>
      <c r="G1401" s="1436"/>
      <c r="H1401" s="1436"/>
      <c r="I1401" s="1436"/>
      <c r="J1401" s="1436"/>
      <c r="K1401" s="1436"/>
      <c r="L1401" s="1436"/>
      <c r="M1401" s="1436"/>
      <c r="N1401" s="1436"/>
      <c r="O1401" s="1436"/>
      <c r="P1401" s="1436"/>
      <c r="Q1401" s="1436"/>
      <c r="R1401" s="1436"/>
      <c r="S1401" s="1436"/>
      <c r="T1401" s="1436"/>
      <c r="U1401" s="1436"/>
      <c r="V1401" s="1436"/>
      <c r="W1401" s="1436"/>
      <c r="X1401" s="1436"/>
      <c r="Y1401" s="1436"/>
      <c r="Z1401" s="1436"/>
      <c r="AA1401" s="1436"/>
      <c r="AB1401" s="1436"/>
      <c r="AC1401" s="1436"/>
      <c r="AD1401" s="1436"/>
      <c r="AE1401" s="1436"/>
      <c r="AF1401" s="1436"/>
    </row>
    <row r="1402" spans="1:32">
      <c r="A1402" s="1436"/>
      <c r="B1402" s="1436"/>
      <c r="C1402" s="1436"/>
      <c r="D1402" s="1436"/>
      <c r="E1402" s="1436"/>
      <c r="F1402" s="1436"/>
      <c r="G1402" s="1436"/>
      <c r="H1402" s="1436"/>
      <c r="I1402" s="1436"/>
      <c r="J1402" s="1436"/>
      <c r="K1402" s="1436"/>
      <c r="L1402" s="1436"/>
      <c r="M1402" s="1436"/>
      <c r="N1402" s="1436"/>
      <c r="O1402" s="1436"/>
      <c r="P1402" s="1436"/>
      <c r="Q1402" s="1436"/>
      <c r="R1402" s="1436"/>
      <c r="S1402" s="1436"/>
      <c r="T1402" s="1436"/>
      <c r="U1402" s="1436"/>
      <c r="V1402" s="1436"/>
      <c r="W1402" s="1436"/>
      <c r="X1402" s="1436"/>
      <c r="Y1402" s="1436"/>
      <c r="Z1402" s="1436"/>
      <c r="AA1402" s="1436"/>
      <c r="AB1402" s="1436"/>
      <c r="AC1402" s="1436"/>
      <c r="AD1402" s="1436"/>
      <c r="AE1402" s="1436"/>
      <c r="AF1402" s="1436"/>
    </row>
    <row r="1403" spans="1:32">
      <c r="A1403" s="1436"/>
      <c r="B1403" s="1436"/>
      <c r="C1403" s="1436"/>
      <c r="D1403" s="1436"/>
      <c r="E1403" s="1436"/>
      <c r="F1403" s="1436"/>
      <c r="G1403" s="1436"/>
      <c r="H1403" s="1436"/>
      <c r="I1403" s="1436"/>
      <c r="J1403" s="1436"/>
      <c r="K1403" s="1436"/>
      <c r="L1403" s="1436"/>
      <c r="M1403" s="1436"/>
      <c r="N1403" s="1436"/>
      <c r="O1403" s="1436"/>
      <c r="P1403" s="1436"/>
      <c r="Q1403" s="1436"/>
      <c r="R1403" s="1436"/>
      <c r="S1403" s="1436"/>
      <c r="T1403" s="1436"/>
      <c r="U1403" s="1436"/>
      <c r="V1403" s="1436"/>
      <c r="W1403" s="1436"/>
      <c r="X1403" s="1436"/>
      <c r="Y1403" s="1436"/>
      <c r="Z1403" s="1436"/>
      <c r="AA1403" s="1436"/>
      <c r="AB1403" s="1436"/>
      <c r="AC1403" s="1436"/>
      <c r="AD1403" s="1436"/>
      <c r="AE1403" s="1436"/>
      <c r="AF1403" s="1436"/>
    </row>
    <row r="1404" spans="1:32">
      <c r="A1404" s="1436"/>
      <c r="B1404" s="1436"/>
      <c r="C1404" s="1436"/>
      <c r="D1404" s="1436"/>
      <c r="E1404" s="1436"/>
      <c r="F1404" s="1436"/>
      <c r="G1404" s="1436"/>
      <c r="H1404" s="1436"/>
      <c r="I1404" s="1436"/>
      <c r="J1404" s="1436"/>
      <c r="K1404" s="1436"/>
      <c r="L1404" s="1436"/>
      <c r="M1404" s="1436"/>
      <c r="N1404" s="1436"/>
      <c r="O1404" s="1436"/>
      <c r="P1404" s="1436"/>
      <c r="Q1404" s="1436"/>
      <c r="R1404" s="1436"/>
      <c r="S1404" s="1436"/>
      <c r="T1404" s="1436"/>
      <c r="U1404" s="1436"/>
      <c r="V1404" s="1436"/>
      <c r="W1404" s="1436"/>
      <c r="X1404" s="1436"/>
      <c r="Y1404" s="1436"/>
      <c r="Z1404" s="1436"/>
      <c r="AA1404" s="1436"/>
      <c r="AB1404" s="1436"/>
      <c r="AC1404" s="1436"/>
      <c r="AD1404" s="1436"/>
      <c r="AE1404" s="1436"/>
      <c r="AF1404" s="1436"/>
    </row>
    <row r="1405" spans="1:32">
      <c r="A1405" s="1436"/>
      <c r="B1405" s="1436"/>
      <c r="C1405" s="1436"/>
      <c r="D1405" s="1436"/>
      <c r="E1405" s="1436"/>
      <c r="F1405" s="1436"/>
      <c r="G1405" s="1436"/>
      <c r="H1405" s="1436"/>
      <c r="I1405" s="1436"/>
      <c r="J1405" s="1436"/>
      <c r="K1405" s="1436"/>
      <c r="L1405" s="1436"/>
      <c r="M1405" s="1436"/>
      <c r="N1405" s="1436"/>
      <c r="O1405" s="1436"/>
      <c r="P1405" s="1436"/>
      <c r="Q1405" s="1436"/>
      <c r="R1405" s="1436"/>
      <c r="S1405" s="1436"/>
      <c r="T1405" s="1436"/>
      <c r="U1405" s="1436"/>
      <c r="V1405" s="1436"/>
      <c r="W1405" s="1436"/>
      <c r="X1405" s="1436"/>
      <c r="Y1405" s="1436"/>
      <c r="Z1405" s="1436"/>
      <c r="AA1405" s="1436"/>
      <c r="AB1405" s="1436"/>
      <c r="AC1405" s="1436"/>
      <c r="AD1405" s="1436"/>
      <c r="AE1405" s="1436"/>
      <c r="AF1405" s="1436"/>
    </row>
    <row r="1406" spans="1:32">
      <c r="A1406" s="1436"/>
      <c r="B1406" s="1436"/>
      <c r="C1406" s="1436"/>
      <c r="D1406" s="1436"/>
      <c r="E1406" s="1436"/>
      <c r="F1406" s="1436"/>
      <c r="G1406" s="1436"/>
      <c r="H1406" s="1436"/>
      <c r="I1406" s="1436"/>
      <c r="J1406" s="1436"/>
      <c r="K1406" s="1436"/>
      <c r="L1406" s="1436"/>
      <c r="M1406" s="1436"/>
      <c r="N1406" s="1436"/>
      <c r="O1406" s="1436"/>
      <c r="P1406" s="1436"/>
      <c r="Q1406" s="1436"/>
      <c r="R1406" s="1436"/>
      <c r="S1406" s="1436"/>
      <c r="T1406" s="1436"/>
      <c r="U1406" s="1436"/>
      <c r="V1406" s="1436"/>
      <c r="W1406" s="1436"/>
      <c r="X1406" s="1436"/>
      <c r="Y1406" s="1436"/>
      <c r="Z1406" s="1436"/>
      <c r="AA1406" s="1436"/>
      <c r="AB1406" s="1436"/>
      <c r="AC1406" s="1436"/>
      <c r="AD1406" s="1436"/>
      <c r="AE1406" s="1436"/>
      <c r="AF1406" s="1436"/>
    </row>
    <row r="1407" spans="1:32">
      <c r="A1407" s="1436"/>
      <c r="B1407" s="1436"/>
      <c r="C1407" s="1436"/>
      <c r="D1407" s="1436"/>
      <c r="E1407" s="1436"/>
      <c r="F1407" s="1436"/>
      <c r="G1407" s="1436"/>
      <c r="H1407" s="1436"/>
      <c r="I1407" s="1436"/>
      <c r="J1407" s="1436"/>
      <c r="K1407" s="1436"/>
      <c r="L1407" s="1436"/>
      <c r="M1407" s="1436"/>
      <c r="N1407" s="1436"/>
      <c r="O1407" s="1436"/>
      <c r="P1407" s="1436"/>
      <c r="Q1407" s="1436"/>
      <c r="R1407" s="1436"/>
      <c r="S1407" s="1436"/>
      <c r="T1407" s="1436"/>
      <c r="U1407" s="1436"/>
      <c r="V1407" s="1436"/>
      <c r="W1407" s="1436"/>
      <c r="X1407" s="1436"/>
      <c r="Y1407" s="1436"/>
      <c r="Z1407" s="1436"/>
      <c r="AA1407" s="1436"/>
      <c r="AB1407" s="1436"/>
      <c r="AC1407" s="1436"/>
      <c r="AD1407" s="1436"/>
      <c r="AE1407" s="1436"/>
      <c r="AF1407" s="1436"/>
    </row>
    <row r="1408" spans="1:32">
      <c r="A1408" s="1436"/>
      <c r="B1408" s="1436"/>
      <c r="C1408" s="1436"/>
      <c r="D1408" s="1436"/>
      <c r="E1408" s="1436"/>
      <c r="F1408" s="1436"/>
      <c r="G1408" s="1436"/>
      <c r="H1408" s="1436"/>
      <c r="I1408" s="1436"/>
      <c r="J1408" s="1436"/>
      <c r="K1408" s="1436"/>
      <c r="L1408" s="1436"/>
      <c r="M1408" s="1436"/>
      <c r="N1408" s="1436"/>
      <c r="O1408" s="1436"/>
      <c r="P1408" s="1436"/>
      <c r="Q1408" s="1436"/>
      <c r="R1408" s="1436"/>
      <c r="S1408" s="1436"/>
      <c r="T1408" s="1436"/>
      <c r="U1408" s="1436"/>
      <c r="V1408" s="1436"/>
      <c r="W1408" s="1436"/>
      <c r="X1408" s="1436"/>
      <c r="Y1408" s="1436"/>
      <c r="Z1408" s="1436"/>
      <c r="AA1408" s="1436"/>
      <c r="AB1408" s="1436"/>
      <c r="AC1408" s="1436"/>
      <c r="AD1408" s="1436"/>
      <c r="AE1408" s="1436"/>
      <c r="AF1408" s="1436"/>
    </row>
    <row r="1409" spans="1:32">
      <c r="A1409" s="1436"/>
      <c r="B1409" s="1436"/>
      <c r="C1409" s="1436"/>
      <c r="D1409" s="1436"/>
      <c r="E1409" s="1436"/>
      <c r="F1409" s="1436"/>
      <c r="G1409" s="1436"/>
      <c r="H1409" s="1436"/>
      <c r="I1409" s="1436"/>
      <c r="J1409" s="1436"/>
      <c r="K1409" s="1436"/>
      <c r="L1409" s="1436"/>
      <c r="M1409" s="1436"/>
      <c r="N1409" s="1436"/>
      <c r="O1409" s="1436"/>
      <c r="P1409" s="1436"/>
      <c r="Q1409" s="1436"/>
      <c r="R1409" s="1436"/>
      <c r="S1409" s="1436"/>
      <c r="T1409" s="1436"/>
      <c r="U1409" s="1436"/>
      <c r="V1409" s="1436"/>
      <c r="W1409" s="1436"/>
      <c r="X1409" s="1436"/>
      <c r="Y1409" s="1436"/>
      <c r="Z1409" s="1436"/>
      <c r="AA1409" s="1436"/>
      <c r="AB1409" s="1436"/>
      <c r="AC1409" s="1436"/>
      <c r="AD1409" s="1436"/>
      <c r="AE1409" s="1436"/>
      <c r="AF1409" s="1436"/>
    </row>
    <row r="1410" spans="1:32">
      <c r="A1410" s="1436"/>
      <c r="B1410" s="1436"/>
      <c r="C1410" s="1436"/>
      <c r="D1410" s="1436"/>
      <c r="E1410" s="1436"/>
      <c r="F1410" s="1436"/>
      <c r="G1410" s="1436"/>
      <c r="H1410" s="1436"/>
      <c r="I1410" s="1436"/>
      <c r="J1410" s="1436"/>
      <c r="K1410" s="1436"/>
      <c r="L1410" s="1436"/>
      <c r="M1410" s="1436"/>
      <c r="N1410" s="1436"/>
      <c r="O1410" s="1436"/>
      <c r="P1410" s="1436"/>
      <c r="Q1410" s="1436"/>
      <c r="R1410" s="1436"/>
      <c r="S1410" s="1436"/>
      <c r="T1410" s="1436"/>
      <c r="U1410" s="1436"/>
      <c r="V1410" s="1436"/>
      <c r="W1410" s="1436"/>
      <c r="X1410" s="1436"/>
      <c r="Y1410" s="1436"/>
      <c r="Z1410" s="1436"/>
      <c r="AA1410" s="1436"/>
      <c r="AB1410" s="1436"/>
      <c r="AC1410" s="1436"/>
      <c r="AD1410" s="1436"/>
      <c r="AE1410" s="1436"/>
      <c r="AF1410" s="1436"/>
    </row>
    <row r="1411" spans="1:32">
      <c r="A1411" s="1436"/>
      <c r="B1411" s="1436"/>
      <c r="C1411" s="1436"/>
      <c r="D1411" s="1436"/>
      <c r="E1411" s="1436"/>
      <c r="F1411" s="1436"/>
      <c r="G1411" s="1436"/>
      <c r="H1411" s="1436"/>
      <c r="I1411" s="1436"/>
      <c r="J1411" s="1436"/>
      <c r="K1411" s="1436"/>
      <c r="L1411" s="1436"/>
      <c r="M1411" s="1436"/>
      <c r="N1411" s="1436"/>
      <c r="O1411" s="1436"/>
      <c r="P1411" s="1436"/>
      <c r="Q1411" s="1436"/>
      <c r="R1411" s="1436"/>
      <c r="S1411" s="1436"/>
      <c r="T1411" s="1436"/>
      <c r="U1411" s="1436"/>
      <c r="V1411" s="1436"/>
      <c r="W1411" s="1436"/>
      <c r="X1411" s="1436"/>
      <c r="Y1411" s="1436"/>
      <c r="Z1411" s="1436"/>
      <c r="AA1411" s="1436"/>
      <c r="AB1411" s="1436"/>
      <c r="AC1411" s="1436"/>
      <c r="AD1411" s="1436"/>
      <c r="AE1411" s="1436"/>
      <c r="AF1411" s="1436"/>
    </row>
    <row r="1412" spans="1:32">
      <c r="A1412" s="1436"/>
      <c r="B1412" s="1436"/>
      <c r="C1412" s="1436"/>
      <c r="D1412" s="1436"/>
      <c r="E1412" s="1436"/>
      <c r="F1412" s="1436"/>
      <c r="G1412" s="1436"/>
      <c r="H1412" s="1436"/>
      <c r="I1412" s="1436"/>
      <c r="J1412" s="1436"/>
      <c r="K1412" s="1436"/>
      <c r="L1412" s="1436"/>
      <c r="M1412" s="1436"/>
      <c r="N1412" s="1436"/>
      <c r="O1412" s="1436"/>
      <c r="P1412" s="1436"/>
      <c r="Q1412" s="1436"/>
      <c r="R1412" s="1436"/>
      <c r="S1412" s="1436"/>
      <c r="T1412" s="1436"/>
      <c r="U1412" s="1436"/>
      <c r="V1412" s="1436"/>
      <c r="W1412" s="1436"/>
      <c r="X1412" s="1436"/>
      <c r="Y1412" s="1436"/>
      <c r="Z1412" s="1436"/>
      <c r="AA1412" s="1436"/>
      <c r="AB1412" s="1436"/>
      <c r="AC1412" s="1436"/>
      <c r="AD1412" s="1436"/>
      <c r="AE1412" s="1436"/>
      <c r="AF1412" s="1436"/>
    </row>
    <row r="1413" spans="1:32">
      <c r="A1413" s="1436"/>
      <c r="B1413" s="1436"/>
      <c r="C1413" s="1436"/>
      <c r="D1413" s="1436"/>
      <c r="E1413" s="1436"/>
      <c r="F1413" s="1436"/>
      <c r="G1413" s="1436"/>
      <c r="H1413" s="1436"/>
      <c r="I1413" s="1436"/>
      <c r="J1413" s="1436"/>
      <c r="K1413" s="1436"/>
      <c r="L1413" s="1436"/>
      <c r="M1413" s="1436"/>
      <c r="N1413" s="1436"/>
      <c r="O1413" s="1436"/>
      <c r="P1413" s="1436"/>
      <c r="Q1413" s="1436"/>
      <c r="R1413" s="1436"/>
      <c r="S1413" s="1436"/>
      <c r="T1413" s="1436"/>
      <c r="U1413" s="1436"/>
      <c r="V1413" s="1436"/>
      <c r="W1413" s="1436"/>
      <c r="X1413" s="1436"/>
      <c r="Y1413" s="1436"/>
      <c r="Z1413" s="1436"/>
      <c r="AA1413" s="1436"/>
      <c r="AB1413" s="1436"/>
      <c r="AC1413" s="1436"/>
      <c r="AD1413" s="1436"/>
      <c r="AE1413" s="1436"/>
      <c r="AF1413" s="1436"/>
    </row>
    <row r="1414" spans="1:32">
      <c r="A1414" s="1436"/>
      <c r="B1414" s="1436"/>
      <c r="C1414" s="1436"/>
      <c r="D1414" s="1436"/>
      <c r="E1414" s="1436"/>
      <c r="F1414" s="1436"/>
      <c r="G1414" s="1436"/>
      <c r="H1414" s="1436"/>
      <c r="I1414" s="1436"/>
      <c r="J1414" s="1436"/>
      <c r="K1414" s="1436"/>
      <c r="L1414" s="1436"/>
      <c r="M1414" s="1436"/>
      <c r="N1414" s="1436"/>
      <c r="O1414" s="1436"/>
      <c r="P1414" s="1436"/>
      <c r="Q1414" s="1436"/>
      <c r="R1414" s="1436"/>
      <c r="S1414" s="1436"/>
      <c r="T1414" s="1436"/>
      <c r="U1414" s="1436"/>
      <c r="V1414" s="1436"/>
      <c r="W1414" s="1436"/>
      <c r="X1414" s="1436"/>
      <c r="Y1414" s="1436"/>
      <c r="Z1414" s="1436"/>
      <c r="AA1414" s="1436"/>
      <c r="AB1414" s="1436"/>
      <c r="AC1414" s="1436"/>
      <c r="AD1414" s="1436"/>
      <c r="AE1414" s="1436"/>
      <c r="AF1414" s="1436"/>
    </row>
    <row r="1415" spans="1:32">
      <c r="A1415" s="1436"/>
      <c r="B1415" s="1436"/>
      <c r="C1415" s="1436"/>
      <c r="D1415" s="1436"/>
      <c r="E1415" s="1436"/>
      <c r="F1415" s="1436"/>
      <c r="G1415" s="1436"/>
      <c r="H1415" s="1436"/>
      <c r="I1415" s="1436"/>
      <c r="J1415" s="1436"/>
      <c r="K1415" s="1436"/>
      <c r="L1415" s="1436"/>
      <c r="M1415" s="1436"/>
      <c r="N1415" s="1436"/>
      <c r="O1415" s="1436"/>
      <c r="P1415" s="1436"/>
      <c r="Q1415" s="1436"/>
      <c r="R1415" s="1436"/>
      <c r="S1415" s="1436"/>
      <c r="T1415" s="1436"/>
      <c r="U1415" s="1436"/>
      <c r="V1415" s="1436"/>
      <c r="W1415" s="1436"/>
      <c r="X1415" s="1436"/>
      <c r="Y1415" s="1436"/>
      <c r="Z1415" s="1436"/>
      <c r="AA1415" s="1436"/>
      <c r="AB1415" s="1436"/>
      <c r="AC1415" s="1436"/>
      <c r="AD1415" s="1436"/>
      <c r="AE1415" s="1436"/>
      <c r="AF1415" s="1436"/>
    </row>
    <row r="1416" spans="1:32">
      <c r="A1416" s="1436"/>
      <c r="B1416" s="1436"/>
      <c r="C1416" s="1436"/>
      <c r="D1416" s="1436"/>
      <c r="E1416" s="1436"/>
      <c r="F1416" s="1436"/>
      <c r="G1416" s="1436"/>
      <c r="H1416" s="1436"/>
      <c r="I1416" s="1436"/>
      <c r="J1416" s="1436"/>
      <c r="K1416" s="1436"/>
      <c r="L1416" s="1436"/>
      <c r="M1416" s="1436"/>
      <c r="N1416" s="1436"/>
      <c r="O1416" s="1436"/>
      <c r="P1416" s="1436"/>
      <c r="Q1416" s="1436"/>
      <c r="R1416" s="1436"/>
      <c r="S1416" s="1436"/>
      <c r="T1416" s="1436"/>
      <c r="U1416" s="1436"/>
      <c r="V1416" s="1436"/>
      <c r="W1416" s="1436"/>
      <c r="X1416" s="1436"/>
      <c r="Y1416" s="1436"/>
      <c r="Z1416" s="1436"/>
      <c r="AA1416" s="1436"/>
      <c r="AB1416" s="1436"/>
      <c r="AC1416" s="1436"/>
      <c r="AD1416" s="1436"/>
      <c r="AE1416" s="1436"/>
      <c r="AF1416" s="1436"/>
    </row>
    <row r="1417" spans="1:32">
      <c r="A1417" s="1436"/>
      <c r="B1417" s="1436"/>
      <c r="C1417" s="1436"/>
      <c r="D1417" s="1436"/>
      <c r="E1417" s="1436"/>
      <c r="F1417" s="1436"/>
      <c r="G1417" s="1436"/>
      <c r="H1417" s="1436"/>
      <c r="I1417" s="1436"/>
      <c r="J1417" s="1436"/>
      <c r="K1417" s="1436"/>
      <c r="L1417" s="1436"/>
      <c r="M1417" s="1436"/>
      <c r="N1417" s="1436"/>
      <c r="O1417" s="1436"/>
      <c r="P1417" s="1436"/>
      <c r="Q1417" s="1436"/>
      <c r="R1417" s="1436"/>
      <c r="S1417" s="1436"/>
      <c r="T1417" s="1436"/>
      <c r="U1417" s="1436"/>
      <c r="V1417" s="1436"/>
      <c r="W1417" s="1436"/>
      <c r="X1417" s="1436"/>
      <c r="Y1417" s="1436"/>
      <c r="Z1417" s="1436"/>
      <c r="AA1417" s="1436"/>
      <c r="AB1417" s="1436"/>
      <c r="AC1417" s="1436"/>
      <c r="AD1417" s="1436"/>
      <c r="AE1417" s="1436"/>
      <c r="AF1417" s="1436"/>
    </row>
    <row r="1418" spans="1:32">
      <c r="A1418" s="1436"/>
      <c r="B1418" s="1436"/>
      <c r="C1418" s="1436"/>
      <c r="D1418" s="1436"/>
      <c r="E1418" s="1436"/>
      <c r="F1418" s="1436"/>
      <c r="G1418" s="1436"/>
      <c r="H1418" s="1436"/>
      <c r="I1418" s="1436"/>
      <c r="J1418" s="1436"/>
      <c r="K1418" s="1436"/>
      <c r="L1418" s="1436"/>
      <c r="M1418" s="1436"/>
      <c r="N1418" s="1436"/>
      <c r="O1418" s="1436"/>
      <c r="P1418" s="1436"/>
      <c r="Q1418" s="1436"/>
      <c r="R1418" s="1436"/>
      <c r="S1418" s="1436"/>
      <c r="T1418" s="1436"/>
      <c r="U1418" s="1436"/>
      <c r="V1418" s="1436"/>
      <c r="W1418" s="1436"/>
      <c r="X1418" s="1436"/>
      <c r="Y1418" s="1436"/>
      <c r="Z1418" s="1436"/>
      <c r="AA1418" s="1436"/>
      <c r="AB1418" s="1436"/>
      <c r="AC1418" s="1436"/>
      <c r="AD1418" s="1436"/>
      <c r="AE1418" s="1436"/>
      <c r="AF1418" s="1436"/>
    </row>
    <row r="1419" spans="1:32">
      <c r="A1419" s="1436"/>
      <c r="B1419" s="1436"/>
      <c r="C1419" s="1436"/>
      <c r="D1419" s="1436"/>
      <c r="E1419" s="1436"/>
      <c r="F1419" s="1436"/>
      <c r="G1419" s="1436"/>
      <c r="H1419" s="1436"/>
      <c r="I1419" s="1436"/>
      <c r="J1419" s="1436"/>
      <c r="K1419" s="1436"/>
      <c r="L1419" s="1436"/>
      <c r="M1419" s="1436"/>
      <c r="N1419" s="1436"/>
      <c r="O1419" s="1436"/>
      <c r="P1419" s="1436"/>
      <c r="Q1419" s="1436"/>
      <c r="R1419" s="1436"/>
      <c r="S1419" s="1436"/>
      <c r="T1419" s="1436"/>
      <c r="U1419" s="1436"/>
      <c r="V1419" s="1436"/>
      <c r="W1419" s="1436"/>
      <c r="X1419" s="1436"/>
      <c r="Y1419" s="1436"/>
      <c r="Z1419" s="1436"/>
      <c r="AA1419" s="1436"/>
      <c r="AB1419" s="1436"/>
      <c r="AC1419" s="1436"/>
      <c r="AD1419" s="1436"/>
      <c r="AE1419" s="1436"/>
      <c r="AF1419" s="1436"/>
    </row>
    <row r="1420" spans="1:32">
      <c r="A1420" s="1436"/>
      <c r="B1420" s="1436"/>
      <c r="C1420" s="1436"/>
      <c r="D1420" s="1436"/>
      <c r="E1420" s="1436"/>
      <c r="F1420" s="1436"/>
      <c r="G1420" s="1436"/>
      <c r="H1420" s="1436"/>
      <c r="I1420" s="1436"/>
      <c r="J1420" s="1436"/>
      <c r="K1420" s="1436"/>
      <c r="L1420" s="1436"/>
      <c r="M1420" s="1436"/>
      <c r="N1420" s="1436"/>
      <c r="O1420" s="1436"/>
      <c r="P1420" s="1436"/>
      <c r="Q1420" s="1436"/>
      <c r="R1420" s="1436"/>
      <c r="S1420" s="1436"/>
      <c r="T1420" s="1436"/>
      <c r="U1420" s="1436"/>
      <c r="V1420" s="1436"/>
      <c r="W1420" s="1436"/>
      <c r="X1420" s="1436"/>
      <c r="Y1420" s="1436"/>
      <c r="Z1420" s="1436"/>
      <c r="AA1420" s="1436"/>
      <c r="AB1420" s="1436"/>
      <c r="AC1420" s="1436"/>
      <c r="AD1420" s="1436"/>
      <c r="AE1420" s="1436"/>
      <c r="AF1420" s="1436"/>
    </row>
    <row r="1421" spans="1:32">
      <c r="A1421" s="1436"/>
      <c r="B1421" s="1436"/>
      <c r="C1421" s="1436"/>
      <c r="D1421" s="1436"/>
      <c r="E1421" s="1436"/>
      <c r="F1421" s="1436"/>
      <c r="G1421" s="1436"/>
      <c r="H1421" s="1436"/>
      <c r="I1421" s="1436"/>
      <c r="J1421" s="1436"/>
      <c r="K1421" s="1436"/>
      <c r="L1421" s="1436"/>
      <c r="M1421" s="1436"/>
      <c r="N1421" s="1436"/>
      <c r="O1421" s="1436"/>
      <c r="P1421" s="1436"/>
      <c r="Q1421" s="1436"/>
      <c r="R1421" s="1436"/>
      <c r="S1421" s="1436"/>
      <c r="T1421" s="1436"/>
      <c r="U1421" s="1436"/>
      <c r="V1421" s="1436"/>
      <c r="W1421" s="1436"/>
      <c r="X1421" s="1436"/>
      <c r="Y1421" s="1436"/>
      <c r="Z1421" s="1436"/>
      <c r="AA1421" s="1436"/>
      <c r="AB1421" s="1436"/>
      <c r="AC1421" s="1436"/>
      <c r="AD1421" s="1436"/>
      <c r="AE1421" s="1436"/>
      <c r="AF1421" s="1436"/>
    </row>
    <row r="1422" spans="1:32">
      <c r="A1422" s="1436"/>
      <c r="B1422" s="1436"/>
      <c r="C1422" s="1436"/>
      <c r="D1422" s="1436"/>
      <c r="E1422" s="1436"/>
      <c r="F1422" s="1436"/>
      <c r="G1422" s="1436"/>
      <c r="H1422" s="1436"/>
      <c r="I1422" s="1436"/>
      <c r="J1422" s="1436"/>
      <c r="K1422" s="1436"/>
      <c r="L1422" s="1436"/>
      <c r="M1422" s="1436"/>
      <c r="N1422" s="1436"/>
      <c r="O1422" s="1436"/>
      <c r="P1422" s="1436"/>
      <c r="Q1422" s="1436"/>
      <c r="R1422" s="1436"/>
      <c r="S1422" s="1436"/>
      <c r="T1422" s="1436"/>
      <c r="U1422" s="1436"/>
      <c r="V1422" s="1436"/>
      <c r="W1422" s="1436"/>
      <c r="X1422" s="1436"/>
      <c r="Y1422" s="1436"/>
      <c r="Z1422" s="1436"/>
      <c r="AA1422" s="1436"/>
      <c r="AB1422" s="1436"/>
      <c r="AC1422" s="1436"/>
      <c r="AD1422" s="1436"/>
      <c r="AE1422" s="1436"/>
      <c r="AF1422" s="1436"/>
    </row>
    <row r="1423" spans="1:32">
      <c r="A1423" s="1436"/>
      <c r="B1423" s="1436"/>
      <c r="C1423" s="1436"/>
      <c r="D1423" s="1436"/>
      <c r="E1423" s="1436"/>
      <c r="F1423" s="1436"/>
      <c r="G1423" s="1436"/>
      <c r="H1423" s="1436"/>
      <c r="I1423" s="1436"/>
      <c r="J1423" s="1436"/>
      <c r="K1423" s="1436"/>
      <c r="L1423" s="1436"/>
      <c r="M1423" s="1436"/>
      <c r="N1423" s="1436"/>
      <c r="O1423" s="1436"/>
      <c r="P1423" s="1436"/>
      <c r="Q1423" s="1436"/>
      <c r="R1423" s="1436"/>
      <c r="S1423" s="1436"/>
      <c r="T1423" s="1436"/>
      <c r="U1423" s="1436"/>
      <c r="V1423" s="1436"/>
      <c r="W1423" s="1436"/>
      <c r="X1423" s="1436"/>
      <c r="Y1423" s="1436"/>
      <c r="Z1423" s="1436"/>
      <c r="AA1423" s="1436"/>
      <c r="AB1423" s="1436"/>
      <c r="AC1423" s="1436"/>
      <c r="AD1423" s="1436"/>
      <c r="AE1423" s="1436"/>
      <c r="AF1423" s="1436"/>
    </row>
    <row r="1424" spans="1:32">
      <c r="A1424" s="1436"/>
      <c r="B1424" s="1436"/>
      <c r="C1424" s="1436"/>
      <c r="D1424" s="1436"/>
      <c r="E1424" s="1436"/>
      <c r="F1424" s="1436"/>
      <c r="G1424" s="1436"/>
      <c r="H1424" s="1436"/>
      <c r="I1424" s="1436"/>
      <c r="J1424" s="1436"/>
      <c r="K1424" s="1436"/>
      <c r="L1424" s="1436"/>
      <c r="M1424" s="1436"/>
      <c r="N1424" s="1436"/>
      <c r="O1424" s="1436"/>
      <c r="P1424" s="1436"/>
      <c r="Q1424" s="1436"/>
      <c r="R1424" s="1436"/>
      <c r="S1424" s="1436"/>
      <c r="T1424" s="1436"/>
      <c r="U1424" s="1436"/>
      <c r="V1424" s="1436"/>
      <c r="W1424" s="1436"/>
      <c r="X1424" s="1436"/>
      <c r="Y1424" s="1436"/>
      <c r="Z1424" s="1436"/>
      <c r="AA1424" s="1436"/>
      <c r="AB1424" s="1436"/>
      <c r="AC1424" s="1436"/>
      <c r="AD1424" s="1436"/>
      <c r="AE1424" s="1436"/>
      <c r="AF1424" s="1436"/>
    </row>
    <row r="1425" spans="1:32">
      <c r="A1425" s="1436"/>
      <c r="B1425" s="1436"/>
      <c r="C1425" s="1436"/>
      <c r="D1425" s="1436"/>
      <c r="E1425" s="1436"/>
      <c r="F1425" s="1436"/>
      <c r="G1425" s="1436"/>
      <c r="H1425" s="1436"/>
      <c r="I1425" s="1436"/>
      <c r="J1425" s="1436"/>
      <c r="K1425" s="1436"/>
      <c r="L1425" s="1436"/>
      <c r="M1425" s="1436"/>
      <c r="N1425" s="1436"/>
      <c r="O1425" s="1436"/>
      <c r="P1425" s="1436"/>
      <c r="Q1425" s="1436"/>
      <c r="R1425" s="1436"/>
      <c r="S1425" s="1436"/>
      <c r="T1425" s="1436"/>
      <c r="U1425" s="1436"/>
      <c r="V1425" s="1436"/>
      <c r="W1425" s="1436"/>
      <c r="X1425" s="1436"/>
      <c r="Y1425" s="1436"/>
      <c r="Z1425" s="1436"/>
      <c r="AA1425" s="1436"/>
      <c r="AB1425" s="1436"/>
      <c r="AC1425" s="1436"/>
      <c r="AD1425" s="1436"/>
      <c r="AE1425" s="1436"/>
      <c r="AF1425" s="1436"/>
    </row>
    <row r="1426" spans="1:32">
      <c r="A1426" s="1436"/>
      <c r="B1426" s="1436"/>
      <c r="C1426" s="1436"/>
      <c r="D1426" s="1436"/>
      <c r="E1426" s="1436"/>
      <c r="F1426" s="1436"/>
      <c r="G1426" s="1436"/>
      <c r="H1426" s="1436"/>
      <c r="I1426" s="1436"/>
      <c r="J1426" s="1436"/>
      <c r="K1426" s="1436"/>
      <c r="L1426" s="1436"/>
      <c r="M1426" s="1436"/>
      <c r="N1426" s="1436"/>
      <c r="O1426" s="1436"/>
      <c r="P1426" s="1436"/>
      <c r="Q1426" s="1436"/>
      <c r="R1426" s="1436"/>
      <c r="S1426" s="1436"/>
      <c r="T1426" s="1436"/>
      <c r="U1426" s="1436"/>
      <c r="V1426" s="1436"/>
      <c r="W1426" s="1436"/>
      <c r="X1426" s="1436"/>
      <c r="Y1426" s="1436"/>
      <c r="Z1426" s="1436"/>
      <c r="AA1426" s="1436"/>
      <c r="AB1426" s="1436"/>
      <c r="AC1426" s="1436"/>
      <c r="AD1426" s="1436"/>
      <c r="AE1426" s="1436"/>
      <c r="AF1426" s="1436"/>
    </row>
    <row r="1427" spans="1:32">
      <c r="A1427" s="1436"/>
      <c r="B1427" s="1436"/>
      <c r="C1427" s="1436"/>
      <c r="D1427" s="1436"/>
      <c r="E1427" s="1436"/>
      <c r="F1427" s="1436"/>
      <c r="G1427" s="1436"/>
      <c r="H1427" s="1436"/>
      <c r="I1427" s="1436"/>
      <c r="J1427" s="1436"/>
      <c r="K1427" s="1436"/>
      <c r="L1427" s="1436"/>
      <c r="M1427" s="1436"/>
      <c r="N1427" s="1436"/>
      <c r="O1427" s="1436"/>
      <c r="P1427" s="1436"/>
      <c r="Q1427" s="1436"/>
      <c r="R1427" s="1436"/>
      <c r="S1427" s="1436"/>
      <c r="T1427" s="1436"/>
      <c r="U1427" s="1436"/>
      <c r="V1427" s="1436"/>
      <c r="W1427" s="1436"/>
      <c r="X1427" s="1436"/>
      <c r="Y1427" s="1436"/>
      <c r="Z1427" s="1436"/>
      <c r="AA1427" s="1436"/>
      <c r="AB1427" s="1436"/>
      <c r="AC1427" s="1436"/>
      <c r="AD1427" s="1436"/>
      <c r="AE1427" s="1436"/>
      <c r="AF1427" s="1436"/>
    </row>
    <row r="1428" spans="1:32">
      <c r="A1428" s="1436"/>
      <c r="B1428" s="1436"/>
      <c r="C1428" s="1436"/>
      <c r="D1428" s="1436"/>
      <c r="E1428" s="1436"/>
      <c r="F1428" s="1436"/>
      <c r="G1428" s="1436"/>
      <c r="H1428" s="1436"/>
      <c r="I1428" s="1436"/>
      <c r="J1428" s="1436"/>
      <c r="K1428" s="1436"/>
      <c r="L1428" s="1436"/>
      <c r="M1428" s="1436"/>
      <c r="N1428" s="1436"/>
      <c r="O1428" s="1436"/>
      <c r="P1428" s="1436"/>
      <c r="Q1428" s="1436"/>
      <c r="R1428" s="1436"/>
      <c r="S1428" s="1436"/>
      <c r="T1428" s="1436"/>
      <c r="U1428" s="1436"/>
      <c r="V1428" s="1436"/>
      <c r="W1428" s="1436"/>
      <c r="X1428" s="1436"/>
      <c r="Y1428" s="1436"/>
      <c r="Z1428" s="1436"/>
      <c r="AA1428" s="1436"/>
      <c r="AB1428" s="1436"/>
      <c r="AC1428" s="1436"/>
      <c r="AD1428" s="1436"/>
      <c r="AE1428" s="1436"/>
      <c r="AF1428" s="1436"/>
    </row>
    <row r="1429" spans="1:32">
      <c r="A1429" s="1436"/>
      <c r="B1429" s="1436"/>
      <c r="C1429" s="1436"/>
      <c r="D1429" s="1436"/>
      <c r="E1429" s="1436"/>
      <c r="F1429" s="1436"/>
      <c r="G1429" s="1436"/>
      <c r="H1429" s="1436"/>
      <c r="I1429" s="1436"/>
      <c r="J1429" s="1436"/>
      <c r="K1429" s="1436"/>
      <c r="L1429" s="1436"/>
      <c r="M1429" s="1436"/>
      <c r="N1429" s="1436"/>
      <c r="O1429" s="1436"/>
      <c r="P1429" s="1436"/>
      <c r="Q1429" s="1436"/>
      <c r="R1429" s="1436"/>
      <c r="S1429" s="1436"/>
      <c r="T1429" s="1436"/>
      <c r="U1429" s="1436"/>
      <c r="V1429" s="1436"/>
      <c r="W1429" s="1436"/>
      <c r="X1429" s="1436"/>
      <c r="Y1429" s="1436"/>
      <c r="Z1429" s="1436"/>
      <c r="AA1429" s="1436"/>
      <c r="AB1429" s="1436"/>
      <c r="AC1429" s="1436"/>
      <c r="AD1429" s="1436"/>
      <c r="AE1429" s="1436"/>
      <c r="AF1429" s="1436"/>
    </row>
    <row r="1430" spans="1:32">
      <c r="A1430" s="1436"/>
      <c r="B1430" s="1436"/>
      <c r="C1430" s="1436"/>
      <c r="D1430" s="1436"/>
      <c r="E1430" s="1436"/>
      <c r="F1430" s="1436"/>
      <c r="G1430" s="1436"/>
      <c r="H1430" s="1436"/>
      <c r="I1430" s="1436"/>
      <c r="J1430" s="1436"/>
      <c r="K1430" s="1436"/>
      <c r="L1430" s="1436"/>
      <c r="M1430" s="1436"/>
      <c r="N1430" s="1436"/>
      <c r="O1430" s="1436"/>
      <c r="P1430" s="1436"/>
      <c r="Q1430" s="1436"/>
      <c r="R1430" s="1436"/>
      <c r="S1430" s="1436"/>
      <c r="T1430" s="1436"/>
      <c r="U1430" s="1436"/>
      <c r="V1430" s="1436"/>
      <c r="W1430" s="1436"/>
      <c r="X1430" s="1436"/>
      <c r="Y1430" s="1436"/>
      <c r="Z1430" s="1436"/>
      <c r="AA1430" s="1436"/>
      <c r="AB1430" s="1436"/>
      <c r="AC1430" s="1436"/>
      <c r="AD1430" s="1436"/>
      <c r="AE1430" s="1436"/>
      <c r="AF1430" s="1436"/>
    </row>
    <row r="1431" spans="1:32">
      <c r="A1431" s="1436"/>
      <c r="B1431" s="1436"/>
      <c r="C1431" s="1436"/>
      <c r="D1431" s="1436"/>
      <c r="E1431" s="1436"/>
      <c r="F1431" s="1436"/>
      <c r="G1431" s="1436"/>
      <c r="H1431" s="1436"/>
      <c r="I1431" s="1436"/>
      <c r="J1431" s="1436"/>
      <c r="K1431" s="1436"/>
      <c r="L1431" s="1436"/>
      <c r="M1431" s="1436"/>
      <c r="N1431" s="1436"/>
      <c r="O1431" s="1436"/>
      <c r="P1431" s="1436"/>
      <c r="Q1431" s="1436"/>
      <c r="R1431" s="1436"/>
      <c r="S1431" s="1436"/>
      <c r="T1431" s="1436"/>
      <c r="U1431" s="1436"/>
      <c r="V1431" s="1436"/>
      <c r="W1431" s="1436"/>
      <c r="X1431" s="1436"/>
      <c r="Y1431" s="1436"/>
      <c r="Z1431" s="1436"/>
      <c r="AA1431" s="1436"/>
      <c r="AB1431" s="1436"/>
      <c r="AC1431" s="1436"/>
      <c r="AD1431" s="1436"/>
      <c r="AE1431" s="1436"/>
      <c r="AF1431" s="1436"/>
    </row>
    <row r="1432" spans="1:32">
      <c r="A1432" s="1436"/>
      <c r="B1432" s="1436"/>
      <c r="C1432" s="1436"/>
      <c r="D1432" s="1436"/>
      <c r="E1432" s="1436"/>
      <c r="F1432" s="1436"/>
      <c r="G1432" s="1436"/>
      <c r="H1432" s="1436"/>
      <c r="I1432" s="1436"/>
      <c r="J1432" s="1436"/>
      <c r="K1432" s="1436"/>
      <c r="L1432" s="1436"/>
      <c r="M1432" s="1436"/>
      <c r="N1432" s="1436"/>
      <c r="O1432" s="1436"/>
      <c r="P1432" s="1436"/>
      <c r="Q1432" s="1436"/>
      <c r="R1432" s="1436"/>
      <c r="S1432" s="1436"/>
      <c r="T1432" s="1436"/>
      <c r="U1432" s="1436"/>
      <c r="V1432" s="1436"/>
      <c r="W1432" s="1436"/>
      <c r="X1432" s="1436"/>
      <c r="Y1432" s="1436"/>
      <c r="Z1432" s="1436"/>
      <c r="AA1432" s="1436"/>
      <c r="AB1432" s="1436"/>
      <c r="AC1432" s="1436"/>
      <c r="AD1432" s="1436"/>
      <c r="AE1432" s="1436"/>
      <c r="AF1432" s="1436"/>
    </row>
    <row r="1433" spans="1:32">
      <c r="A1433" s="1436"/>
      <c r="B1433" s="1436"/>
      <c r="C1433" s="1436"/>
      <c r="D1433" s="1436"/>
      <c r="E1433" s="1436"/>
      <c r="F1433" s="1436"/>
      <c r="G1433" s="1436"/>
      <c r="H1433" s="1436"/>
      <c r="I1433" s="1436"/>
      <c r="J1433" s="1436"/>
      <c r="K1433" s="1436"/>
      <c r="L1433" s="1436"/>
      <c r="M1433" s="1436"/>
      <c r="N1433" s="1436"/>
      <c r="O1433" s="1436"/>
      <c r="P1433" s="1436"/>
      <c r="Q1433" s="1436"/>
      <c r="R1433" s="1436"/>
      <c r="S1433" s="1436"/>
      <c r="T1433" s="1436"/>
      <c r="U1433" s="1436"/>
      <c r="V1433" s="1436"/>
      <c r="W1433" s="1436"/>
      <c r="X1433" s="1436"/>
      <c r="Y1433" s="1436"/>
      <c r="Z1433" s="1436"/>
      <c r="AA1433" s="1436"/>
      <c r="AB1433" s="1436"/>
      <c r="AC1433" s="1436"/>
      <c r="AD1433" s="1436"/>
      <c r="AE1433" s="1436"/>
      <c r="AF1433" s="1436"/>
    </row>
    <row r="1434" spans="1:32">
      <c r="A1434" s="1436"/>
      <c r="B1434" s="1436"/>
      <c r="C1434" s="1436"/>
      <c r="D1434" s="1436"/>
      <c r="E1434" s="1436"/>
      <c r="F1434" s="1436"/>
      <c r="G1434" s="1436"/>
      <c r="H1434" s="1436"/>
      <c r="I1434" s="1436"/>
      <c r="J1434" s="1436"/>
      <c r="K1434" s="1436"/>
      <c r="L1434" s="1436"/>
      <c r="M1434" s="1436"/>
      <c r="N1434" s="1436"/>
      <c r="O1434" s="1436"/>
      <c r="P1434" s="1436"/>
      <c r="Q1434" s="1436"/>
      <c r="R1434" s="1436"/>
      <c r="S1434" s="1436"/>
      <c r="T1434" s="1436"/>
      <c r="U1434" s="1436"/>
      <c r="V1434" s="1436"/>
      <c r="W1434" s="1436"/>
      <c r="X1434" s="1436"/>
      <c r="Y1434" s="1436"/>
      <c r="Z1434" s="1436"/>
      <c r="AA1434" s="1436"/>
      <c r="AB1434" s="1436"/>
      <c r="AC1434" s="1436"/>
      <c r="AD1434" s="1436"/>
      <c r="AE1434" s="1436"/>
      <c r="AF1434" s="1436"/>
    </row>
    <row r="1435" spans="1:32">
      <c r="A1435" s="1436"/>
      <c r="B1435" s="1436"/>
      <c r="C1435" s="1436"/>
      <c r="D1435" s="1436"/>
      <c r="E1435" s="1436"/>
      <c r="F1435" s="1436"/>
      <c r="G1435" s="1436"/>
      <c r="H1435" s="1436"/>
      <c r="I1435" s="1436"/>
      <c r="J1435" s="1436"/>
      <c r="K1435" s="1436"/>
      <c r="L1435" s="1436"/>
      <c r="M1435" s="1436"/>
      <c r="N1435" s="1436"/>
      <c r="O1435" s="1436"/>
      <c r="P1435" s="1436"/>
      <c r="Q1435" s="1436"/>
      <c r="R1435" s="1436"/>
      <c r="S1435" s="1436"/>
      <c r="T1435" s="1436"/>
      <c r="U1435" s="1436"/>
      <c r="V1435" s="1436"/>
      <c r="W1435" s="1436"/>
      <c r="X1435" s="1436"/>
      <c r="Y1435" s="1436"/>
      <c r="Z1435" s="1436"/>
      <c r="AA1435" s="1436"/>
      <c r="AB1435" s="1436"/>
      <c r="AC1435" s="1436"/>
      <c r="AD1435" s="1436"/>
      <c r="AE1435" s="1436"/>
      <c r="AF1435" s="1436"/>
    </row>
    <row r="1436" spans="1:32">
      <c r="A1436" s="1436"/>
      <c r="B1436" s="1436"/>
      <c r="C1436" s="1436"/>
      <c r="D1436" s="1436"/>
      <c r="E1436" s="1436"/>
      <c r="F1436" s="1436"/>
      <c r="G1436" s="1436"/>
      <c r="H1436" s="1436"/>
      <c r="I1436" s="1436"/>
      <c r="J1436" s="1436"/>
      <c r="K1436" s="1436"/>
      <c r="L1436" s="1436"/>
      <c r="M1436" s="1436"/>
      <c r="N1436" s="1436"/>
      <c r="O1436" s="1436"/>
      <c r="P1436" s="1436"/>
      <c r="Q1436" s="1436"/>
      <c r="R1436" s="1436"/>
      <c r="S1436" s="1436"/>
      <c r="T1436" s="1436"/>
      <c r="U1436" s="1436"/>
      <c r="V1436" s="1436"/>
      <c r="W1436" s="1436"/>
      <c r="X1436" s="1436"/>
      <c r="Y1436" s="1436"/>
      <c r="Z1436" s="1436"/>
      <c r="AA1436" s="1436"/>
      <c r="AB1436" s="1436"/>
      <c r="AC1436" s="1436"/>
      <c r="AD1436" s="1436"/>
      <c r="AE1436" s="1436"/>
      <c r="AF1436" s="1436"/>
    </row>
    <row r="1437" spans="1:32">
      <c r="A1437" s="1436"/>
      <c r="B1437" s="1436"/>
      <c r="C1437" s="1436"/>
      <c r="D1437" s="1436"/>
      <c r="E1437" s="1436"/>
      <c r="F1437" s="1436"/>
      <c r="G1437" s="1436"/>
      <c r="H1437" s="1436"/>
      <c r="I1437" s="1436"/>
      <c r="J1437" s="1436"/>
      <c r="K1437" s="1436"/>
      <c r="L1437" s="1436"/>
      <c r="M1437" s="1436"/>
      <c r="N1437" s="1436"/>
      <c r="O1437" s="1436"/>
      <c r="P1437" s="1436"/>
      <c r="Q1437" s="1436"/>
      <c r="R1437" s="1436"/>
      <c r="S1437" s="1436"/>
      <c r="T1437" s="1436"/>
      <c r="U1437" s="1436"/>
      <c r="V1437" s="1436"/>
      <c r="W1437" s="1436"/>
      <c r="X1437" s="1436"/>
      <c r="Y1437" s="1436"/>
      <c r="Z1437" s="1436"/>
      <c r="AA1437" s="1436"/>
      <c r="AB1437" s="1436"/>
      <c r="AC1437" s="1436"/>
      <c r="AD1437" s="1436"/>
      <c r="AE1437" s="1436"/>
      <c r="AF1437" s="1436"/>
    </row>
    <row r="1438" spans="1:32">
      <c r="A1438" s="1436"/>
      <c r="B1438" s="1436"/>
      <c r="C1438" s="1436"/>
      <c r="D1438" s="1436"/>
      <c r="E1438" s="1436"/>
      <c r="F1438" s="1436"/>
      <c r="G1438" s="1436"/>
      <c r="H1438" s="1436"/>
      <c r="I1438" s="1436"/>
      <c r="J1438" s="1436"/>
      <c r="K1438" s="1436"/>
      <c r="L1438" s="1436"/>
      <c r="M1438" s="1436"/>
      <c r="N1438" s="1436"/>
      <c r="O1438" s="1436"/>
      <c r="P1438" s="1436"/>
      <c r="Q1438" s="1436"/>
      <c r="R1438" s="1436"/>
      <c r="S1438" s="1436"/>
      <c r="T1438" s="1436"/>
      <c r="U1438" s="1436"/>
      <c r="V1438" s="1436"/>
      <c r="W1438" s="1436"/>
      <c r="X1438" s="1436"/>
      <c r="Y1438" s="1436"/>
      <c r="Z1438" s="1436"/>
      <c r="AA1438" s="1436"/>
      <c r="AB1438" s="1436"/>
      <c r="AC1438" s="1436"/>
      <c r="AD1438" s="1436"/>
      <c r="AE1438" s="1436"/>
      <c r="AF1438" s="1436"/>
    </row>
    <row r="1439" spans="1:32">
      <c r="A1439" s="1436"/>
      <c r="B1439" s="1436"/>
      <c r="C1439" s="1436"/>
      <c r="D1439" s="1436"/>
      <c r="E1439" s="1436"/>
      <c r="F1439" s="1436"/>
      <c r="G1439" s="1436"/>
      <c r="H1439" s="1436"/>
      <c r="I1439" s="1436"/>
      <c r="J1439" s="1436"/>
      <c r="K1439" s="1436"/>
      <c r="L1439" s="1436"/>
      <c r="M1439" s="1436"/>
      <c r="N1439" s="1436"/>
      <c r="O1439" s="1436"/>
      <c r="P1439" s="1436"/>
      <c r="Q1439" s="1436"/>
      <c r="R1439" s="1436"/>
      <c r="S1439" s="1436"/>
      <c r="T1439" s="1436"/>
      <c r="U1439" s="1436"/>
      <c r="V1439" s="1436"/>
      <c r="W1439" s="1436"/>
      <c r="X1439" s="1436"/>
      <c r="Y1439" s="1436"/>
      <c r="Z1439" s="1436"/>
      <c r="AA1439" s="1436"/>
      <c r="AB1439" s="1436"/>
      <c r="AC1439" s="1436"/>
      <c r="AD1439" s="1436"/>
      <c r="AE1439" s="1436"/>
      <c r="AF1439" s="1436"/>
    </row>
    <row r="1440" spans="1:32">
      <c r="A1440" s="1436"/>
      <c r="B1440" s="1436"/>
      <c r="C1440" s="1436"/>
      <c r="D1440" s="1436"/>
      <c r="E1440" s="1436"/>
      <c r="F1440" s="1436"/>
      <c r="G1440" s="1436"/>
      <c r="H1440" s="1436"/>
      <c r="I1440" s="1436"/>
      <c r="J1440" s="1436"/>
      <c r="K1440" s="1436"/>
      <c r="L1440" s="1436"/>
      <c r="M1440" s="1436"/>
      <c r="N1440" s="1436"/>
      <c r="O1440" s="1436"/>
      <c r="P1440" s="1436"/>
      <c r="Q1440" s="1436"/>
      <c r="R1440" s="1436"/>
      <c r="S1440" s="1436"/>
      <c r="T1440" s="1436"/>
      <c r="U1440" s="1436"/>
      <c r="V1440" s="1436"/>
      <c r="W1440" s="1436"/>
      <c r="X1440" s="1436"/>
      <c r="Y1440" s="1436"/>
      <c r="Z1440" s="1436"/>
      <c r="AA1440" s="1436"/>
      <c r="AB1440" s="1436"/>
      <c r="AC1440" s="1436"/>
      <c r="AD1440" s="1436"/>
      <c r="AE1440" s="1436"/>
      <c r="AF1440" s="1436"/>
    </row>
    <row r="1441" spans="1:32">
      <c r="A1441" s="1436"/>
      <c r="B1441" s="1436"/>
      <c r="C1441" s="1436"/>
      <c r="D1441" s="1436"/>
      <c r="E1441" s="1436"/>
      <c r="F1441" s="1436"/>
      <c r="G1441" s="1436"/>
      <c r="H1441" s="1436"/>
      <c r="I1441" s="1436"/>
      <c r="J1441" s="1436"/>
      <c r="K1441" s="1436"/>
      <c r="L1441" s="1436"/>
      <c r="M1441" s="1436"/>
      <c r="N1441" s="1436"/>
      <c r="O1441" s="1436"/>
      <c r="P1441" s="1436"/>
      <c r="Q1441" s="1436"/>
      <c r="R1441" s="1436"/>
      <c r="S1441" s="1436"/>
      <c r="T1441" s="1436"/>
      <c r="U1441" s="1436"/>
      <c r="V1441" s="1436"/>
      <c r="W1441" s="1436"/>
      <c r="X1441" s="1436"/>
      <c r="Y1441" s="1436"/>
      <c r="Z1441" s="1436"/>
      <c r="AA1441" s="1436"/>
      <c r="AB1441" s="1436"/>
      <c r="AC1441" s="1436"/>
      <c r="AD1441" s="1436"/>
      <c r="AE1441" s="1436"/>
      <c r="AF1441" s="1436"/>
    </row>
    <row r="1442" spans="1:32">
      <c r="A1442" s="1436"/>
      <c r="B1442" s="1436"/>
      <c r="C1442" s="1436"/>
      <c r="D1442" s="1436"/>
      <c r="E1442" s="1436"/>
      <c r="F1442" s="1436"/>
      <c r="G1442" s="1436"/>
      <c r="H1442" s="1436"/>
      <c r="I1442" s="1436"/>
      <c r="J1442" s="1436"/>
      <c r="K1442" s="1436"/>
      <c r="L1442" s="1436"/>
      <c r="M1442" s="1436"/>
      <c r="N1442" s="1436"/>
      <c r="O1442" s="1436"/>
      <c r="P1442" s="1436"/>
      <c r="Q1442" s="1436"/>
      <c r="R1442" s="1436"/>
      <c r="S1442" s="1436"/>
      <c r="T1442" s="1436"/>
      <c r="U1442" s="1436"/>
      <c r="V1442" s="1436"/>
      <c r="W1442" s="1436"/>
      <c r="X1442" s="1436"/>
      <c r="Y1442" s="1436"/>
      <c r="Z1442" s="1436"/>
      <c r="AA1442" s="1436"/>
      <c r="AB1442" s="1436"/>
      <c r="AC1442" s="1436"/>
      <c r="AD1442" s="1436"/>
      <c r="AE1442" s="1436"/>
      <c r="AF1442" s="1436"/>
    </row>
    <row r="1443" spans="1:32">
      <c r="A1443" s="1436"/>
      <c r="B1443" s="1436"/>
      <c r="C1443" s="1436"/>
      <c r="D1443" s="1436"/>
      <c r="E1443" s="1436"/>
      <c r="F1443" s="1436"/>
      <c r="G1443" s="1436"/>
      <c r="H1443" s="1436"/>
      <c r="I1443" s="1436"/>
      <c r="J1443" s="1436"/>
      <c r="K1443" s="1436"/>
      <c r="L1443" s="1436"/>
      <c r="M1443" s="1436"/>
      <c r="N1443" s="1436"/>
      <c r="O1443" s="1436"/>
      <c r="P1443" s="1436"/>
      <c r="Q1443" s="1436"/>
      <c r="R1443" s="1436"/>
      <c r="S1443" s="1436"/>
      <c r="T1443" s="1436"/>
      <c r="U1443" s="1436"/>
      <c r="V1443" s="1436"/>
      <c r="W1443" s="1436"/>
      <c r="X1443" s="1436"/>
      <c r="Y1443" s="1436"/>
      <c r="Z1443" s="1436"/>
      <c r="AA1443" s="1436"/>
      <c r="AB1443" s="1436"/>
      <c r="AC1443" s="1436"/>
      <c r="AD1443" s="1436"/>
      <c r="AE1443" s="1436"/>
      <c r="AF1443" s="1436"/>
    </row>
    <row r="1444" spans="1:32">
      <c r="A1444" s="1436"/>
      <c r="B1444" s="1436"/>
      <c r="C1444" s="1436"/>
      <c r="D1444" s="1436"/>
      <c r="E1444" s="1436"/>
      <c r="F1444" s="1436"/>
      <c r="G1444" s="1436"/>
      <c r="H1444" s="1436"/>
      <c r="I1444" s="1436"/>
      <c r="J1444" s="1436"/>
      <c r="K1444" s="1436"/>
      <c r="L1444" s="1436"/>
      <c r="M1444" s="1436"/>
      <c r="N1444" s="1436"/>
      <c r="O1444" s="1436"/>
      <c r="P1444" s="1436"/>
      <c r="Q1444" s="1436"/>
      <c r="R1444" s="1436"/>
      <c r="S1444" s="1436"/>
      <c r="T1444" s="1436"/>
      <c r="U1444" s="1436"/>
      <c r="V1444" s="1436"/>
      <c r="W1444" s="1436"/>
      <c r="X1444" s="1436"/>
      <c r="Y1444" s="1436"/>
      <c r="Z1444" s="1436"/>
      <c r="AA1444" s="1436"/>
      <c r="AB1444" s="1436"/>
      <c r="AC1444" s="1436"/>
      <c r="AD1444" s="1436"/>
      <c r="AE1444" s="1436"/>
      <c r="AF1444" s="1436"/>
    </row>
    <row r="1445" spans="1:32">
      <c r="A1445" s="1436"/>
      <c r="B1445" s="1436"/>
      <c r="C1445" s="1436"/>
      <c r="D1445" s="1436"/>
      <c r="E1445" s="1436"/>
      <c r="F1445" s="1436"/>
      <c r="G1445" s="1436"/>
      <c r="H1445" s="1436"/>
      <c r="I1445" s="1436"/>
      <c r="J1445" s="1436"/>
      <c r="K1445" s="1436"/>
      <c r="L1445" s="1436"/>
      <c r="M1445" s="1436"/>
      <c r="N1445" s="1436"/>
      <c r="O1445" s="1436"/>
      <c r="P1445" s="1436"/>
      <c r="Q1445" s="1436"/>
      <c r="R1445" s="1436"/>
      <c r="S1445" s="1436"/>
      <c r="T1445" s="1436"/>
      <c r="U1445" s="1436"/>
      <c r="V1445" s="1436"/>
      <c r="W1445" s="1436"/>
      <c r="X1445" s="1436"/>
      <c r="Y1445" s="1436"/>
      <c r="Z1445" s="1436"/>
      <c r="AA1445" s="1436"/>
      <c r="AB1445" s="1436"/>
      <c r="AC1445" s="1436"/>
      <c r="AD1445" s="1436"/>
      <c r="AE1445" s="1436"/>
      <c r="AF1445" s="1436"/>
    </row>
    <row r="1446" spans="1:32">
      <c r="A1446" s="1436"/>
      <c r="B1446" s="1436"/>
      <c r="C1446" s="1436"/>
      <c r="D1446" s="1436"/>
      <c r="E1446" s="1436"/>
      <c r="F1446" s="1436"/>
      <c r="G1446" s="1436"/>
      <c r="H1446" s="1436"/>
      <c r="I1446" s="1436"/>
      <c r="J1446" s="1436"/>
      <c r="K1446" s="1436"/>
      <c r="L1446" s="1436"/>
      <c r="M1446" s="1436"/>
      <c r="N1446" s="1436"/>
      <c r="O1446" s="1436"/>
      <c r="P1446" s="1436"/>
      <c r="Q1446" s="1436"/>
      <c r="R1446" s="1436"/>
      <c r="S1446" s="1436"/>
      <c r="T1446" s="1436"/>
      <c r="U1446" s="1436"/>
      <c r="V1446" s="1436"/>
      <c r="W1446" s="1436"/>
      <c r="X1446" s="1436"/>
      <c r="Y1446" s="1436"/>
      <c r="Z1446" s="1436"/>
      <c r="AA1446" s="1436"/>
      <c r="AB1446" s="1436"/>
      <c r="AC1446" s="1436"/>
      <c r="AD1446" s="1436"/>
      <c r="AE1446" s="1436"/>
      <c r="AF1446" s="1436"/>
    </row>
    <row r="1447" spans="1:32">
      <c r="A1447" s="1436"/>
      <c r="B1447" s="1436"/>
      <c r="C1447" s="1436"/>
      <c r="D1447" s="1436"/>
      <c r="E1447" s="1436"/>
      <c r="F1447" s="1436"/>
      <c r="G1447" s="1436"/>
      <c r="H1447" s="1436"/>
      <c r="I1447" s="1436"/>
      <c r="J1447" s="1436"/>
      <c r="K1447" s="1436"/>
      <c r="L1447" s="1436"/>
      <c r="M1447" s="1436"/>
      <c r="N1447" s="1436"/>
      <c r="O1447" s="1436"/>
      <c r="P1447" s="1436"/>
      <c r="Q1447" s="1436"/>
      <c r="R1447" s="1436"/>
      <c r="S1447" s="1436"/>
      <c r="T1447" s="1436"/>
      <c r="U1447" s="1436"/>
      <c r="V1447" s="1436"/>
      <c r="W1447" s="1436"/>
      <c r="X1447" s="1436"/>
      <c r="Y1447" s="1436"/>
      <c r="Z1447" s="1436"/>
      <c r="AA1447" s="1436"/>
      <c r="AB1447" s="1436"/>
      <c r="AC1447" s="1436"/>
      <c r="AD1447" s="1436"/>
      <c r="AE1447" s="1436"/>
      <c r="AF1447" s="1436"/>
    </row>
    <row r="1448" spans="1:32">
      <c r="A1448" s="1436"/>
      <c r="B1448" s="1436"/>
      <c r="C1448" s="1436"/>
      <c r="D1448" s="1436"/>
      <c r="E1448" s="1436"/>
      <c r="F1448" s="1436"/>
      <c r="G1448" s="1436"/>
      <c r="H1448" s="1436"/>
      <c r="I1448" s="1436"/>
      <c r="J1448" s="1436"/>
      <c r="K1448" s="1436"/>
      <c r="L1448" s="1436"/>
      <c r="M1448" s="1436"/>
      <c r="N1448" s="1436"/>
      <c r="O1448" s="1436"/>
      <c r="P1448" s="1436"/>
      <c r="Q1448" s="1436"/>
      <c r="R1448" s="1436"/>
      <c r="S1448" s="1436"/>
      <c r="T1448" s="1436"/>
      <c r="U1448" s="1436"/>
      <c r="V1448" s="1436"/>
      <c r="W1448" s="1436"/>
      <c r="X1448" s="1436"/>
      <c r="Y1448" s="1436"/>
      <c r="Z1448" s="1436"/>
      <c r="AA1448" s="1436"/>
      <c r="AB1448" s="1436"/>
      <c r="AC1448" s="1436"/>
      <c r="AD1448" s="1436"/>
      <c r="AE1448" s="1436"/>
      <c r="AF1448" s="1436"/>
    </row>
    <row r="1449" spans="1:32">
      <c r="A1449" s="1436"/>
      <c r="B1449" s="1436"/>
      <c r="C1449" s="1436"/>
      <c r="D1449" s="1436"/>
      <c r="E1449" s="1436"/>
      <c r="F1449" s="1436"/>
      <c r="G1449" s="1436"/>
      <c r="H1449" s="1436"/>
      <c r="I1449" s="1436"/>
      <c r="J1449" s="1436"/>
      <c r="K1449" s="1436"/>
      <c r="L1449" s="1436"/>
      <c r="M1449" s="1436"/>
      <c r="N1449" s="1436"/>
      <c r="O1449" s="1436"/>
      <c r="P1449" s="1436"/>
      <c r="Q1449" s="1436"/>
      <c r="R1449" s="1436"/>
      <c r="S1449" s="1436"/>
      <c r="T1449" s="1436"/>
      <c r="U1449" s="1436"/>
      <c r="V1449" s="1436"/>
      <c r="W1449" s="1436"/>
      <c r="X1449" s="1436"/>
      <c r="Y1449" s="1436"/>
      <c r="Z1449" s="1436"/>
      <c r="AA1449" s="1436"/>
      <c r="AB1449" s="1436"/>
      <c r="AC1449" s="1436"/>
      <c r="AD1449" s="1436"/>
      <c r="AE1449" s="1436"/>
      <c r="AF1449" s="1436"/>
    </row>
    <row r="1450" spans="1:32">
      <c r="A1450" s="1436"/>
      <c r="B1450" s="1436"/>
      <c r="C1450" s="1436"/>
      <c r="D1450" s="1436"/>
      <c r="E1450" s="1436"/>
      <c r="F1450" s="1436"/>
      <c r="G1450" s="1436"/>
      <c r="H1450" s="1436"/>
      <c r="I1450" s="1436"/>
      <c r="J1450" s="1436"/>
      <c r="K1450" s="1436"/>
      <c r="L1450" s="1436"/>
      <c r="M1450" s="1436"/>
      <c r="N1450" s="1436"/>
      <c r="O1450" s="1436"/>
      <c r="P1450" s="1436"/>
      <c r="Q1450" s="1436"/>
      <c r="R1450" s="1436"/>
      <c r="S1450" s="1436"/>
      <c r="T1450" s="1436"/>
      <c r="U1450" s="1436"/>
      <c r="V1450" s="1436"/>
      <c r="W1450" s="1436"/>
      <c r="X1450" s="1436"/>
      <c r="Y1450" s="1436"/>
      <c r="Z1450" s="1436"/>
      <c r="AA1450" s="1436"/>
      <c r="AB1450" s="1436"/>
      <c r="AC1450" s="1436"/>
      <c r="AD1450" s="1436"/>
      <c r="AE1450" s="1436"/>
      <c r="AF1450" s="1436"/>
    </row>
    <row r="1451" spans="1:32">
      <c r="A1451" s="1436"/>
      <c r="B1451" s="1436"/>
      <c r="C1451" s="1436"/>
      <c r="D1451" s="1436"/>
      <c r="E1451" s="1436"/>
      <c r="F1451" s="1436"/>
      <c r="G1451" s="1436"/>
      <c r="H1451" s="1436"/>
      <c r="I1451" s="1436"/>
      <c r="J1451" s="1436"/>
      <c r="K1451" s="1436"/>
      <c r="L1451" s="1436"/>
      <c r="M1451" s="1436"/>
      <c r="N1451" s="1436"/>
      <c r="O1451" s="1436"/>
      <c r="P1451" s="1436"/>
      <c r="Q1451" s="1436"/>
      <c r="R1451" s="1436"/>
      <c r="S1451" s="1436"/>
      <c r="T1451" s="1436"/>
      <c r="U1451" s="1436"/>
      <c r="V1451" s="1436"/>
      <c r="W1451" s="1436"/>
      <c r="X1451" s="1436"/>
      <c r="Y1451" s="1436"/>
      <c r="Z1451" s="1436"/>
      <c r="AA1451" s="1436"/>
      <c r="AB1451" s="1436"/>
      <c r="AC1451" s="1436"/>
      <c r="AD1451" s="1436"/>
      <c r="AE1451" s="1436"/>
      <c r="AF1451" s="1436"/>
    </row>
    <row r="1452" spans="1:32">
      <c r="A1452" s="1436"/>
      <c r="B1452" s="1436"/>
      <c r="C1452" s="1436"/>
      <c r="D1452" s="1436"/>
      <c r="E1452" s="1436"/>
      <c r="F1452" s="1436"/>
      <c r="G1452" s="1436"/>
      <c r="H1452" s="1436"/>
      <c r="I1452" s="1436"/>
      <c r="J1452" s="1436"/>
      <c r="K1452" s="1436"/>
      <c r="L1452" s="1436"/>
      <c r="M1452" s="1436"/>
      <c r="N1452" s="1436"/>
      <c r="O1452" s="1436"/>
      <c r="P1452" s="1436"/>
      <c r="Q1452" s="1436"/>
      <c r="R1452" s="1436"/>
      <c r="S1452" s="1436"/>
      <c r="T1452" s="1436"/>
      <c r="U1452" s="1436"/>
      <c r="V1452" s="1436"/>
      <c r="W1452" s="1436"/>
      <c r="X1452" s="1436"/>
      <c r="Y1452" s="1436"/>
      <c r="Z1452" s="1436"/>
      <c r="AA1452" s="1436"/>
      <c r="AB1452" s="1436"/>
      <c r="AC1452" s="1436"/>
      <c r="AD1452" s="1436"/>
      <c r="AE1452" s="1436"/>
      <c r="AF1452" s="1436"/>
    </row>
    <row r="1453" spans="1:32">
      <c r="A1453" s="1436"/>
      <c r="B1453" s="1436"/>
      <c r="C1453" s="1436"/>
      <c r="D1453" s="1436"/>
      <c r="E1453" s="1436"/>
      <c r="F1453" s="1436"/>
      <c r="G1453" s="1436"/>
      <c r="H1453" s="1436"/>
      <c r="I1453" s="1436"/>
      <c r="J1453" s="1436"/>
      <c r="K1453" s="1436"/>
      <c r="L1453" s="1436"/>
      <c r="M1453" s="1436"/>
      <c r="N1453" s="1436"/>
      <c r="O1453" s="1436"/>
      <c r="P1453" s="1436"/>
      <c r="Q1453" s="1436"/>
      <c r="R1453" s="1436"/>
      <c r="S1453" s="1436"/>
      <c r="T1453" s="1436"/>
      <c r="U1453" s="1436"/>
      <c r="V1453" s="1436"/>
      <c r="W1453" s="1436"/>
      <c r="X1453" s="1436"/>
      <c r="Y1453" s="1436"/>
      <c r="Z1453" s="1436"/>
      <c r="AA1453" s="1436"/>
      <c r="AB1453" s="1436"/>
      <c r="AC1453" s="1436"/>
      <c r="AD1453" s="1436"/>
      <c r="AE1453" s="1436"/>
      <c r="AF1453" s="1436"/>
    </row>
    <row r="1454" spans="1:32">
      <c r="A1454" s="1436"/>
      <c r="B1454" s="1436"/>
      <c r="C1454" s="1436"/>
      <c r="D1454" s="1436"/>
      <c r="E1454" s="1436"/>
      <c r="F1454" s="1436"/>
      <c r="G1454" s="1436"/>
      <c r="H1454" s="1436"/>
      <c r="I1454" s="1436"/>
      <c r="J1454" s="1436"/>
      <c r="K1454" s="1436"/>
      <c r="L1454" s="1436"/>
      <c r="M1454" s="1436"/>
      <c r="N1454" s="1436"/>
      <c r="O1454" s="1436"/>
      <c r="P1454" s="1436"/>
      <c r="Q1454" s="1436"/>
      <c r="R1454" s="1436"/>
      <c r="S1454" s="1436"/>
      <c r="T1454" s="1436"/>
      <c r="U1454" s="1436"/>
      <c r="V1454" s="1436"/>
      <c r="W1454" s="1436"/>
      <c r="X1454" s="1436"/>
      <c r="Y1454" s="1436"/>
      <c r="Z1454" s="1436"/>
      <c r="AA1454" s="1436"/>
      <c r="AB1454" s="1436"/>
      <c r="AC1454" s="1436"/>
      <c r="AD1454" s="1436"/>
      <c r="AE1454" s="1436"/>
      <c r="AF1454" s="1436"/>
    </row>
    <row r="1455" spans="1:32">
      <c r="A1455" s="1436"/>
      <c r="B1455" s="1436"/>
      <c r="C1455" s="1436"/>
      <c r="D1455" s="1436"/>
      <c r="E1455" s="1436"/>
      <c r="F1455" s="1436"/>
      <c r="G1455" s="1436"/>
      <c r="H1455" s="1436"/>
      <c r="I1455" s="1436"/>
      <c r="J1455" s="1436"/>
      <c r="K1455" s="1436"/>
      <c r="L1455" s="1436"/>
      <c r="M1455" s="1436"/>
      <c r="N1455" s="1436"/>
      <c r="O1455" s="1436"/>
      <c r="P1455" s="1436"/>
      <c r="Q1455" s="1436"/>
      <c r="R1455" s="1436"/>
      <c r="S1455" s="1436"/>
      <c r="T1455" s="1436"/>
      <c r="U1455" s="1436"/>
      <c r="V1455" s="1436"/>
      <c r="W1455" s="1436"/>
      <c r="X1455" s="1436"/>
      <c r="Y1455" s="1436"/>
      <c r="Z1455" s="1436"/>
      <c r="AA1455" s="1436"/>
      <c r="AB1455" s="1436"/>
      <c r="AC1455" s="1436"/>
      <c r="AD1455" s="1436"/>
      <c r="AE1455" s="1436"/>
      <c r="AF1455" s="1436"/>
    </row>
    <row r="1456" spans="1:32">
      <c r="A1456" s="1436"/>
      <c r="B1456" s="1436"/>
      <c r="C1456" s="1436"/>
      <c r="D1456" s="1436"/>
      <c r="E1456" s="1436"/>
      <c r="F1456" s="1436"/>
      <c r="G1456" s="1436"/>
      <c r="H1456" s="1436"/>
      <c r="I1456" s="1436"/>
      <c r="J1456" s="1436"/>
      <c r="K1456" s="1436"/>
      <c r="L1456" s="1436"/>
      <c r="M1456" s="1436"/>
      <c r="N1456" s="1436"/>
      <c r="O1456" s="1436"/>
      <c r="P1456" s="1436"/>
      <c r="Q1456" s="1436"/>
      <c r="R1456" s="1436"/>
      <c r="S1456" s="1436"/>
      <c r="T1456" s="1436"/>
      <c r="U1456" s="1436"/>
      <c r="V1456" s="1436"/>
      <c r="W1456" s="1436"/>
      <c r="X1456" s="1436"/>
      <c r="Y1456" s="1436"/>
      <c r="Z1456" s="1436"/>
      <c r="AA1456" s="1436"/>
      <c r="AB1456" s="1436"/>
      <c r="AC1456" s="1436"/>
      <c r="AD1456" s="1436"/>
      <c r="AE1456" s="1436"/>
      <c r="AF1456" s="1436"/>
    </row>
    <row r="1457" spans="1:32">
      <c r="A1457" s="1436"/>
      <c r="B1457" s="1436"/>
      <c r="C1457" s="1436"/>
      <c r="D1457" s="1436"/>
      <c r="E1457" s="1436"/>
      <c r="F1457" s="1436"/>
      <c r="G1457" s="1436"/>
      <c r="H1457" s="1436"/>
      <c r="I1457" s="1436"/>
      <c r="J1457" s="1436"/>
      <c r="K1457" s="1436"/>
      <c r="L1457" s="1436"/>
      <c r="M1457" s="1436"/>
      <c r="N1457" s="1436"/>
      <c r="O1457" s="1436"/>
      <c r="P1457" s="1436"/>
      <c r="Q1457" s="1436"/>
      <c r="R1457" s="1436"/>
      <c r="S1457" s="1436"/>
      <c r="T1457" s="1436"/>
      <c r="U1457" s="1436"/>
      <c r="V1457" s="1436"/>
      <c r="W1457" s="1436"/>
      <c r="X1457" s="1436"/>
      <c r="Y1457" s="1436"/>
      <c r="Z1457" s="1436"/>
      <c r="AA1457" s="1436"/>
      <c r="AB1457" s="1436"/>
      <c r="AC1457" s="1436"/>
      <c r="AD1457" s="1436"/>
      <c r="AE1457" s="1436"/>
      <c r="AF1457" s="1436"/>
    </row>
    <row r="1458" spans="1:32">
      <c r="A1458" s="1436"/>
      <c r="B1458" s="1436"/>
      <c r="C1458" s="1436"/>
      <c r="D1458" s="1436"/>
      <c r="E1458" s="1436"/>
      <c r="F1458" s="1436"/>
      <c r="G1458" s="1436"/>
      <c r="H1458" s="1436"/>
      <c r="I1458" s="1436"/>
      <c r="J1458" s="1436"/>
      <c r="K1458" s="1436"/>
      <c r="L1458" s="1436"/>
      <c r="M1458" s="1436"/>
      <c r="N1458" s="1436"/>
      <c r="O1458" s="1436"/>
      <c r="P1458" s="1436"/>
      <c r="Q1458" s="1436"/>
      <c r="R1458" s="1436"/>
      <c r="S1458" s="1436"/>
      <c r="T1458" s="1436"/>
      <c r="U1458" s="1436"/>
      <c r="V1458" s="1436"/>
      <c r="W1458" s="1436"/>
      <c r="X1458" s="1436"/>
      <c r="Y1458" s="1436"/>
      <c r="Z1458" s="1436"/>
      <c r="AA1458" s="1436"/>
      <c r="AB1458" s="1436"/>
      <c r="AC1458" s="1436"/>
      <c r="AD1458" s="1436"/>
      <c r="AE1458" s="1436"/>
      <c r="AF1458" s="1436"/>
    </row>
    <row r="1459" spans="1:32">
      <c r="A1459" s="1436"/>
      <c r="B1459" s="1436"/>
      <c r="C1459" s="1436"/>
      <c r="D1459" s="1436"/>
      <c r="E1459" s="1436"/>
      <c r="F1459" s="1436"/>
      <c r="G1459" s="1436"/>
      <c r="H1459" s="1436"/>
      <c r="I1459" s="1436"/>
      <c r="J1459" s="1436"/>
      <c r="K1459" s="1436"/>
      <c r="L1459" s="1436"/>
      <c r="M1459" s="1436"/>
      <c r="N1459" s="1436"/>
      <c r="O1459" s="1436"/>
      <c r="P1459" s="1436"/>
      <c r="Q1459" s="1436"/>
      <c r="R1459" s="1436"/>
      <c r="S1459" s="1436"/>
      <c r="T1459" s="1436"/>
      <c r="U1459" s="1436"/>
      <c r="V1459" s="1436"/>
      <c r="W1459" s="1436"/>
      <c r="X1459" s="1436"/>
      <c r="Y1459" s="1436"/>
      <c r="Z1459" s="1436"/>
      <c r="AA1459" s="1436"/>
      <c r="AB1459" s="1436"/>
      <c r="AC1459" s="1436"/>
      <c r="AD1459" s="1436"/>
      <c r="AE1459" s="1436"/>
      <c r="AF1459" s="1436"/>
    </row>
    <row r="1460" spans="1:32">
      <c r="A1460" s="1436"/>
      <c r="B1460" s="1436"/>
      <c r="C1460" s="1436"/>
      <c r="D1460" s="1436"/>
      <c r="E1460" s="1436"/>
      <c r="F1460" s="1436"/>
      <c r="G1460" s="1436"/>
      <c r="H1460" s="1436"/>
      <c r="I1460" s="1436"/>
      <c r="J1460" s="1436"/>
      <c r="K1460" s="1436"/>
      <c r="L1460" s="1436"/>
      <c r="M1460" s="1436"/>
      <c r="N1460" s="1436"/>
      <c r="O1460" s="1436"/>
      <c r="P1460" s="1436"/>
      <c r="Q1460" s="1436"/>
      <c r="R1460" s="1436"/>
      <c r="S1460" s="1436"/>
      <c r="T1460" s="1436"/>
      <c r="U1460" s="1436"/>
      <c r="V1460" s="1436"/>
      <c r="W1460" s="1436"/>
      <c r="X1460" s="1436"/>
      <c r="Y1460" s="1436"/>
      <c r="Z1460" s="1436"/>
      <c r="AA1460" s="1436"/>
      <c r="AB1460" s="1436"/>
      <c r="AC1460" s="1436"/>
      <c r="AD1460" s="1436"/>
      <c r="AE1460" s="1436"/>
      <c r="AF1460" s="1436"/>
    </row>
    <row r="1461" spans="1:32">
      <c r="A1461" s="1436"/>
      <c r="B1461" s="1436"/>
      <c r="C1461" s="1436"/>
      <c r="D1461" s="1436"/>
      <c r="E1461" s="1436"/>
      <c r="F1461" s="1436"/>
      <c r="G1461" s="1436"/>
      <c r="H1461" s="1436"/>
      <c r="I1461" s="1436"/>
      <c r="J1461" s="1436"/>
      <c r="K1461" s="1436"/>
      <c r="L1461" s="1436"/>
      <c r="M1461" s="1436"/>
      <c r="N1461" s="1436"/>
      <c r="O1461" s="1436"/>
      <c r="P1461" s="1436"/>
      <c r="Q1461" s="1436"/>
      <c r="R1461" s="1436"/>
      <c r="S1461" s="1436"/>
      <c r="T1461" s="1436"/>
      <c r="U1461" s="1436"/>
      <c r="V1461" s="1436"/>
      <c r="W1461" s="1436"/>
      <c r="X1461" s="1436"/>
      <c r="Y1461" s="1436"/>
      <c r="Z1461" s="1436"/>
      <c r="AA1461" s="1436"/>
      <c r="AB1461" s="1436"/>
      <c r="AC1461" s="1436"/>
      <c r="AD1461" s="1436"/>
      <c r="AE1461" s="1436"/>
      <c r="AF1461" s="1436"/>
    </row>
    <row r="1462" spans="1:32">
      <c r="A1462" s="1436"/>
      <c r="B1462" s="1436"/>
      <c r="C1462" s="1436"/>
      <c r="D1462" s="1436"/>
      <c r="E1462" s="1436"/>
      <c r="F1462" s="1436"/>
      <c r="G1462" s="1436"/>
      <c r="H1462" s="1436"/>
      <c r="I1462" s="1436"/>
      <c r="J1462" s="1436"/>
      <c r="K1462" s="1436"/>
      <c r="L1462" s="1436"/>
      <c r="M1462" s="1436"/>
      <c r="N1462" s="1436"/>
      <c r="O1462" s="1436"/>
      <c r="P1462" s="1436"/>
      <c r="Q1462" s="1436"/>
      <c r="R1462" s="1436"/>
      <c r="S1462" s="1436"/>
      <c r="T1462" s="1436"/>
      <c r="U1462" s="1436"/>
      <c r="V1462" s="1436"/>
      <c r="W1462" s="1436"/>
      <c r="X1462" s="1436"/>
      <c r="Y1462" s="1436"/>
      <c r="Z1462" s="1436"/>
      <c r="AA1462" s="1436"/>
      <c r="AB1462" s="1436"/>
      <c r="AC1462" s="1436"/>
      <c r="AD1462" s="1436"/>
      <c r="AE1462" s="1436"/>
      <c r="AF1462" s="1436"/>
    </row>
    <row r="1463" spans="1:32">
      <c r="A1463" s="1436"/>
      <c r="B1463" s="1436"/>
      <c r="C1463" s="1436"/>
      <c r="D1463" s="1436"/>
      <c r="E1463" s="1436"/>
      <c r="F1463" s="1436"/>
      <c r="G1463" s="1436"/>
      <c r="H1463" s="1436"/>
      <c r="I1463" s="1436"/>
      <c r="J1463" s="1436"/>
      <c r="K1463" s="1436"/>
      <c r="L1463" s="1436"/>
      <c r="M1463" s="1436"/>
      <c r="N1463" s="1436"/>
      <c r="O1463" s="1436"/>
      <c r="P1463" s="1436"/>
      <c r="Q1463" s="1436"/>
      <c r="R1463" s="1436"/>
      <c r="S1463" s="1436"/>
      <c r="T1463" s="1436"/>
      <c r="U1463" s="1436"/>
      <c r="V1463" s="1436"/>
      <c r="W1463" s="1436"/>
      <c r="X1463" s="1436"/>
      <c r="Y1463" s="1436"/>
      <c r="Z1463" s="1436"/>
      <c r="AA1463" s="1436"/>
      <c r="AB1463" s="1436"/>
      <c r="AC1463" s="1436"/>
      <c r="AD1463" s="1436"/>
      <c r="AE1463" s="1436"/>
      <c r="AF1463" s="1436"/>
    </row>
    <row r="1464" spans="1:32">
      <c r="A1464" s="1436"/>
      <c r="B1464" s="1436"/>
      <c r="C1464" s="1436"/>
      <c r="D1464" s="1436"/>
      <c r="E1464" s="1436"/>
      <c r="F1464" s="1436"/>
      <c r="G1464" s="1436"/>
      <c r="H1464" s="1436"/>
      <c r="I1464" s="1436"/>
      <c r="J1464" s="1436"/>
      <c r="K1464" s="1436"/>
      <c r="L1464" s="1436"/>
      <c r="M1464" s="1436"/>
      <c r="N1464" s="1436"/>
      <c r="O1464" s="1436"/>
      <c r="P1464" s="1436"/>
      <c r="Q1464" s="1436"/>
      <c r="R1464" s="1436"/>
      <c r="S1464" s="1436"/>
      <c r="T1464" s="1436"/>
      <c r="U1464" s="1436"/>
      <c r="V1464" s="1436"/>
      <c r="W1464" s="1436"/>
      <c r="X1464" s="1436"/>
      <c r="Y1464" s="1436"/>
      <c r="Z1464" s="1436"/>
      <c r="AA1464" s="1436"/>
      <c r="AB1464" s="1436"/>
      <c r="AC1464" s="1436"/>
      <c r="AD1464" s="1436"/>
      <c r="AE1464" s="1436"/>
      <c r="AF1464" s="1436"/>
    </row>
    <row r="1465" spans="1:32">
      <c r="A1465" s="1436"/>
      <c r="B1465" s="1436"/>
      <c r="C1465" s="1436"/>
      <c r="D1465" s="1436"/>
      <c r="E1465" s="1436"/>
      <c r="F1465" s="1436"/>
      <c r="G1465" s="1436"/>
      <c r="H1465" s="1436"/>
      <c r="I1465" s="1436"/>
      <c r="J1465" s="1436"/>
      <c r="K1465" s="1436"/>
      <c r="L1465" s="1436"/>
      <c r="M1465" s="1436"/>
      <c r="N1465" s="1436"/>
      <c r="O1465" s="1436"/>
      <c r="P1465" s="1436"/>
      <c r="Q1465" s="1436"/>
      <c r="R1465" s="1436"/>
      <c r="S1465" s="1436"/>
      <c r="T1465" s="1436"/>
      <c r="U1465" s="1436"/>
      <c r="V1465" s="1436"/>
      <c r="W1465" s="1436"/>
      <c r="X1465" s="1436"/>
      <c r="Y1465" s="1436"/>
      <c r="Z1465" s="1436"/>
      <c r="AA1465" s="1436"/>
      <c r="AB1465" s="1436"/>
      <c r="AC1465" s="1436"/>
      <c r="AD1465" s="1436"/>
      <c r="AE1465" s="1436"/>
      <c r="AF1465" s="1436"/>
    </row>
    <row r="1466" spans="1:32">
      <c r="A1466" s="1436"/>
      <c r="B1466" s="1436"/>
      <c r="C1466" s="1436"/>
      <c r="D1466" s="1436"/>
      <c r="E1466" s="1436"/>
      <c r="F1466" s="1436"/>
      <c r="G1466" s="1436"/>
      <c r="H1466" s="1436"/>
      <c r="I1466" s="1436"/>
      <c r="J1466" s="1436"/>
      <c r="K1466" s="1436"/>
      <c r="L1466" s="1436"/>
      <c r="M1466" s="1436"/>
      <c r="N1466" s="1436"/>
      <c r="O1466" s="1436"/>
      <c r="P1466" s="1436"/>
      <c r="Q1466" s="1436"/>
      <c r="R1466" s="1436"/>
      <c r="S1466" s="1436"/>
      <c r="T1466" s="1436"/>
      <c r="U1466" s="1436"/>
      <c r="V1466" s="1436"/>
      <c r="W1466" s="1436"/>
      <c r="X1466" s="1436"/>
      <c r="Y1466" s="1436"/>
      <c r="Z1466" s="1436"/>
      <c r="AA1466" s="1436"/>
      <c r="AB1466" s="1436"/>
      <c r="AC1466" s="1436"/>
      <c r="AD1466" s="1436"/>
      <c r="AE1466" s="1436"/>
      <c r="AF1466" s="1436"/>
    </row>
    <row r="1467" spans="1:32">
      <c r="A1467" s="1436"/>
      <c r="B1467" s="1436"/>
      <c r="C1467" s="1436"/>
      <c r="D1467" s="1436"/>
      <c r="E1467" s="1436"/>
      <c r="F1467" s="1436"/>
      <c r="G1467" s="1436"/>
      <c r="H1467" s="1436"/>
      <c r="I1467" s="1436"/>
      <c r="J1467" s="1436"/>
      <c r="K1467" s="1436"/>
      <c r="L1467" s="1436"/>
      <c r="M1467" s="1436"/>
      <c r="N1467" s="1436"/>
      <c r="O1467" s="1436"/>
      <c r="P1467" s="1436"/>
      <c r="Q1467" s="1436"/>
      <c r="R1467" s="1436"/>
      <c r="S1467" s="1436"/>
      <c r="T1467" s="1436"/>
      <c r="U1467" s="1436"/>
      <c r="V1467" s="1436"/>
      <c r="W1467" s="1436"/>
      <c r="X1467" s="1436"/>
      <c r="Y1467" s="1436"/>
      <c r="Z1467" s="1436"/>
      <c r="AA1467" s="1436"/>
      <c r="AB1467" s="1436"/>
      <c r="AC1467" s="1436"/>
      <c r="AD1467" s="1436"/>
      <c r="AE1467" s="1436"/>
      <c r="AF1467" s="1436"/>
    </row>
    <row r="1468" spans="1:32">
      <c r="A1468" s="1436"/>
      <c r="B1468" s="1436"/>
      <c r="C1468" s="1436"/>
      <c r="D1468" s="1436"/>
      <c r="E1468" s="1436"/>
      <c r="F1468" s="1436"/>
      <c r="G1468" s="1436"/>
      <c r="H1468" s="1436"/>
      <c r="I1468" s="1436"/>
      <c r="J1468" s="1436"/>
      <c r="K1468" s="1436"/>
      <c r="L1468" s="1436"/>
      <c r="M1468" s="1436"/>
      <c r="N1468" s="1436"/>
      <c r="O1468" s="1436"/>
      <c r="P1468" s="1436"/>
      <c r="Q1468" s="1436"/>
      <c r="R1468" s="1436"/>
      <c r="S1468" s="1436"/>
      <c r="T1468" s="1436"/>
      <c r="U1468" s="1436"/>
      <c r="V1468" s="1436"/>
      <c r="W1468" s="1436"/>
      <c r="X1468" s="1436"/>
      <c r="Y1468" s="1436"/>
      <c r="Z1468" s="1436"/>
      <c r="AA1468" s="1436"/>
      <c r="AB1468" s="1436"/>
      <c r="AC1468" s="1436"/>
      <c r="AD1468" s="1436"/>
      <c r="AE1468" s="1436"/>
      <c r="AF1468" s="1436"/>
    </row>
    <row r="1469" spans="1:32">
      <c r="A1469" s="1436"/>
      <c r="B1469" s="1436"/>
      <c r="C1469" s="1436"/>
      <c r="D1469" s="1436"/>
      <c r="E1469" s="1436"/>
      <c r="F1469" s="1436"/>
      <c r="G1469" s="1436"/>
      <c r="H1469" s="1436"/>
      <c r="I1469" s="1436"/>
      <c r="J1469" s="1436"/>
      <c r="K1469" s="1436"/>
      <c r="L1469" s="1436"/>
      <c r="M1469" s="1436"/>
      <c r="N1469" s="1436"/>
      <c r="O1469" s="1436"/>
      <c r="P1469" s="1436"/>
      <c r="Q1469" s="1436"/>
      <c r="R1469" s="1436"/>
      <c r="S1469" s="1436"/>
      <c r="T1469" s="1436"/>
      <c r="U1469" s="1436"/>
      <c r="V1469" s="1436"/>
      <c r="W1469" s="1436"/>
      <c r="X1469" s="1436"/>
      <c r="Y1469" s="1436"/>
      <c r="Z1469" s="1436"/>
      <c r="AA1469" s="1436"/>
      <c r="AB1469" s="1436"/>
      <c r="AC1469" s="1436"/>
      <c r="AD1469" s="1436"/>
      <c r="AE1469" s="1436"/>
      <c r="AF1469" s="1436"/>
    </row>
    <row r="1470" spans="1:32">
      <c r="A1470" s="1436"/>
      <c r="B1470" s="1436"/>
      <c r="C1470" s="1436"/>
      <c r="D1470" s="1436"/>
      <c r="E1470" s="1436"/>
      <c r="F1470" s="1436"/>
      <c r="G1470" s="1436"/>
      <c r="H1470" s="1436"/>
      <c r="I1470" s="1436"/>
      <c r="J1470" s="1436"/>
      <c r="K1470" s="1436"/>
      <c r="L1470" s="1436"/>
      <c r="M1470" s="1436"/>
      <c r="N1470" s="1436"/>
      <c r="O1470" s="1436"/>
      <c r="P1470" s="1436"/>
      <c r="Q1470" s="1436"/>
      <c r="R1470" s="1436"/>
      <c r="S1470" s="1436"/>
      <c r="T1470" s="1436"/>
      <c r="U1470" s="1436"/>
      <c r="V1470" s="1436"/>
      <c r="W1470" s="1436"/>
      <c r="X1470" s="1436"/>
      <c r="Y1470" s="1436"/>
      <c r="Z1470" s="1436"/>
      <c r="AA1470" s="1436"/>
      <c r="AB1470" s="1436"/>
      <c r="AC1470" s="1436"/>
      <c r="AD1470" s="1436"/>
      <c r="AE1470" s="1436"/>
      <c r="AF1470" s="1436"/>
    </row>
    <row r="1471" spans="1:32">
      <c r="A1471" s="1436"/>
      <c r="B1471" s="1436"/>
      <c r="C1471" s="1436"/>
      <c r="D1471" s="1436"/>
      <c r="E1471" s="1436"/>
      <c r="F1471" s="1436"/>
      <c r="G1471" s="1436"/>
      <c r="H1471" s="1436"/>
      <c r="I1471" s="1436"/>
      <c r="J1471" s="1436"/>
      <c r="K1471" s="1436"/>
      <c r="L1471" s="1436"/>
      <c r="M1471" s="1436"/>
      <c r="N1471" s="1436"/>
      <c r="O1471" s="1436"/>
      <c r="P1471" s="1436"/>
      <c r="Q1471" s="1436"/>
      <c r="R1471" s="1436"/>
      <c r="S1471" s="1436"/>
      <c r="T1471" s="1436"/>
      <c r="U1471" s="1436"/>
      <c r="V1471" s="1436"/>
      <c r="W1471" s="1436"/>
      <c r="X1471" s="1436"/>
      <c r="Y1471" s="1436"/>
      <c r="Z1471" s="1436"/>
      <c r="AA1471" s="1436"/>
      <c r="AB1471" s="1436"/>
      <c r="AC1471" s="1436"/>
      <c r="AD1471" s="1436"/>
      <c r="AE1471" s="1436"/>
      <c r="AF1471" s="1436"/>
    </row>
    <row r="1472" spans="1:32">
      <c r="A1472" s="1436"/>
      <c r="B1472" s="1436"/>
      <c r="C1472" s="1436"/>
      <c r="D1472" s="1436"/>
      <c r="E1472" s="1436"/>
      <c r="F1472" s="1436"/>
      <c r="G1472" s="1436"/>
      <c r="H1472" s="1436"/>
      <c r="I1472" s="1436"/>
      <c r="J1472" s="1436"/>
      <c r="K1472" s="1436"/>
      <c r="L1472" s="1436"/>
      <c r="M1472" s="1436"/>
      <c r="N1472" s="1436"/>
      <c r="O1472" s="1436"/>
      <c r="P1472" s="1436"/>
      <c r="Q1472" s="1436"/>
      <c r="R1472" s="1436"/>
      <c r="S1472" s="1436"/>
      <c r="T1472" s="1436"/>
      <c r="U1472" s="1436"/>
      <c r="V1472" s="1436"/>
      <c r="W1472" s="1436"/>
      <c r="X1472" s="1436"/>
      <c r="Y1472" s="1436"/>
      <c r="Z1472" s="1436"/>
      <c r="AA1472" s="1436"/>
      <c r="AB1472" s="1436"/>
      <c r="AC1472" s="1436"/>
      <c r="AD1472" s="1436"/>
      <c r="AE1472" s="1436"/>
      <c r="AF1472" s="1436"/>
    </row>
    <row r="1473" spans="1:32">
      <c r="A1473" s="1436"/>
      <c r="B1473" s="1436"/>
      <c r="C1473" s="1436"/>
      <c r="D1473" s="1436"/>
      <c r="E1473" s="1436"/>
      <c r="F1473" s="1436"/>
      <c r="G1473" s="1436"/>
      <c r="H1473" s="1436"/>
      <c r="I1473" s="1436"/>
      <c r="J1473" s="1436"/>
      <c r="K1473" s="1436"/>
      <c r="L1473" s="1436"/>
      <c r="M1473" s="1436"/>
      <c r="N1473" s="1436"/>
      <c r="O1473" s="1436"/>
      <c r="P1473" s="1436"/>
      <c r="Q1473" s="1436"/>
      <c r="R1473" s="1436"/>
      <c r="S1473" s="1436"/>
      <c r="T1473" s="1436"/>
      <c r="U1473" s="1436"/>
      <c r="V1473" s="1436"/>
      <c r="W1473" s="1436"/>
      <c r="X1473" s="1436"/>
      <c r="Y1473" s="1436"/>
      <c r="Z1473" s="1436"/>
      <c r="AA1473" s="1436"/>
      <c r="AB1473" s="1436"/>
      <c r="AC1473" s="1436"/>
      <c r="AD1473" s="1436"/>
      <c r="AE1473" s="1436"/>
      <c r="AF1473" s="1436"/>
    </row>
    <row r="1474" spans="1:32">
      <c r="A1474" s="1436"/>
      <c r="B1474" s="1436"/>
      <c r="C1474" s="1436"/>
      <c r="D1474" s="1436"/>
      <c r="E1474" s="1436"/>
      <c r="F1474" s="1436"/>
      <c r="G1474" s="1436"/>
      <c r="H1474" s="1436"/>
      <c r="I1474" s="1436"/>
      <c r="J1474" s="1436"/>
      <c r="K1474" s="1436"/>
      <c r="L1474" s="1436"/>
      <c r="M1474" s="1436"/>
      <c r="N1474" s="1436"/>
      <c r="O1474" s="1436"/>
      <c r="P1474" s="1436"/>
      <c r="Q1474" s="1436"/>
      <c r="R1474" s="1436"/>
      <c r="S1474" s="1436"/>
      <c r="T1474" s="1436"/>
      <c r="U1474" s="1436"/>
      <c r="V1474" s="1436"/>
      <c r="W1474" s="1436"/>
      <c r="X1474" s="1436"/>
      <c r="Y1474" s="1436"/>
      <c r="Z1474" s="1436"/>
      <c r="AA1474" s="1436"/>
      <c r="AB1474" s="1436"/>
      <c r="AC1474" s="1436"/>
      <c r="AD1474" s="1436"/>
      <c r="AE1474" s="1436"/>
      <c r="AF1474" s="1436"/>
    </row>
    <row r="1475" spans="1:32">
      <c r="A1475" s="1436"/>
      <c r="B1475" s="1436"/>
      <c r="C1475" s="1436"/>
      <c r="D1475" s="1436"/>
      <c r="E1475" s="1436"/>
      <c r="F1475" s="1436"/>
      <c r="G1475" s="1436"/>
      <c r="H1475" s="1436"/>
      <c r="I1475" s="1436"/>
      <c r="J1475" s="1436"/>
      <c r="K1475" s="1436"/>
      <c r="L1475" s="1436"/>
      <c r="M1475" s="1436"/>
      <c r="N1475" s="1436"/>
      <c r="O1475" s="1436"/>
      <c r="P1475" s="1436"/>
      <c r="Q1475" s="1436"/>
      <c r="R1475" s="1436"/>
      <c r="S1475" s="1436"/>
      <c r="T1475" s="1436"/>
      <c r="U1475" s="1436"/>
      <c r="V1475" s="1436"/>
      <c r="W1475" s="1436"/>
      <c r="X1475" s="1436"/>
      <c r="Y1475" s="1436"/>
      <c r="Z1475" s="1436"/>
      <c r="AA1475" s="1436"/>
      <c r="AB1475" s="1436"/>
      <c r="AC1475" s="1436"/>
      <c r="AD1475" s="1436"/>
      <c r="AE1475" s="1436"/>
      <c r="AF1475" s="1436"/>
    </row>
    <row r="1476" spans="1:32">
      <c r="A1476" s="1436"/>
      <c r="B1476" s="1436"/>
      <c r="C1476" s="1436"/>
      <c r="D1476" s="1436"/>
      <c r="E1476" s="1436"/>
      <c r="F1476" s="1436"/>
      <c r="G1476" s="1436"/>
      <c r="H1476" s="1436"/>
      <c r="I1476" s="1436"/>
      <c r="J1476" s="1436"/>
      <c r="K1476" s="1436"/>
      <c r="L1476" s="1436"/>
      <c r="M1476" s="1436"/>
      <c r="N1476" s="1436"/>
      <c r="O1476" s="1436"/>
      <c r="P1476" s="1436"/>
      <c r="Q1476" s="1436"/>
      <c r="R1476" s="1436"/>
      <c r="S1476" s="1436"/>
      <c r="T1476" s="1436"/>
      <c r="U1476" s="1436"/>
      <c r="V1476" s="1436"/>
      <c r="W1476" s="1436"/>
      <c r="X1476" s="1436"/>
      <c r="Y1476" s="1436"/>
      <c r="Z1476" s="1436"/>
      <c r="AA1476" s="1436"/>
      <c r="AB1476" s="1436"/>
      <c r="AC1476" s="1436"/>
      <c r="AD1476" s="1436"/>
      <c r="AE1476" s="1436"/>
      <c r="AF1476" s="1436"/>
    </row>
    <row r="1477" spans="1:32">
      <c r="A1477" s="1436"/>
      <c r="B1477" s="1436"/>
      <c r="C1477" s="1436"/>
      <c r="D1477" s="1436"/>
      <c r="E1477" s="1436"/>
      <c r="F1477" s="1436"/>
      <c r="G1477" s="1436"/>
      <c r="H1477" s="1436"/>
      <c r="I1477" s="1436"/>
      <c r="J1477" s="1436"/>
      <c r="K1477" s="1436"/>
      <c r="L1477" s="1436"/>
      <c r="M1477" s="1436"/>
      <c r="N1477" s="1436"/>
      <c r="O1477" s="1436"/>
      <c r="P1477" s="1436"/>
      <c r="Q1477" s="1436"/>
      <c r="R1477" s="1436"/>
      <c r="S1477" s="1436"/>
      <c r="T1477" s="1436"/>
      <c r="U1477" s="1436"/>
      <c r="V1477" s="1436"/>
      <c r="W1477" s="1436"/>
      <c r="X1477" s="1436"/>
      <c r="Y1477" s="1436"/>
      <c r="Z1477" s="1436"/>
      <c r="AA1477" s="1436"/>
      <c r="AB1477" s="1436"/>
      <c r="AC1477" s="1436"/>
      <c r="AD1477" s="1436"/>
      <c r="AE1477" s="1436"/>
      <c r="AF1477" s="1436"/>
    </row>
    <row r="1478" spans="1:32">
      <c r="A1478" s="1436"/>
      <c r="B1478" s="1436"/>
      <c r="C1478" s="1436"/>
      <c r="D1478" s="1436"/>
      <c r="E1478" s="1436"/>
      <c r="F1478" s="1436"/>
      <c r="G1478" s="1436"/>
      <c r="H1478" s="1436"/>
      <c r="I1478" s="1436"/>
      <c r="J1478" s="1436"/>
      <c r="K1478" s="1436"/>
      <c r="L1478" s="1436"/>
      <c r="M1478" s="1436"/>
      <c r="N1478" s="1436"/>
      <c r="O1478" s="1436"/>
      <c r="P1478" s="1436"/>
      <c r="Q1478" s="1436"/>
      <c r="R1478" s="1436"/>
      <c r="S1478" s="1436"/>
      <c r="T1478" s="1436"/>
      <c r="U1478" s="1436"/>
      <c r="V1478" s="1436"/>
      <c r="W1478" s="1436"/>
      <c r="X1478" s="1436"/>
      <c r="Y1478" s="1436"/>
      <c r="Z1478" s="1436"/>
      <c r="AA1478" s="1436"/>
      <c r="AB1478" s="1436"/>
      <c r="AC1478" s="1436"/>
      <c r="AD1478" s="1436"/>
      <c r="AE1478" s="1436"/>
      <c r="AF1478" s="1436"/>
    </row>
    <row r="1479" spans="1:32">
      <c r="A1479" s="1436"/>
      <c r="B1479" s="1436"/>
      <c r="C1479" s="1436"/>
      <c r="D1479" s="1436"/>
      <c r="E1479" s="1436"/>
      <c r="F1479" s="1436"/>
      <c r="G1479" s="1436"/>
      <c r="H1479" s="1436"/>
      <c r="I1479" s="1436"/>
      <c r="J1479" s="1436"/>
      <c r="K1479" s="1436"/>
      <c r="L1479" s="1436"/>
      <c r="M1479" s="1436"/>
      <c r="N1479" s="1436"/>
      <c r="O1479" s="1436"/>
      <c r="P1479" s="1436"/>
      <c r="Q1479" s="1436"/>
      <c r="R1479" s="1436"/>
      <c r="S1479" s="1436"/>
      <c r="T1479" s="1436"/>
      <c r="U1479" s="1436"/>
      <c r="V1479" s="1436"/>
      <c r="W1479" s="1436"/>
      <c r="X1479" s="1436"/>
      <c r="Y1479" s="1436"/>
      <c r="Z1479" s="1436"/>
      <c r="AA1479" s="1436"/>
      <c r="AB1479" s="1436"/>
      <c r="AC1479" s="1436"/>
      <c r="AD1479" s="1436"/>
      <c r="AE1479" s="1436"/>
      <c r="AF1479" s="1436"/>
    </row>
    <row r="1480" spans="1:32">
      <c r="A1480" s="1436"/>
      <c r="B1480" s="1436"/>
      <c r="C1480" s="1436"/>
      <c r="D1480" s="1436"/>
      <c r="E1480" s="1436"/>
      <c r="F1480" s="1436"/>
      <c r="G1480" s="1436"/>
      <c r="H1480" s="1436"/>
      <c r="I1480" s="1436"/>
      <c r="J1480" s="1436"/>
      <c r="K1480" s="1436"/>
      <c r="L1480" s="1436"/>
      <c r="M1480" s="1436"/>
      <c r="N1480" s="1436"/>
      <c r="O1480" s="1436"/>
      <c r="P1480" s="1436"/>
      <c r="Q1480" s="1436"/>
      <c r="R1480" s="1436"/>
      <c r="S1480" s="1436"/>
      <c r="T1480" s="1436"/>
      <c r="U1480" s="1436"/>
      <c r="V1480" s="1436"/>
      <c r="W1480" s="1436"/>
      <c r="X1480" s="1436"/>
      <c r="Y1480" s="1436"/>
      <c r="Z1480" s="1436"/>
      <c r="AA1480" s="1436"/>
      <c r="AB1480" s="1436"/>
      <c r="AC1480" s="1436"/>
      <c r="AD1480" s="1436"/>
      <c r="AE1480" s="1436"/>
      <c r="AF1480" s="1436"/>
    </row>
    <row r="1481" spans="1:32">
      <c r="A1481" s="1436"/>
      <c r="B1481" s="1436"/>
      <c r="C1481" s="1436"/>
      <c r="D1481" s="1436"/>
      <c r="E1481" s="1436"/>
      <c r="F1481" s="1436"/>
      <c r="G1481" s="1436"/>
      <c r="H1481" s="1436"/>
      <c r="I1481" s="1436"/>
      <c r="J1481" s="1436"/>
      <c r="K1481" s="1436"/>
      <c r="L1481" s="1436"/>
      <c r="M1481" s="1436"/>
      <c r="N1481" s="1436"/>
      <c r="O1481" s="1436"/>
      <c r="P1481" s="1436"/>
      <c r="Q1481" s="1436"/>
      <c r="R1481" s="1436"/>
      <c r="S1481" s="1436"/>
      <c r="T1481" s="1436"/>
      <c r="U1481" s="1436"/>
      <c r="V1481" s="1436"/>
      <c r="W1481" s="1436"/>
      <c r="X1481" s="1436"/>
      <c r="Y1481" s="1436"/>
      <c r="Z1481" s="1436"/>
      <c r="AA1481" s="1436"/>
      <c r="AB1481" s="1436"/>
      <c r="AC1481" s="1436"/>
      <c r="AD1481" s="1436"/>
      <c r="AE1481" s="1436"/>
      <c r="AF1481" s="1436"/>
    </row>
    <row r="1482" spans="1:32">
      <c r="A1482" s="1436"/>
      <c r="B1482" s="1436"/>
      <c r="C1482" s="1436"/>
      <c r="D1482" s="1436"/>
      <c r="E1482" s="1436"/>
      <c r="F1482" s="1436"/>
      <c r="G1482" s="1436"/>
      <c r="H1482" s="1436"/>
      <c r="I1482" s="1436"/>
      <c r="J1482" s="1436"/>
      <c r="K1482" s="1436"/>
      <c r="L1482" s="1436"/>
      <c r="M1482" s="1436"/>
      <c r="N1482" s="1436"/>
      <c r="O1482" s="1436"/>
      <c r="P1482" s="1436"/>
      <c r="Q1482" s="1436"/>
      <c r="R1482" s="1436"/>
      <c r="S1482" s="1436"/>
      <c r="T1482" s="1436"/>
      <c r="U1482" s="1436"/>
      <c r="V1482" s="1436"/>
      <c r="W1482" s="1436"/>
      <c r="X1482" s="1436"/>
      <c r="Y1482" s="1436"/>
      <c r="Z1482" s="1436"/>
      <c r="AA1482" s="1436"/>
      <c r="AB1482" s="1436"/>
      <c r="AC1482" s="1436"/>
      <c r="AD1482" s="1436"/>
      <c r="AE1482" s="1436"/>
      <c r="AF1482" s="1436"/>
    </row>
    <row r="1483" spans="1:32">
      <c r="A1483" s="1436"/>
      <c r="B1483" s="1436"/>
      <c r="C1483" s="1436"/>
      <c r="D1483" s="1436"/>
      <c r="E1483" s="1436"/>
      <c r="F1483" s="1436"/>
      <c r="G1483" s="1436"/>
      <c r="H1483" s="1436"/>
      <c r="I1483" s="1436"/>
      <c r="J1483" s="1436"/>
      <c r="K1483" s="1436"/>
      <c r="L1483" s="1436"/>
      <c r="M1483" s="1436"/>
      <c r="N1483" s="1436"/>
      <c r="O1483" s="1436"/>
      <c r="P1483" s="1436"/>
      <c r="Q1483" s="1436"/>
      <c r="R1483" s="1436"/>
      <c r="S1483" s="1436"/>
      <c r="T1483" s="1436"/>
      <c r="U1483" s="1436"/>
      <c r="V1483" s="1436"/>
      <c r="W1483" s="1436"/>
      <c r="X1483" s="1436"/>
      <c r="Y1483" s="1436"/>
      <c r="Z1483" s="1436"/>
      <c r="AA1483" s="1436"/>
      <c r="AB1483" s="1436"/>
      <c r="AC1483" s="1436"/>
      <c r="AD1483" s="1436"/>
      <c r="AE1483" s="1436"/>
      <c r="AF1483" s="1436"/>
    </row>
    <row r="1484" spans="1:32">
      <c r="A1484" s="1436"/>
      <c r="B1484" s="1436"/>
      <c r="C1484" s="1436"/>
      <c r="D1484" s="1436"/>
      <c r="E1484" s="1436"/>
      <c r="F1484" s="1436"/>
      <c r="G1484" s="1436"/>
      <c r="H1484" s="1436"/>
      <c r="I1484" s="1436"/>
      <c r="J1484" s="1436"/>
      <c r="K1484" s="1436"/>
      <c r="L1484" s="1436"/>
      <c r="M1484" s="1436"/>
      <c r="N1484" s="1436"/>
      <c r="O1484" s="1436"/>
      <c r="P1484" s="1436"/>
      <c r="Q1484" s="1436"/>
      <c r="R1484" s="1436"/>
      <c r="S1484" s="1436"/>
      <c r="T1484" s="1436"/>
      <c r="U1484" s="1436"/>
      <c r="V1484" s="1436"/>
      <c r="W1484" s="1436"/>
      <c r="X1484" s="1436"/>
      <c r="Y1484" s="1436"/>
      <c r="Z1484" s="1436"/>
      <c r="AA1484" s="1436"/>
      <c r="AB1484" s="1436"/>
      <c r="AC1484" s="1436"/>
      <c r="AD1484" s="1436"/>
      <c r="AE1484" s="1436"/>
      <c r="AF1484" s="1436"/>
    </row>
    <row r="1485" spans="1:32">
      <c r="A1485" s="1436"/>
      <c r="B1485" s="1436"/>
      <c r="C1485" s="1436"/>
      <c r="D1485" s="1436"/>
      <c r="E1485" s="1436"/>
      <c r="F1485" s="1436"/>
      <c r="G1485" s="1436"/>
      <c r="H1485" s="1436"/>
      <c r="I1485" s="1436"/>
      <c r="J1485" s="1436"/>
      <c r="K1485" s="1436"/>
      <c r="L1485" s="1436"/>
      <c r="M1485" s="1436"/>
      <c r="N1485" s="1436"/>
      <c r="O1485" s="1436"/>
      <c r="P1485" s="1436"/>
      <c r="Q1485" s="1436"/>
      <c r="R1485" s="1436"/>
      <c r="S1485" s="1436"/>
      <c r="T1485" s="1436"/>
      <c r="U1485" s="1436"/>
      <c r="V1485" s="1436"/>
      <c r="W1485" s="1436"/>
      <c r="X1485" s="1436"/>
      <c r="Y1485" s="1436"/>
      <c r="Z1485" s="1436"/>
      <c r="AA1485" s="1436"/>
      <c r="AB1485" s="1436"/>
      <c r="AC1485" s="1436"/>
      <c r="AD1485" s="1436"/>
      <c r="AE1485" s="1436"/>
      <c r="AF1485" s="1436"/>
    </row>
    <row r="1486" spans="1:32">
      <c r="A1486" s="1436"/>
      <c r="B1486" s="1436"/>
      <c r="C1486" s="1436"/>
      <c r="D1486" s="1436"/>
      <c r="E1486" s="1436"/>
      <c r="F1486" s="1436"/>
      <c r="G1486" s="1436"/>
      <c r="H1486" s="1436"/>
      <c r="I1486" s="1436"/>
      <c r="J1486" s="1436"/>
      <c r="K1486" s="1436"/>
      <c r="L1486" s="1436"/>
      <c r="M1486" s="1436"/>
      <c r="N1486" s="1436"/>
      <c r="O1486" s="1436"/>
      <c r="P1486" s="1436"/>
      <c r="Q1486" s="1436"/>
      <c r="R1486" s="1436"/>
      <c r="S1486" s="1436"/>
      <c r="T1486" s="1436"/>
      <c r="U1486" s="1436"/>
      <c r="V1486" s="1436"/>
      <c r="W1486" s="1436"/>
      <c r="X1486" s="1436"/>
      <c r="Y1486" s="1436"/>
      <c r="Z1486" s="1436"/>
      <c r="AA1486" s="1436"/>
      <c r="AB1486" s="1436"/>
      <c r="AC1486" s="1436"/>
      <c r="AD1486" s="1436"/>
      <c r="AE1486" s="1436"/>
      <c r="AF1486" s="1436"/>
    </row>
    <row r="1487" spans="1:32">
      <c r="A1487" s="1436"/>
      <c r="B1487" s="1436"/>
      <c r="C1487" s="1436"/>
      <c r="D1487" s="1436"/>
      <c r="E1487" s="1436"/>
      <c r="F1487" s="1436"/>
      <c r="G1487" s="1436"/>
      <c r="H1487" s="1436"/>
      <c r="I1487" s="1436"/>
      <c r="J1487" s="1436"/>
      <c r="K1487" s="1436"/>
      <c r="L1487" s="1436"/>
      <c r="M1487" s="1436"/>
      <c r="N1487" s="1436"/>
      <c r="O1487" s="1436"/>
      <c r="P1487" s="1436"/>
      <c r="Q1487" s="1436"/>
      <c r="R1487" s="1436"/>
      <c r="S1487" s="1436"/>
      <c r="T1487" s="1436"/>
      <c r="U1487" s="1436"/>
      <c r="V1487" s="1436"/>
      <c r="W1487" s="1436"/>
      <c r="X1487" s="1436"/>
      <c r="Y1487" s="1436"/>
      <c r="Z1487" s="1436"/>
      <c r="AA1487" s="1436"/>
      <c r="AB1487" s="1436"/>
      <c r="AC1487" s="1436"/>
      <c r="AD1487" s="1436"/>
      <c r="AE1487" s="1436"/>
      <c r="AF1487" s="1436"/>
    </row>
    <row r="1488" spans="1:32">
      <c r="A1488" s="1436"/>
      <c r="B1488" s="1436"/>
      <c r="C1488" s="1436"/>
      <c r="D1488" s="1436"/>
      <c r="E1488" s="1436"/>
      <c r="F1488" s="1436"/>
      <c r="G1488" s="1436"/>
      <c r="H1488" s="1436"/>
      <c r="I1488" s="1436"/>
      <c r="J1488" s="1436"/>
      <c r="K1488" s="1436"/>
      <c r="L1488" s="1436"/>
      <c r="M1488" s="1436"/>
      <c r="N1488" s="1436"/>
      <c r="O1488" s="1436"/>
      <c r="P1488" s="1436"/>
      <c r="Q1488" s="1436"/>
      <c r="R1488" s="1436"/>
      <c r="S1488" s="1436"/>
      <c r="T1488" s="1436"/>
      <c r="U1488" s="1436"/>
      <c r="V1488" s="1436"/>
      <c r="W1488" s="1436"/>
      <c r="X1488" s="1436"/>
      <c r="Y1488" s="1436"/>
      <c r="Z1488" s="1436"/>
      <c r="AA1488" s="1436"/>
      <c r="AB1488" s="1436"/>
      <c r="AC1488" s="1436"/>
      <c r="AD1488" s="1436"/>
      <c r="AE1488" s="1436"/>
      <c r="AF1488" s="1436"/>
    </row>
    <row r="1489" spans="1:32">
      <c r="A1489" s="1436"/>
      <c r="B1489" s="1436"/>
      <c r="C1489" s="1436"/>
      <c r="D1489" s="1436"/>
      <c r="E1489" s="1436"/>
      <c r="F1489" s="1436"/>
      <c r="G1489" s="1436"/>
      <c r="H1489" s="1436"/>
      <c r="I1489" s="1436"/>
      <c r="J1489" s="1436"/>
      <c r="K1489" s="1436"/>
      <c r="L1489" s="1436"/>
      <c r="M1489" s="1436"/>
      <c r="N1489" s="1436"/>
      <c r="O1489" s="1436"/>
      <c r="P1489" s="1436"/>
      <c r="Q1489" s="1436"/>
      <c r="R1489" s="1436"/>
      <c r="S1489" s="1436"/>
      <c r="T1489" s="1436"/>
      <c r="U1489" s="1436"/>
      <c r="V1489" s="1436"/>
      <c r="W1489" s="1436"/>
      <c r="X1489" s="1436"/>
      <c r="Y1489" s="1436"/>
      <c r="Z1489" s="1436"/>
      <c r="AA1489" s="1436"/>
      <c r="AB1489" s="1436"/>
      <c r="AC1489" s="1436"/>
      <c r="AD1489" s="1436"/>
      <c r="AE1489" s="1436"/>
      <c r="AF1489" s="1436"/>
    </row>
    <row r="1490" spans="1:32">
      <c r="A1490" s="1436"/>
      <c r="B1490" s="1436"/>
      <c r="C1490" s="1436"/>
      <c r="D1490" s="1436"/>
      <c r="E1490" s="1436"/>
      <c r="F1490" s="1436"/>
      <c r="G1490" s="1436"/>
      <c r="H1490" s="1436"/>
      <c r="I1490" s="1436"/>
      <c r="J1490" s="1436"/>
      <c r="K1490" s="1436"/>
      <c r="L1490" s="1436"/>
      <c r="M1490" s="1436"/>
      <c r="N1490" s="1436"/>
      <c r="O1490" s="1436"/>
      <c r="P1490" s="1436"/>
      <c r="Q1490" s="1436"/>
      <c r="R1490" s="1436"/>
      <c r="S1490" s="1436"/>
      <c r="T1490" s="1436"/>
      <c r="U1490" s="1436"/>
      <c r="V1490" s="1436"/>
      <c r="W1490" s="1436"/>
      <c r="X1490" s="1436"/>
      <c r="Y1490" s="1436"/>
      <c r="Z1490" s="1436"/>
      <c r="AA1490" s="1436"/>
      <c r="AB1490" s="1436"/>
      <c r="AC1490" s="1436"/>
      <c r="AD1490" s="1436"/>
      <c r="AE1490" s="1436"/>
      <c r="AF1490" s="1436"/>
    </row>
    <row r="1491" spans="1:32">
      <c r="A1491" s="1436"/>
      <c r="B1491" s="1436"/>
      <c r="C1491" s="1436"/>
      <c r="D1491" s="1436"/>
      <c r="E1491" s="1436"/>
      <c r="F1491" s="1436"/>
      <c r="G1491" s="1436"/>
      <c r="H1491" s="1436"/>
      <c r="I1491" s="1436"/>
      <c r="J1491" s="1436"/>
      <c r="K1491" s="1436"/>
      <c r="L1491" s="1436"/>
      <c r="M1491" s="1436"/>
      <c r="N1491" s="1436"/>
      <c r="O1491" s="1436"/>
      <c r="P1491" s="1436"/>
      <c r="Q1491" s="1436"/>
      <c r="R1491" s="1436"/>
      <c r="S1491" s="1436"/>
      <c r="T1491" s="1436"/>
      <c r="U1491" s="1436"/>
      <c r="V1491" s="1436"/>
      <c r="W1491" s="1436"/>
      <c r="X1491" s="1436"/>
      <c r="Y1491" s="1436"/>
      <c r="Z1491" s="1436"/>
      <c r="AA1491" s="1436"/>
      <c r="AB1491" s="1436"/>
      <c r="AC1491" s="1436"/>
      <c r="AD1491" s="1436"/>
      <c r="AE1491" s="1436"/>
      <c r="AF1491" s="1436"/>
    </row>
    <row r="1492" spans="1:32">
      <c r="A1492" s="1436"/>
      <c r="B1492" s="1436"/>
      <c r="C1492" s="1436"/>
      <c r="D1492" s="1436"/>
      <c r="E1492" s="1436"/>
      <c r="F1492" s="1436"/>
      <c r="G1492" s="1436"/>
      <c r="H1492" s="1436"/>
      <c r="I1492" s="1436"/>
      <c r="J1492" s="1436"/>
      <c r="K1492" s="1436"/>
      <c r="L1492" s="1436"/>
      <c r="M1492" s="1436"/>
      <c r="N1492" s="1436"/>
      <c r="O1492" s="1436"/>
      <c r="P1492" s="1436"/>
      <c r="Q1492" s="1436"/>
      <c r="R1492" s="1436"/>
      <c r="S1492" s="1436"/>
      <c r="T1492" s="1436"/>
      <c r="U1492" s="1436"/>
      <c r="V1492" s="1436"/>
      <c r="W1492" s="1436"/>
      <c r="X1492" s="1436"/>
      <c r="Y1492" s="1436"/>
      <c r="Z1492" s="1436"/>
      <c r="AA1492" s="1436"/>
      <c r="AB1492" s="1436"/>
      <c r="AC1492" s="1436"/>
      <c r="AD1492" s="1436"/>
      <c r="AE1492" s="1436"/>
      <c r="AF1492" s="1436"/>
    </row>
    <row r="1493" spans="1:32">
      <c r="A1493" s="1436"/>
      <c r="B1493" s="1436"/>
      <c r="C1493" s="1436"/>
      <c r="D1493" s="1436"/>
      <c r="E1493" s="1436"/>
      <c r="F1493" s="1436"/>
      <c r="G1493" s="1436"/>
      <c r="H1493" s="1436"/>
      <c r="I1493" s="1436"/>
      <c r="J1493" s="1436"/>
      <c r="K1493" s="1436"/>
      <c r="L1493" s="1436"/>
      <c r="M1493" s="1436"/>
      <c r="N1493" s="1436"/>
      <c r="O1493" s="1436"/>
      <c r="P1493" s="1436"/>
      <c r="Q1493" s="1436"/>
      <c r="R1493" s="1436"/>
      <c r="S1493" s="1436"/>
      <c r="T1493" s="1436"/>
      <c r="U1493" s="1436"/>
      <c r="V1493" s="1436"/>
      <c r="W1493" s="1436"/>
      <c r="X1493" s="1436"/>
      <c r="Y1493" s="1436"/>
      <c r="Z1493" s="1436"/>
      <c r="AA1493" s="1436"/>
      <c r="AB1493" s="1436"/>
      <c r="AC1493" s="1436"/>
      <c r="AD1493" s="1436"/>
      <c r="AE1493" s="1436"/>
      <c r="AF1493" s="1436"/>
    </row>
    <row r="1494" spans="1:32">
      <c r="A1494" s="1436"/>
      <c r="B1494" s="1436"/>
      <c r="C1494" s="1436"/>
      <c r="D1494" s="1436"/>
      <c r="E1494" s="1436"/>
      <c r="F1494" s="1436"/>
      <c r="G1494" s="1436"/>
      <c r="H1494" s="1436"/>
      <c r="I1494" s="1436"/>
      <c r="J1494" s="1436"/>
      <c r="K1494" s="1436"/>
      <c r="L1494" s="1436"/>
      <c r="M1494" s="1436"/>
      <c r="N1494" s="1436"/>
      <c r="O1494" s="1436"/>
      <c r="P1494" s="1436"/>
      <c r="Q1494" s="1436"/>
      <c r="R1494" s="1436"/>
      <c r="S1494" s="1436"/>
      <c r="T1494" s="1436"/>
      <c r="U1494" s="1436"/>
      <c r="V1494" s="1436"/>
      <c r="W1494" s="1436"/>
      <c r="X1494" s="1436"/>
      <c r="Y1494" s="1436"/>
      <c r="Z1494" s="1436"/>
      <c r="AA1494" s="1436"/>
      <c r="AB1494" s="1436"/>
      <c r="AC1494" s="1436"/>
      <c r="AD1494" s="1436"/>
      <c r="AE1494" s="1436"/>
      <c r="AF1494" s="1436"/>
    </row>
    <row r="1495" spans="1:32">
      <c r="A1495" s="1436"/>
      <c r="B1495" s="1436"/>
      <c r="C1495" s="1436"/>
      <c r="D1495" s="1436"/>
      <c r="E1495" s="1436"/>
      <c r="F1495" s="1436"/>
      <c r="G1495" s="1436"/>
      <c r="H1495" s="1436"/>
      <c r="I1495" s="1436"/>
      <c r="J1495" s="1436"/>
      <c r="K1495" s="1436"/>
      <c r="L1495" s="1436"/>
      <c r="M1495" s="1436"/>
      <c r="N1495" s="1436"/>
      <c r="O1495" s="1436"/>
      <c r="P1495" s="1436"/>
      <c r="Q1495" s="1436"/>
      <c r="R1495" s="1436"/>
      <c r="S1495" s="1436"/>
      <c r="T1495" s="1436"/>
      <c r="U1495" s="1436"/>
      <c r="V1495" s="1436"/>
      <c r="W1495" s="1436"/>
      <c r="X1495" s="1436"/>
      <c r="Y1495" s="1436"/>
      <c r="Z1495" s="1436"/>
      <c r="AA1495" s="1436"/>
      <c r="AB1495" s="1436"/>
      <c r="AC1495" s="1436"/>
      <c r="AD1495" s="1436"/>
      <c r="AE1495" s="1436"/>
      <c r="AF1495" s="1436"/>
    </row>
    <row r="1496" spans="1:32">
      <c r="A1496" s="1436"/>
      <c r="B1496" s="1436"/>
      <c r="C1496" s="1436"/>
      <c r="D1496" s="1436"/>
      <c r="E1496" s="1436"/>
      <c r="F1496" s="1436"/>
      <c r="G1496" s="1436"/>
      <c r="H1496" s="1436"/>
      <c r="I1496" s="1436"/>
      <c r="J1496" s="1436"/>
      <c r="K1496" s="1436"/>
      <c r="L1496" s="1436"/>
      <c r="M1496" s="1436"/>
      <c r="N1496" s="1436"/>
      <c r="O1496" s="1436"/>
      <c r="P1496" s="1436"/>
      <c r="Q1496" s="1436"/>
      <c r="R1496" s="1436"/>
      <c r="S1496" s="1436"/>
      <c r="T1496" s="1436"/>
      <c r="U1496" s="1436"/>
      <c r="V1496" s="1436"/>
      <c r="W1496" s="1436"/>
      <c r="X1496" s="1436"/>
      <c r="Y1496" s="1436"/>
      <c r="Z1496" s="1436"/>
      <c r="AA1496" s="1436"/>
      <c r="AB1496" s="1436"/>
      <c r="AC1496" s="1436"/>
      <c r="AD1496" s="1436"/>
      <c r="AE1496" s="1436"/>
      <c r="AF1496" s="1436"/>
    </row>
    <row r="1497" spans="1:32">
      <c r="A1497" s="1436"/>
      <c r="B1497" s="1436"/>
      <c r="C1497" s="1436"/>
      <c r="D1497" s="1436"/>
      <c r="E1497" s="1436"/>
      <c r="F1497" s="1436"/>
      <c r="G1497" s="1436"/>
      <c r="H1497" s="1436"/>
      <c r="I1497" s="1436"/>
      <c r="J1497" s="1436"/>
      <c r="K1497" s="1436"/>
      <c r="L1497" s="1436"/>
      <c r="M1497" s="1436"/>
      <c r="N1497" s="1436"/>
      <c r="O1497" s="1436"/>
      <c r="P1497" s="1436"/>
      <c r="Q1497" s="1436"/>
      <c r="R1497" s="1436"/>
      <c r="S1497" s="1436"/>
      <c r="T1497" s="1436"/>
      <c r="U1497" s="1436"/>
      <c r="V1497" s="1436"/>
      <c r="W1497" s="1436"/>
      <c r="X1497" s="1436"/>
      <c r="Y1497" s="1436"/>
      <c r="Z1497" s="1436"/>
      <c r="AA1497" s="1436"/>
      <c r="AB1497" s="1436"/>
      <c r="AC1497" s="1436"/>
      <c r="AD1497" s="1436"/>
      <c r="AE1497" s="1436"/>
      <c r="AF1497" s="1436"/>
    </row>
    <row r="1498" spans="1:32">
      <c r="A1498" s="1436"/>
      <c r="B1498" s="1436"/>
      <c r="C1498" s="1436"/>
      <c r="D1498" s="1436"/>
      <c r="E1498" s="1436"/>
      <c r="F1498" s="1436"/>
      <c r="G1498" s="1436"/>
      <c r="H1498" s="1436"/>
      <c r="I1498" s="1436"/>
      <c r="J1498" s="1436"/>
      <c r="K1498" s="1436"/>
      <c r="L1498" s="1436"/>
      <c r="M1498" s="1436"/>
      <c r="N1498" s="1436"/>
      <c r="O1498" s="1436"/>
      <c r="P1498" s="1436"/>
      <c r="Q1498" s="1436"/>
      <c r="R1498" s="1436"/>
      <c r="S1498" s="1436"/>
      <c r="T1498" s="1436"/>
      <c r="U1498" s="1436"/>
      <c r="V1498" s="1436"/>
      <c r="W1498" s="1436"/>
      <c r="X1498" s="1436"/>
      <c r="Y1498" s="1436"/>
      <c r="Z1498" s="1436"/>
      <c r="AA1498" s="1436"/>
      <c r="AB1498" s="1436"/>
      <c r="AC1498" s="1436"/>
      <c r="AD1498" s="1436"/>
      <c r="AE1498" s="1436"/>
      <c r="AF1498" s="1436"/>
    </row>
    <row r="1499" spans="1:32">
      <c r="A1499" s="1436"/>
      <c r="B1499" s="1436"/>
      <c r="C1499" s="1436"/>
      <c r="D1499" s="1436"/>
      <c r="E1499" s="1436"/>
      <c r="F1499" s="1436"/>
      <c r="G1499" s="1436"/>
      <c r="H1499" s="1436"/>
      <c r="I1499" s="1436"/>
      <c r="J1499" s="1436"/>
      <c r="K1499" s="1436"/>
      <c r="L1499" s="1436"/>
      <c r="M1499" s="1436"/>
      <c r="N1499" s="1436"/>
      <c r="O1499" s="1436"/>
      <c r="P1499" s="1436"/>
      <c r="Q1499" s="1436"/>
      <c r="R1499" s="1436"/>
      <c r="S1499" s="1436"/>
      <c r="T1499" s="1436"/>
      <c r="U1499" s="1436"/>
      <c r="V1499" s="1436"/>
      <c r="W1499" s="1436"/>
      <c r="X1499" s="1436"/>
      <c r="Y1499" s="1436"/>
      <c r="Z1499" s="1436"/>
      <c r="AA1499" s="1436"/>
      <c r="AB1499" s="1436"/>
      <c r="AC1499" s="1436"/>
      <c r="AD1499" s="1436"/>
      <c r="AE1499" s="1436"/>
      <c r="AF1499" s="1436"/>
    </row>
    <row r="1500" spans="1:32">
      <c r="A1500" s="1436"/>
      <c r="B1500" s="1436"/>
      <c r="C1500" s="1436"/>
      <c r="D1500" s="1436"/>
      <c r="E1500" s="1436"/>
      <c r="F1500" s="1436"/>
      <c r="G1500" s="1436"/>
      <c r="H1500" s="1436"/>
      <c r="I1500" s="1436"/>
      <c r="J1500" s="1436"/>
      <c r="K1500" s="1436"/>
      <c r="L1500" s="1436"/>
      <c r="M1500" s="1436"/>
      <c r="N1500" s="1436"/>
      <c r="O1500" s="1436"/>
      <c r="P1500" s="1436"/>
      <c r="Q1500" s="1436"/>
      <c r="R1500" s="1436"/>
      <c r="S1500" s="1436"/>
      <c r="T1500" s="1436"/>
      <c r="U1500" s="1436"/>
      <c r="V1500" s="1436"/>
      <c r="W1500" s="1436"/>
      <c r="X1500" s="1436"/>
      <c r="Y1500" s="1436"/>
      <c r="Z1500" s="1436"/>
      <c r="AA1500" s="1436"/>
      <c r="AB1500" s="1436"/>
      <c r="AC1500" s="1436"/>
      <c r="AD1500" s="1436"/>
      <c r="AE1500" s="1436"/>
      <c r="AF1500" s="1436"/>
    </row>
    <row r="1501" spans="1:32">
      <c r="A1501" s="1436"/>
      <c r="B1501" s="1436"/>
      <c r="C1501" s="1436"/>
      <c r="D1501" s="1436"/>
      <c r="E1501" s="1436"/>
      <c r="F1501" s="1436"/>
      <c r="G1501" s="1436"/>
      <c r="H1501" s="1436"/>
      <c r="I1501" s="1436"/>
      <c r="J1501" s="1436"/>
      <c r="K1501" s="1436"/>
      <c r="L1501" s="1436"/>
      <c r="M1501" s="1436"/>
      <c r="N1501" s="1436"/>
      <c r="O1501" s="1436"/>
      <c r="P1501" s="1436"/>
      <c r="Q1501" s="1436"/>
      <c r="R1501" s="1436"/>
      <c r="S1501" s="1436"/>
      <c r="T1501" s="1436"/>
      <c r="U1501" s="1436"/>
      <c r="V1501" s="1436"/>
      <c r="W1501" s="1436"/>
      <c r="X1501" s="1436"/>
      <c r="Y1501" s="1436"/>
      <c r="Z1501" s="1436"/>
      <c r="AA1501" s="1436"/>
      <c r="AB1501" s="1436"/>
      <c r="AC1501" s="1436"/>
      <c r="AD1501" s="1436"/>
      <c r="AE1501" s="1436"/>
      <c r="AF1501" s="1436"/>
    </row>
    <row r="1502" spans="1:32">
      <c r="A1502" s="1436"/>
      <c r="B1502" s="1436"/>
      <c r="C1502" s="1436"/>
      <c r="D1502" s="1436"/>
      <c r="E1502" s="1436"/>
      <c r="F1502" s="1436"/>
      <c r="G1502" s="1436"/>
      <c r="H1502" s="1436"/>
      <c r="I1502" s="1436"/>
      <c r="J1502" s="1436"/>
      <c r="K1502" s="1436"/>
      <c r="L1502" s="1436"/>
      <c r="M1502" s="1436"/>
      <c r="N1502" s="1436"/>
      <c r="O1502" s="1436"/>
      <c r="P1502" s="1436"/>
      <c r="Q1502" s="1436"/>
      <c r="R1502" s="1436"/>
      <c r="S1502" s="1436"/>
      <c r="T1502" s="1436"/>
      <c r="U1502" s="1436"/>
      <c r="V1502" s="1436"/>
      <c r="W1502" s="1436"/>
      <c r="X1502" s="1436"/>
      <c r="Y1502" s="1436"/>
      <c r="Z1502" s="1436"/>
      <c r="AA1502" s="1436"/>
      <c r="AB1502" s="1436"/>
      <c r="AC1502" s="1436"/>
      <c r="AD1502" s="1436"/>
      <c r="AE1502" s="1436"/>
      <c r="AF1502" s="1436"/>
    </row>
    <row r="1503" spans="1:32">
      <c r="A1503" s="1436"/>
      <c r="B1503" s="1436"/>
      <c r="C1503" s="1436"/>
      <c r="D1503" s="1436"/>
      <c r="E1503" s="1436"/>
      <c r="F1503" s="1436"/>
      <c r="G1503" s="1436"/>
      <c r="H1503" s="1436"/>
      <c r="I1503" s="1436"/>
      <c r="J1503" s="1436"/>
      <c r="K1503" s="1436"/>
      <c r="L1503" s="1436"/>
      <c r="M1503" s="1436"/>
      <c r="N1503" s="1436"/>
      <c r="O1503" s="1436"/>
      <c r="P1503" s="1436"/>
      <c r="Q1503" s="1436"/>
      <c r="R1503" s="1436"/>
      <c r="S1503" s="1436"/>
      <c r="T1503" s="1436"/>
      <c r="U1503" s="1436"/>
      <c r="V1503" s="1436"/>
      <c r="W1503" s="1436"/>
      <c r="X1503" s="1436"/>
      <c r="Y1503" s="1436"/>
      <c r="Z1503" s="1436"/>
      <c r="AA1503" s="1436"/>
      <c r="AB1503" s="1436"/>
      <c r="AC1503" s="1436"/>
      <c r="AD1503" s="1436"/>
      <c r="AE1503" s="1436"/>
      <c r="AF1503" s="1436"/>
    </row>
    <row r="1504" spans="1:32">
      <c r="A1504" s="1436"/>
      <c r="B1504" s="1436"/>
      <c r="C1504" s="1436"/>
      <c r="D1504" s="1436"/>
      <c r="E1504" s="1436"/>
      <c r="F1504" s="1436"/>
      <c r="G1504" s="1436"/>
      <c r="H1504" s="1436"/>
      <c r="I1504" s="1436"/>
      <c r="J1504" s="1436"/>
      <c r="K1504" s="1436"/>
      <c r="L1504" s="1436"/>
      <c r="M1504" s="1436"/>
      <c r="N1504" s="1436"/>
      <c r="O1504" s="1436"/>
      <c r="P1504" s="1436"/>
      <c r="Q1504" s="1436"/>
      <c r="R1504" s="1436"/>
      <c r="S1504" s="1436"/>
      <c r="T1504" s="1436"/>
      <c r="U1504" s="1436"/>
      <c r="V1504" s="1436"/>
      <c r="W1504" s="1436"/>
      <c r="X1504" s="1436"/>
      <c r="Y1504" s="1436"/>
      <c r="Z1504" s="1436"/>
      <c r="AA1504" s="1436"/>
      <c r="AB1504" s="1436"/>
      <c r="AC1504" s="1436"/>
      <c r="AD1504" s="1436"/>
      <c r="AE1504" s="1436"/>
      <c r="AF1504" s="1436"/>
    </row>
    <row r="1505" spans="1:32">
      <c r="A1505" s="1436"/>
      <c r="B1505" s="1436"/>
      <c r="C1505" s="1436"/>
      <c r="D1505" s="1436"/>
      <c r="E1505" s="1436"/>
      <c r="F1505" s="1436"/>
      <c r="G1505" s="1436"/>
      <c r="H1505" s="1436"/>
      <c r="I1505" s="1436"/>
      <c r="J1505" s="1436"/>
      <c r="K1505" s="1436"/>
      <c r="L1505" s="1436"/>
      <c r="M1505" s="1436"/>
      <c r="N1505" s="1436"/>
      <c r="O1505" s="1436"/>
      <c r="P1505" s="1436"/>
      <c r="Q1505" s="1436"/>
      <c r="R1505" s="1436"/>
      <c r="S1505" s="1436"/>
      <c r="T1505" s="1436"/>
      <c r="U1505" s="1436"/>
      <c r="V1505" s="1436"/>
      <c r="W1505" s="1436"/>
      <c r="X1505" s="1436"/>
      <c r="Y1505" s="1436"/>
      <c r="Z1505" s="1436"/>
      <c r="AA1505" s="1436"/>
      <c r="AB1505" s="1436"/>
      <c r="AC1505" s="1436"/>
      <c r="AD1505" s="1436"/>
      <c r="AE1505" s="1436"/>
      <c r="AF1505" s="1436"/>
    </row>
    <row r="1506" spans="1:32">
      <c r="A1506" s="1436"/>
      <c r="B1506" s="1436"/>
      <c r="C1506" s="1436"/>
      <c r="D1506" s="1436"/>
      <c r="E1506" s="1436"/>
      <c r="F1506" s="1436"/>
      <c r="G1506" s="1436"/>
      <c r="H1506" s="1436"/>
      <c r="I1506" s="1436"/>
      <c r="J1506" s="1436"/>
      <c r="K1506" s="1436"/>
      <c r="L1506" s="1436"/>
      <c r="M1506" s="1436"/>
      <c r="N1506" s="1436"/>
      <c r="O1506" s="1436"/>
      <c r="P1506" s="1436"/>
      <c r="Q1506" s="1436"/>
      <c r="R1506" s="1436"/>
      <c r="S1506" s="1436"/>
      <c r="T1506" s="1436"/>
      <c r="U1506" s="1436"/>
      <c r="V1506" s="1436"/>
      <c r="W1506" s="1436"/>
      <c r="X1506" s="1436"/>
      <c r="Y1506" s="1436"/>
      <c r="Z1506" s="1436"/>
      <c r="AA1506" s="1436"/>
      <c r="AB1506" s="1436"/>
      <c r="AC1506" s="1436"/>
      <c r="AD1506" s="1436"/>
      <c r="AE1506" s="1436"/>
      <c r="AF1506" s="1436"/>
    </row>
    <row r="1507" spans="1:32">
      <c r="A1507" s="1436"/>
      <c r="B1507" s="1436"/>
      <c r="C1507" s="1436"/>
      <c r="D1507" s="1436"/>
      <c r="E1507" s="1436"/>
      <c r="F1507" s="1436"/>
      <c r="G1507" s="1436"/>
      <c r="H1507" s="1436"/>
      <c r="I1507" s="1436"/>
      <c r="J1507" s="1436"/>
      <c r="K1507" s="1436"/>
      <c r="L1507" s="1436"/>
      <c r="M1507" s="1436"/>
      <c r="N1507" s="1436"/>
      <c r="O1507" s="1436"/>
      <c r="P1507" s="1436"/>
      <c r="Q1507" s="1436"/>
      <c r="R1507" s="1436"/>
      <c r="S1507" s="1436"/>
      <c r="T1507" s="1436"/>
      <c r="U1507" s="1436"/>
      <c r="V1507" s="1436"/>
      <c r="W1507" s="1436"/>
      <c r="X1507" s="1436"/>
      <c r="Y1507" s="1436"/>
      <c r="Z1507" s="1436"/>
      <c r="AA1507" s="1436"/>
      <c r="AB1507" s="1436"/>
      <c r="AC1507" s="1436"/>
      <c r="AD1507" s="1436"/>
      <c r="AE1507" s="1436"/>
      <c r="AF1507" s="1436"/>
    </row>
    <row r="1508" spans="1:32">
      <c r="A1508" s="1436"/>
      <c r="B1508" s="1436"/>
      <c r="C1508" s="1436"/>
      <c r="D1508" s="1436"/>
      <c r="E1508" s="1436"/>
      <c r="F1508" s="1436"/>
      <c r="G1508" s="1436"/>
      <c r="H1508" s="1436"/>
      <c r="I1508" s="1436"/>
      <c r="J1508" s="1436"/>
      <c r="K1508" s="1436"/>
      <c r="L1508" s="1436"/>
      <c r="M1508" s="1436"/>
      <c r="N1508" s="1436"/>
      <c r="O1508" s="1436"/>
      <c r="P1508" s="1436"/>
      <c r="Q1508" s="1436"/>
      <c r="R1508" s="1436"/>
      <c r="S1508" s="1436"/>
      <c r="T1508" s="1436"/>
      <c r="U1508" s="1436"/>
      <c r="V1508" s="1436"/>
      <c r="W1508" s="1436"/>
      <c r="X1508" s="1436"/>
      <c r="Y1508" s="1436"/>
      <c r="Z1508" s="1436"/>
      <c r="AA1508" s="1436"/>
      <c r="AB1508" s="1436"/>
      <c r="AC1508" s="1436"/>
      <c r="AD1508" s="1436"/>
      <c r="AE1508" s="1436"/>
      <c r="AF1508" s="1436"/>
    </row>
    <row r="1509" spans="1:32">
      <c r="A1509" s="1436"/>
      <c r="B1509" s="1436"/>
      <c r="C1509" s="1436"/>
      <c r="D1509" s="1436"/>
      <c r="E1509" s="1436"/>
      <c r="F1509" s="1436"/>
      <c r="G1509" s="1436"/>
      <c r="H1509" s="1436"/>
      <c r="I1509" s="1436"/>
      <c r="J1509" s="1436"/>
      <c r="K1509" s="1436"/>
      <c r="L1509" s="1436"/>
      <c r="M1509" s="1436"/>
      <c r="N1509" s="1436"/>
      <c r="O1509" s="1436"/>
      <c r="P1509" s="1436"/>
      <c r="Q1509" s="1436"/>
      <c r="R1509" s="1436"/>
      <c r="S1509" s="1436"/>
      <c r="T1509" s="1436"/>
      <c r="U1509" s="1436"/>
      <c r="V1509" s="1436"/>
      <c r="W1509" s="1436"/>
      <c r="X1509" s="1436"/>
      <c r="Y1509" s="1436"/>
      <c r="Z1509" s="1436"/>
      <c r="AA1509" s="1436"/>
      <c r="AB1509" s="1436"/>
      <c r="AC1509" s="1436"/>
      <c r="AD1509" s="1436"/>
      <c r="AE1509" s="1436"/>
      <c r="AF1509" s="1436"/>
    </row>
    <row r="1510" spans="1:32">
      <c r="A1510" s="1436"/>
      <c r="B1510" s="1436"/>
      <c r="C1510" s="1436"/>
      <c r="D1510" s="1436"/>
      <c r="E1510" s="1436"/>
      <c r="F1510" s="1436"/>
      <c r="G1510" s="1436"/>
      <c r="H1510" s="1436"/>
      <c r="I1510" s="1436"/>
      <c r="J1510" s="1436"/>
      <c r="K1510" s="1436"/>
      <c r="L1510" s="1436"/>
      <c r="M1510" s="1436"/>
      <c r="N1510" s="1436"/>
      <c r="O1510" s="1436"/>
      <c r="P1510" s="1436"/>
      <c r="Q1510" s="1436"/>
      <c r="R1510" s="1436"/>
      <c r="S1510" s="1436"/>
      <c r="T1510" s="1436"/>
      <c r="U1510" s="1436"/>
      <c r="V1510" s="1436"/>
      <c r="W1510" s="1436"/>
      <c r="X1510" s="1436"/>
      <c r="Y1510" s="1436"/>
      <c r="Z1510" s="1436"/>
      <c r="AA1510" s="1436"/>
      <c r="AB1510" s="1436"/>
      <c r="AC1510" s="1436"/>
      <c r="AD1510" s="1436"/>
      <c r="AE1510" s="1436"/>
      <c r="AF1510" s="1436"/>
    </row>
    <row r="1511" spans="1:32">
      <c r="A1511" s="1436"/>
      <c r="B1511" s="1436"/>
      <c r="C1511" s="1436"/>
      <c r="D1511" s="1436"/>
      <c r="E1511" s="1436"/>
      <c r="F1511" s="1436"/>
      <c r="G1511" s="1436"/>
      <c r="H1511" s="1436"/>
      <c r="I1511" s="1436"/>
      <c r="J1511" s="1436"/>
      <c r="K1511" s="1436"/>
      <c r="L1511" s="1436"/>
      <c r="M1511" s="1436"/>
      <c r="N1511" s="1436"/>
      <c r="O1511" s="1436"/>
      <c r="P1511" s="1436"/>
      <c r="Q1511" s="1436"/>
      <c r="R1511" s="1436"/>
      <c r="S1511" s="1436"/>
      <c r="T1511" s="1436"/>
      <c r="U1511" s="1436"/>
      <c r="V1511" s="1436"/>
      <c r="W1511" s="1436"/>
      <c r="X1511" s="1436"/>
      <c r="Y1511" s="1436"/>
      <c r="Z1511" s="1436"/>
      <c r="AA1511" s="1436"/>
      <c r="AB1511" s="1436"/>
      <c r="AC1511" s="1436"/>
      <c r="AD1511" s="1436"/>
      <c r="AE1511" s="1436"/>
      <c r="AF1511" s="1436"/>
    </row>
    <row r="1512" spans="1:32">
      <c r="A1512" s="1436"/>
      <c r="B1512" s="1436"/>
      <c r="C1512" s="1436"/>
      <c r="D1512" s="1436"/>
      <c r="E1512" s="1436"/>
      <c r="F1512" s="1436"/>
      <c r="G1512" s="1436"/>
      <c r="H1512" s="1436"/>
      <c r="I1512" s="1436"/>
      <c r="J1512" s="1436"/>
      <c r="K1512" s="1436"/>
      <c r="L1512" s="1436"/>
      <c r="M1512" s="1436"/>
      <c r="N1512" s="1436"/>
      <c r="O1512" s="1436"/>
      <c r="P1512" s="1436"/>
      <c r="Q1512" s="1436"/>
      <c r="R1512" s="1436"/>
      <c r="S1512" s="1436"/>
      <c r="T1512" s="1436"/>
      <c r="U1512" s="1436"/>
      <c r="V1512" s="1436"/>
      <c r="W1512" s="1436"/>
      <c r="X1512" s="1436"/>
      <c r="Y1512" s="1436"/>
      <c r="Z1512" s="1436"/>
      <c r="AA1512" s="1436"/>
      <c r="AB1512" s="1436"/>
      <c r="AC1512" s="1436"/>
      <c r="AD1512" s="1436"/>
      <c r="AE1512" s="1436"/>
      <c r="AF1512" s="1436"/>
    </row>
    <row r="1513" spans="1:32">
      <c r="A1513" s="1436"/>
      <c r="B1513" s="1436"/>
      <c r="C1513" s="1436"/>
      <c r="D1513" s="1436"/>
      <c r="E1513" s="1436"/>
      <c r="F1513" s="1436"/>
      <c r="G1513" s="1436"/>
      <c r="H1513" s="1436"/>
      <c r="I1513" s="1436"/>
      <c r="J1513" s="1436"/>
      <c r="K1513" s="1436"/>
      <c r="L1513" s="1436"/>
      <c r="M1513" s="1436"/>
      <c r="N1513" s="1436"/>
      <c r="O1513" s="1436"/>
      <c r="P1513" s="1436"/>
      <c r="Q1513" s="1436"/>
      <c r="R1513" s="1436"/>
      <c r="S1513" s="1436"/>
      <c r="T1513" s="1436"/>
      <c r="U1513" s="1436"/>
      <c r="V1513" s="1436"/>
      <c r="W1513" s="1436"/>
      <c r="X1513" s="1436"/>
      <c r="Y1513" s="1436"/>
      <c r="Z1513" s="1436"/>
      <c r="AA1513" s="1436"/>
      <c r="AB1513" s="1436"/>
      <c r="AC1513" s="1436"/>
      <c r="AD1513" s="1436"/>
      <c r="AE1513" s="1436"/>
      <c r="AF1513" s="1436"/>
    </row>
    <row r="1514" spans="1:32">
      <c r="A1514" s="1436"/>
      <c r="B1514" s="1436"/>
      <c r="C1514" s="1436"/>
      <c r="D1514" s="1436"/>
      <c r="E1514" s="1436"/>
      <c r="F1514" s="1436"/>
      <c r="G1514" s="1436"/>
      <c r="H1514" s="1436"/>
      <c r="I1514" s="1436"/>
      <c r="J1514" s="1436"/>
      <c r="K1514" s="1436"/>
      <c r="L1514" s="1436"/>
      <c r="M1514" s="1436"/>
      <c r="N1514" s="1436"/>
      <c r="O1514" s="1436"/>
      <c r="P1514" s="1436"/>
      <c r="Q1514" s="1436"/>
      <c r="R1514" s="1436"/>
      <c r="S1514" s="1436"/>
      <c r="T1514" s="1436"/>
      <c r="U1514" s="1436"/>
      <c r="V1514" s="1436"/>
      <c r="W1514" s="1436"/>
      <c r="X1514" s="1436"/>
      <c r="Y1514" s="1436"/>
      <c r="Z1514" s="1436"/>
      <c r="AA1514" s="1436"/>
      <c r="AB1514" s="1436"/>
      <c r="AC1514" s="1436"/>
      <c r="AD1514" s="1436"/>
      <c r="AE1514" s="1436"/>
      <c r="AF1514" s="1436"/>
    </row>
    <row r="1515" spans="1:32">
      <c r="A1515" s="1436"/>
      <c r="B1515" s="1436"/>
      <c r="C1515" s="1436"/>
      <c r="D1515" s="1436"/>
      <c r="E1515" s="1436"/>
      <c r="F1515" s="1436"/>
      <c r="G1515" s="1436"/>
      <c r="H1515" s="1436"/>
      <c r="I1515" s="1436"/>
      <c r="J1515" s="1436"/>
      <c r="K1515" s="1436"/>
      <c r="L1515" s="1436"/>
      <c r="M1515" s="1436"/>
      <c r="N1515" s="1436"/>
      <c r="O1515" s="1436"/>
      <c r="P1515" s="1436"/>
      <c r="Q1515" s="1436"/>
      <c r="R1515" s="1436"/>
      <c r="S1515" s="1436"/>
      <c r="T1515" s="1436"/>
      <c r="U1515" s="1436"/>
      <c r="V1515" s="1436"/>
      <c r="W1515" s="1436"/>
      <c r="X1515" s="1436"/>
      <c r="Y1515" s="1436"/>
      <c r="Z1515" s="1436"/>
      <c r="AA1515" s="1436"/>
      <c r="AB1515" s="1436"/>
      <c r="AC1515" s="1436"/>
      <c r="AD1515" s="1436"/>
      <c r="AE1515" s="1436"/>
      <c r="AF1515" s="1436"/>
    </row>
    <row r="1516" spans="1:32">
      <c r="A1516" s="1436"/>
      <c r="B1516" s="1436"/>
      <c r="C1516" s="1436"/>
      <c r="D1516" s="1436"/>
      <c r="E1516" s="1436"/>
      <c r="F1516" s="1436"/>
      <c r="G1516" s="1436"/>
      <c r="H1516" s="1436"/>
      <c r="I1516" s="1436"/>
      <c r="J1516" s="1436"/>
      <c r="K1516" s="1436"/>
      <c r="L1516" s="1436"/>
      <c r="M1516" s="1436"/>
      <c r="N1516" s="1436"/>
      <c r="O1516" s="1436"/>
      <c r="P1516" s="1436"/>
      <c r="Q1516" s="1436"/>
      <c r="R1516" s="1436"/>
      <c r="S1516" s="1436"/>
      <c r="T1516" s="1436"/>
      <c r="U1516" s="1436"/>
      <c r="V1516" s="1436"/>
      <c r="W1516" s="1436"/>
      <c r="X1516" s="1436"/>
      <c r="Y1516" s="1436"/>
      <c r="Z1516" s="1436"/>
      <c r="AA1516" s="1436"/>
      <c r="AB1516" s="1436"/>
      <c r="AC1516" s="1436"/>
      <c r="AD1516" s="1436"/>
      <c r="AE1516" s="1436"/>
      <c r="AF1516" s="1436"/>
    </row>
    <row r="1517" spans="1:32">
      <c r="A1517" s="1436"/>
      <c r="B1517" s="1436"/>
      <c r="C1517" s="1436"/>
      <c r="D1517" s="1436"/>
      <c r="E1517" s="1436"/>
      <c r="F1517" s="1436"/>
      <c r="G1517" s="1436"/>
      <c r="H1517" s="1436"/>
      <c r="I1517" s="1436"/>
      <c r="J1517" s="1436"/>
      <c r="K1517" s="1436"/>
      <c r="L1517" s="1436"/>
      <c r="M1517" s="1436"/>
      <c r="N1517" s="1436"/>
      <c r="O1517" s="1436"/>
      <c r="P1517" s="1436"/>
      <c r="Q1517" s="1436"/>
      <c r="R1517" s="1436"/>
      <c r="S1517" s="1436"/>
      <c r="T1517" s="1436"/>
      <c r="U1517" s="1436"/>
      <c r="V1517" s="1436"/>
      <c r="W1517" s="1436"/>
      <c r="X1517" s="1436"/>
      <c r="Y1517" s="1436"/>
      <c r="Z1517" s="1436"/>
      <c r="AA1517" s="1436"/>
      <c r="AB1517" s="1436"/>
      <c r="AC1517" s="1436"/>
      <c r="AD1517" s="1436"/>
      <c r="AE1517" s="1436"/>
      <c r="AF1517" s="1436"/>
    </row>
    <row r="1518" spans="1:32">
      <c r="A1518" s="1436"/>
      <c r="B1518" s="1436"/>
      <c r="C1518" s="1436"/>
      <c r="D1518" s="1436"/>
      <c r="E1518" s="1436"/>
      <c r="F1518" s="1436"/>
      <c r="G1518" s="1436"/>
      <c r="H1518" s="1436"/>
      <c r="I1518" s="1436"/>
      <c r="J1518" s="1436"/>
      <c r="K1518" s="1436"/>
      <c r="L1518" s="1436"/>
      <c r="M1518" s="1436"/>
      <c r="N1518" s="1436"/>
      <c r="O1518" s="1436"/>
      <c r="P1518" s="1436"/>
      <c r="Q1518" s="1436"/>
      <c r="R1518" s="1436"/>
      <c r="S1518" s="1436"/>
      <c r="T1518" s="1436"/>
      <c r="U1518" s="1436"/>
      <c r="V1518" s="1436"/>
      <c r="W1518" s="1436"/>
      <c r="X1518" s="1436"/>
      <c r="Y1518" s="1436"/>
      <c r="Z1518" s="1436"/>
      <c r="AA1518" s="1436"/>
      <c r="AB1518" s="1436"/>
      <c r="AC1518" s="1436"/>
      <c r="AD1518" s="1436"/>
      <c r="AE1518" s="1436"/>
      <c r="AF1518" s="1436"/>
    </row>
    <row r="1519" spans="1:32">
      <c r="A1519" s="1436"/>
      <c r="B1519" s="1436"/>
      <c r="C1519" s="1436"/>
      <c r="D1519" s="1436"/>
      <c r="E1519" s="1436"/>
      <c r="F1519" s="1436"/>
      <c r="G1519" s="1436"/>
      <c r="H1519" s="1436"/>
      <c r="I1519" s="1436"/>
      <c r="J1519" s="1436"/>
      <c r="K1519" s="1436"/>
      <c r="L1519" s="1436"/>
      <c r="M1519" s="1436"/>
      <c r="N1519" s="1436"/>
      <c r="O1519" s="1436"/>
      <c r="P1519" s="1436"/>
      <c r="Q1519" s="1436"/>
      <c r="R1519" s="1436"/>
      <c r="S1519" s="1436"/>
      <c r="T1519" s="1436"/>
      <c r="U1519" s="1436"/>
      <c r="V1519" s="1436"/>
      <c r="W1519" s="1436"/>
      <c r="X1519" s="1436"/>
      <c r="Y1519" s="1436"/>
      <c r="Z1519" s="1436"/>
      <c r="AA1519" s="1436"/>
      <c r="AB1519" s="1436"/>
      <c r="AC1519" s="1436"/>
      <c r="AD1519" s="1436"/>
      <c r="AE1519" s="1436"/>
      <c r="AF1519" s="1436"/>
    </row>
    <row r="1520" spans="1:32">
      <c r="A1520" s="1436"/>
      <c r="B1520" s="1436"/>
      <c r="C1520" s="1436"/>
      <c r="D1520" s="1436"/>
      <c r="E1520" s="1436"/>
      <c r="F1520" s="1436"/>
      <c r="G1520" s="1436"/>
      <c r="H1520" s="1436"/>
      <c r="I1520" s="1436"/>
      <c r="J1520" s="1436"/>
      <c r="K1520" s="1436"/>
      <c r="L1520" s="1436"/>
      <c r="M1520" s="1436"/>
      <c r="N1520" s="1436"/>
      <c r="O1520" s="1436"/>
      <c r="P1520" s="1436"/>
      <c r="Q1520" s="1436"/>
      <c r="R1520" s="1436"/>
      <c r="S1520" s="1436"/>
      <c r="T1520" s="1436"/>
      <c r="U1520" s="1436"/>
      <c r="V1520" s="1436"/>
      <c r="W1520" s="1436"/>
      <c r="X1520" s="1436"/>
      <c r="Y1520" s="1436"/>
      <c r="Z1520" s="1436"/>
      <c r="AA1520" s="1436"/>
      <c r="AB1520" s="1436"/>
      <c r="AC1520" s="1436"/>
      <c r="AD1520" s="1436"/>
      <c r="AE1520" s="1436"/>
      <c r="AF1520" s="1436"/>
    </row>
    <row r="1521" spans="1:32">
      <c r="A1521" s="1436"/>
      <c r="B1521" s="1436"/>
      <c r="C1521" s="1436"/>
      <c r="D1521" s="1436"/>
      <c r="E1521" s="1436"/>
      <c r="F1521" s="1436"/>
      <c r="G1521" s="1436"/>
      <c r="H1521" s="1436"/>
      <c r="I1521" s="1436"/>
      <c r="J1521" s="1436"/>
      <c r="K1521" s="1436"/>
      <c r="L1521" s="1436"/>
      <c r="M1521" s="1436"/>
      <c r="N1521" s="1436"/>
      <c r="O1521" s="1436"/>
      <c r="P1521" s="1436"/>
      <c r="Q1521" s="1436"/>
      <c r="R1521" s="1436"/>
      <c r="S1521" s="1436"/>
      <c r="T1521" s="1436"/>
      <c r="U1521" s="1436"/>
      <c r="V1521" s="1436"/>
      <c r="W1521" s="1436"/>
      <c r="X1521" s="1436"/>
      <c r="Y1521" s="1436"/>
      <c r="Z1521" s="1436"/>
      <c r="AA1521" s="1436"/>
      <c r="AB1521" s="1436"/>
      <c r="AC1521" s="1436"/>
      <c r="AD1521" s="1436"/>
      <c r="AE1521" s="1436"/>
      <c r="AF1521" s="1436"/>
    </row>
    <row r="1522" spans="1:32">
      <c r="A1522" s="1436"/>
      <c r="B1522" s="1436"/>
      <c r="C1522" s="1436"/>
      <c r="D1522" s="1436"/>
      <c r="E1522" s="1436"/>
      <c r="F1522" s="1436"/>
      <c r="G1522" s="1436"/>
      <c r="H1522" s="1436"/>
      <c r="I1522" s="1436"/>
      <c r="J1522" s="1436"/>
      <c r="K1522" s="1436"/>
      <c r="L1522" s="1436"/>
      <c r="M1522" s="1436"/>
      <c r="N1522" s="1436"/>
      <c r="O1522" s="1436"/>
      <c r="P1522" s="1436"/>
      <c r="Q1522" s="1436"/>
      <c r="R1522" s="1436"/>
      <c r="S1522" s="1436"/>
      <c r="T1522" s="1436"/>
      <c r="U1522" s="1436"/>
      <c r="V1522" s="1436"/>
      <c r="W1522" s="1436"/>
      <c r="X1522" s="1436"/>
      <c r="Y1522" s="1436"/>
      <c r="Z1522" s="1436"/>
      <c r="AA1522" s="1436"/>
      <c r="AB1522" s="1436"/>
      <c r="AC1522" s="1436"/>
      <c r="AD1522" s="1436"/>
      <c r="AE1522" s="1436"/>
      <c r="AF1522" s="1436"/>
    </row>
    <row r="1523" spans="1:32">
      <c r="A1523" s="1436"/>
      <c r="B1523" s="1436"/>
      <c r="C1523" s="1436"/>
      <c r="D1523" s="1436"/>
      <c r="E1523" s="1436"/>
      <c r="F1523" s="1436"/>
      <c r="G1523" s="1436"/>
      <c r="H1523" s="1436"/>
      <c r="I1523" s="1436"/>
      <c r="J1523" s="1436"/>
      <c r="K1523" s="1436"/>
      <c r="L1523" s="1436"/>
      <c r="M1523" s="1436"/>
      <c r="N1523" s="1436"/>
      <c r="O1523" s="1436"/>
      <c r="P1523" s="1436"/>
      <c r="Q1523" s="1436"/>
      <c r="R1523" s="1436"/>
      <c r="S1523" s="1436"/>
      <c r="T1523" s="1436"/>
      <c r="U1523" s="1436"/>
      <c r="V1523" s="1436"/>
      <c r="W1523" s="1436"/>
      <c r="X1523" s="1436"/>
      <c r="Y1523" s="1436"/>
      <c r="Z1523" s="1436"/>
      <c r="AA1523" s="1436"/>
      <c r="AB1523" s="1436"/>
      <c r="AC1523" s="1436"/>
      <c r="AD1523" s="1436"/>
      <c r="AE1523" s="1436"/>
      <c r="AF1523" s="1436"/>
    </row>
    <row r="1524" spans="1:32">
      <c r="A1524" s="1436"/>
      <c r="B1524" s="1436"/>
      <c r="C1524" s="1436"/>
      <c r="D1524" s="1436"/>
      <c r="E1524" s="1436"/>
      <c r="F1524" s="1436"/>
      <c r="G1524" s="1436"/>
      <c r="H1524" s="1436"/>
      <c r="I1524" s="1436"/>
      <c r="J1524" s="1436"/>
      <c r="K1524" s="1436"/>
      <c r="L1524" s="1436"/>
      <c r="M1524" s="1436"/>
      <c r="N1524" s="1436"/>
      <c r="O1524" s="1436"/>
      <c r="P1524" s="1436"/>
      <c r="Q1524" s="1436"/>
      <c r="R1524" s="1436"/>
      <c r="S1524" s="1436"/>
      <c r="T1524" s="1436"/>
      <c r="U1524" s="1436"/>
      <c r="V1524" s="1436"/>
      <c r="W1524" s="1436"/>
      <c r="X1524" s="1436"/>
      <c r="Y1524" s="1436"/>
      <c r="Z1524" s="1436"/>
      <c r="AA1524" s="1436"/>
      <c r="AB1524" s="1436"/>
      <c r="AC1524" s="1436"/>
      <c r="AD1524" s="1436"/>
      <c r="AE1524" s="1436"/>
      <c r="AF1524" s="1436"/>
    </row>
    <row r="1525" spans="1:32">
      <c r="A1525" s="1436"/>
      <c r="B1525" s="1436"/>
      <c r="C1525" s="1436"/>
      <c r="D1525" s="1436"/>
      <c r="E1525" s="1436"/>
      <c r="F1525" s="1436"/>
      <c r="G1525" s="1436"/>
      <c r="H1525" s="1436"/>
      <c r="I1525" s="1436"/>
      <c r="J1525" s="1436"/>
      <c r="K1525" s="1436"/>
      <c r="L1525" s="1436"/>
      <c r="M1525" s="1436"/>
      <c r="N1525" s="1436"/>
      <c r="O1525" s="1436"/>
      <c r="P1525" s="1436"/>
      <c r="Q1525" s="1436"/>
      <c r="R1525" s="1436"/>
      <c r="S1525" s="1436"/>
      <c r="T1525" s="1436"/>
      <c r="U1525" s="1436"/>
      <c r="V1525" s="1436"/>
      <c r="W1525" s="1436"/>
      <c r="X1525" s="1436"/>
      <c r="Y1525" s="1436"/>
      <c r="Z1525" s="1436"/>
      <c r="AA1525" s="1436"/>
      <c r="AB1525" s="1436"/>
      <c r="AC1525" s="1436"/>
      <c r="AD1525" s="1436"/>
      <c r="AE1525" s="1436"/>
      <c r="AF1525" s="1436"/>
    </row>
    <row r="1526" spans="1:32">
      <c r="A1526" s="1436"/>
      <c r="B1526" s="1436"/>
      <c r="C1526" s="1436"/>
      <c r="D1526" s="1436"/>
      <c r="E1526" s="1436"/>
      <c r="F1526" s="1436"/>
      <c r="G1526" s="1436"/>
      <c r="H1526" s="1436"/>
      <c r="I1526" s="1436"/>
      <c r="J1526" s="1436"/>
      <c r="K1526" s="1436"/>
      <c r="L1526" s="1436"/>
      <c r="M1526" s="1436"/>
      <c r="N1526" s="1436"/>
      <c r="O1526" s="1436"/>
      <c r="P1526" s="1436"/>
      <c r="Q1526" s="1436"/>
      <c r="R1526" s="1436"/>
      <c r="S1526" s="1436"/>
      <c r="T1526" s="1436"/>
      <c r="U1526" s="1436"/>
      <c r="V1526" s="1436"/>
      <c r="W1526" s="1436"/>
      <c r="X1526" s="1436"/>
      <c r="Y1526" s="1436"/>
      <c r="Z1526" s="1436"/>
      <c r="AA1526" s="1436"/>
      <c r="AB1526" s="1436"/>
      <c r="AC1526" s="1436"/>
      <c r="AD1526" s="1436"/>
      <c r="AE1526" s="1436"/>
      <c r="AF1526" s="1436"/>
    </row>
    <row r="1527" spans="1:32">
      <c r="A1527" s="1436"/>
      <c r="B1527" s="1436"/>
      <c r="C1527" s="1436"/>
      <c r="D1527" s="1436"/>
      <c r="E1527" s="1436"/>
      <c r="F1527" s="1436"/>
      <c r="G1527" s="1436"/>
      <c r="H1527" s="1436"/>
      <c r="I1527" s="1436"/>
      <c r="J1527" s="1436"/>
      <c r="K1527" s="1436"/>
      <c r="L1527" s="1436"/>
      <c r="M1527" s="1436"/>
      <c r="N1527" s="1436"/>
      <c r="O1527" s="1436"/>
      <c r="P1527" s="1436"/>
      <c r="Q1527" s="1436"/>
      <c r="R1527" s="1436"/>
      <c r="S1527" s="1436"/>
      <c r="T1527" s="1436"/>
      <c r="U1527" s="1436"/>
      <c r="V1527" s="1436"/>
      <c r="W1527" s="1436"/>
      <c r="X1527" s="1436"/>
      <c r="Y1527" s="1436"/>
      <c r="Z1527" s="1436"/>
      <c r="AA1527" s="1436"/>
      <c r="AB1527" s="1436"/>
      <c r="AC1527" s="1436"/>
      <c r="AD1527" s="1436"/>
      <c r="AE1527" s="1436"/>
      <c r="AF1527" s="1436"/>
    </row>
    <row r="1528" spans="1:32">
      <c r="A1528" s="1436"/>
      <c r="B1528" s="1436"/>
      <c r="C1528" s="1436"/>
      <c r="D1528" s="1436"/>
      <c r="E1528" s="1436"/>
      <c r="F1528" s="1436"/>
      <c r="G1528" s="1436"/>
      <c r="H1528" s="1436"/>
      <c r="I1528" s="1436"/>
      <c r="J1528" s="1436"/>
      <c r="K1528" s="1436"/>
      <c r="L1528" s="1436"/>
      <c r="M1528" s="1436"/>
      <c r="N1528" s="1436"/>
      <c r="O1528" s="1436"/>
      <c r="P1528" s="1436"/>
      <c r="Q1528" s="1436"/>
      <c r="R1528" s="1436"/>
      <c r="S1528" s="1436"/>
      <c r="T1528" s="1436"/>
      <c r="U1528" s="1436"/>
      <c r="V1528" s="1436"/>
      <c r="W1528" s="1436"/>
      <c r="X1528" s="1436"/>
      <c r="Y1528" s="1436"/>
      <c r="Z1528" s="1436"/>
      <c r="AA1528" s="1436"/>
      <c r="AB1528" s="1436"/>
      <c r="AC1528" s="1436"/>
      <c r="AD1528" s="1436"/>
      <c r="AE1528" s="1436"/>
      <c r="AF1528" s="1436"/>
    </row>
    <row r="1529" spans="1:32">
      <c r="A1529" s="1436"/>
      <c r="B1529" s="1436"/>
      <c r="C1529" s="1436"/>
      <c r="D1529" s="1436"/>
      <c r="E1529" s="1436"/>
      <c r="F1529" s="1436"/>
      <c r="G1529" s="1436"/>
      <c r="H1529" s="1436"/>
      <c r="I1529" s="1436"/>
      <c r="J1529" s="1436"/>
      <c r="K1529" s="1436"/>
      <c r="L1529" s="1436"/>
      <c r="M1529" s="1436"/>
      <c r="N1529" s="1436"/>
      <c r="O1529" s="1436"/>
      <c r="P1529" s="1436"/>
      <c r="Q1529" s="1436"/>
      <c r="R1529" s="1436"/>
      <c r="S1529" s="1436"/>
      <c r="T1529" s="1436"/>
      <c r="U1529" s="1436"/>
      <c r="V1529" s="1436"/>
      <c r="W1529" s="1436"/>
      <c r="X1529" s="1436"/>
      <c r="Y1529" s="1436"/>
      <c r="Z1529" s="1436"/>
      <c r="AA1529" s="1436"/>
      <c r="AB1529" s="1436"/>
      <c r="AC1529" s="1436"/>
      <c r="AD1529" s="1436"/>
      <c r="AE1529" s="1436"/>
      <c r="AF1529" s="1436"/>
    </row>
    <row r="1530" spans="1:32">
      <c r="A1530" s="1436"/>
      <c r="B1530" s="1436"/>
      <c r="C1530" s="1436"/>
      <c r="D1530" s="1436"/>
      <c r="E1530" s="1436"/>
      <c r="F1530" s="1436"/>
      <c r="G1530" s="1436"/>
      <c r="H1530" s="1436"/>
      <c r="I1530" s="1436"/>
      <c r="J1530" s="1436"/>
      <c r="K1530" s="1436"/>
      <c r="L1530" s="1436"/>
      <c r="M1530" s="1436"/>
      <c r="N1530" s="1436"/>
      <c r="O1530" s="1436"/>
      <c r="P1530" s="1436"/>
      <c r="Q1530" s="1436"/>
      <c r="R1530" s="1436"/>
      <c r="S1530" s="1436"/>
      <c r="T1530" s="1436"/>
      <c r="U1530" s="1436"/>
      <c r="V1530" s="1436"/>
      <c r="W1530" s="1436"/>
      <c r="X1530" s="1436"/>
      <c r="Y1530" s="1436"/>
      <c r="Z1530" s="1436"/>
      <c r="AA1530" s="1436"/>
      <c r="AB1530" s="1436"/>
      <c r="AC1530" s="1436"/>
      <c r="AD1530" s="1436"/>
      <c r="AE1530" s="1436"/>
      <c r="AF1530" s="1436"/>
    </row>
    <row r="1531" spans="1:32">
      <c r="A1531" s="1436"/>
      <c r="B1531" s="1436"/>
      <c r="C1531" s="1436"/>
      <c r="D1531" s="1436"/>
      <c r="E1531" s="1436"/>
      <c r="F1531" s="1436"/>
      <c r="G1531" s="1436"/>
      <c r="H1531" s="1436"/>
      <c r="I1531" s="1436"/>
      <c r="J1531" s="1436"/>
      <c r="K1531" s="1436"/>
      <c r="L1531" s="1436"/>
      <c r="M1531" s="1436"/>
      <c r="N1531" s="1436"/>
      <c r="O1531" s="1436"/>
      <c r="P1531" s="1436"/>
      <c r="Q1531" s="1436"/>
      <c r="R1531" s="1436"/>
      <c r="S1531" s="1436"/>
      <c r="T1531" s="1436"/>
      <c r="U1531" s="1436"/>
      <c r="V1531" s="1436"/>
      <c r="W1531" s="1436"/>
      <c r="X1531" s="1436"/>
      <c r="Y1531" s="1436"/>
      <c r="Z1531" s="1436"/>
      <c r="AA1531" s="1436"/>
      <c r="AB1531" s="1436"/>
      <c r="AC1531" s="1436"/>
      <c r="AD1531" s="1436"/>
      <c r="AE1531" s="1436"/>
      <c r="AF1531" s="1436"/>
    </row>
    <row r="1532" spans="1:32">
      <c r="A1532" s="1436"/>
      <c r="B1532" s="1436"/>
      <c r="C1532" s="1436"/>
      <c r="D1532" s="1436"/>
      <c r="E1532" s="1436"/>
      <c r="F1532" s="1436"/>
      <c r="G1532" s="1436"/>
      <c r="H1532" s="1436"/>
      <c r="I1532" s="1436"/>
      <c r="J1532" s="1436"/>
      <c r="K1532" s="1436"/>
      <c r="L1532" s="1436"/>
      <c r="M1532" s="1436"/>
      <c r="N1532" s="1436"/>
      <c r="O1532" s="1436"/>
      <c r="P1532" s="1436"/>
      <c r="Q1532" s="1436"/>
      <c r="R1532" s="1436"/>
      <c r="S1532" s="1436"/>
      <c r="T1532" s="1436"/>
      <c r="U1532" s="1436"/>
      <c r="V1532" s="1436"/>
      <c r="W1532" s="1436"/>
      <c r="X1532" s="1436"/>
      <c r="Y1532" s="1436"/>
      <c r="Z1532" s="1436"/>
      <c r="AA1532" s="1436"/>
      <c r="AB1532" s="1436"/>
      <c r="AC1532" s="1436"/>
      <c r="AD1532" s="1436"/>
      <c r="AE1532" s="1436"/>
      <c r="AF1532" s="1436"/>
    </row>
    <row r="1533" spans="1:32">
      <c r="A1533" s="1436"/>
      <c r="B1533" s="1436"/>
      <c r="C1533" s="1436"/>
      <c r="D1533" s="1436"/>
      <c r="E1533" s="1436"/>
      <c r="F1533" s="1436"/>
      <c r="G1533" s="1436"/>
      <c r="H1533" s="1436"/>
      <c r="I1533" s="1436"/>
      <c r="J1533" s="1436"/>
      <c r="K1533" s="1436"/>
      <c r="L1533" s="1436"/>
      <c r="M1533" s="1436"/>
      <c r="N1533" s="1436"/>
      <c r="O1533" s="1436"/>
      <c r="P1533" s="1436"/>
      <c r="Q1533" s="1436"/>
      <c r="R1533" s="1436"/>
      <c r="S1533" s="1436"/>
      <c r="T1533" s="1436"/>
      <c r="U1533" s="1436"/>
      <c r="V1533" s="1436"/>
      <c r="W1533" s="1436"/>
      <c r="X1533" s="1436"/>
      <c r="Y1533" s="1436"/>
      <c r="Z1533" s="1436"/>
      <c r="AA1533" s="1436"/>
      <c r="AB1533" s="1436"/>
      <c r="AC1533" s="1436"/>
      <c r="AD1533" s="1436"/>
      <c r="AE1533" s="1436"/>
      <c r="AF1533" s="1436"/>
    </row>
    <row r="1534" spans="1:32">
      <c r="A1534" s="1436"/>
      <c r="B1534" s="1436"/>
      <c r="C1534" s="1436"/>
      <c r="D1534" s="1436"/>
      <c r="E1534" s="1436"/>
      <c r="F1534" s="1436"/>
      <c r="G1534" s="1436"/>
      <c r="H1534" s="1436"/>
      <c r="I1534" s="1436"/>
      <c r="J1534" s="1436"/>
      <c r="K1534" s="1436"/>
      <c r="L1534" s="1436"/>
      <c r="M1534" s="1436"/>
      <c r="N1534" s="1436"/>
      <c r="O1534" s="1436"/>
      <c r="P1534" s="1436"/>
      <c r="Q1534" s="1436"/>
      <c r="R1534" s="1436"/>
      <c r="S1534" s="1436"/>
      <c r="T1534" s="1436"/>
      <c r="U1534" s="1436"/>
      <c r="V1534" s="1436"/>
      <c r="W1534" s="1436"/>
      <c r="X1534" s="1436"/>
      <c r="Y1534" s="1436"/>
      <c r="Z1534" s="1436"/>
      <c r="AA1534" s="1436"/>
      <c r="AB1534" s="1436"/>
      <c r="AC1534" s="1436"/>
      <c r="AD1534" s="1436"/>
      <c r="AE1534" s="1436"/>
      <c r="AF1534" s="1436"/>
    </row>
    <row r="1535" spans="1:32">
      <c r="A1535" s="1436"/>
      <c r="B1535" s="1436"/>
      <c r="C1535" s="1436"/>
      <c r="D1535" s="1436"/>
      <c r="E1535" s="1436"/>
      <c r="F1535" s="1436"/>
      <c r="G1535" s="1436"/>
      <c r="H1535" s="1436"/>
      <c r="I1535" s="1436"/>
      <c r="J1535" s="1436"/>
      <c r="K1535" s="1436"/>
      <c r="L1535" s="1436"/>
      <c r="M1535" s="1436"/>
      <c r="N1535" s="1436"/>
      <c r="O1535" s="1436"/>
      <c r="P1535" s="1436"/>
      <c r="Q1535" s="1436"/>
      <c r="R1535" s="1436"/>
      <c r="S1535" s="1436"/>
      <c r="T1535" s="1436"/>
      <c r="U1535" s="1436"/>
      <c r="V1535" s="1436"/>
      <c r="W1535" s="1436"/>
      <c r="X1535" s="1436"/>
      <c r="Y1535" s="1436"/>
      <c r="Z1535" s="1436"/>
      <c r="AA1535" s="1436"/>
      <c r="AB1535" s="1436"/>
      <c r="AC1535" s="1436"/>
      <c r="AD1535" s="1436"/>
      <c r="AE1535" s="1436"/>
      <c r="AF1535" s="1436"/>
    </row>
    <row r="1536" spans="1:32">
      <c r="A1536" s="1436"/>
      <c r="B1536" s="1436"/>
      <c r="C1536" s="1436"/>
      <c r="D1536" s="1436"/>
      <c r="E1536" s="1436"/>
      <c r="F1536" s="1436"/>
      <c r="G1536" s="1436"/>
      <c r="H1536" s="1436"/>
      <c r="I1536" s="1436"/>
      <c r="J1536" s="1436"/>
      <c r="K1536" s="1436"/>
      <c r="L1536" s="1436"/>
      <c r="M1536" s="1436"/>
      <c r="N1536" s="1436"/>
      <c r="O1536" s="1436"/>
      <c r="P1536" s="1436"/>
      <c r="Q1536" s="1436"/>
      <c r="R1536" s="1436"/>
      <c r="S1536" s="1436"/>
      <c r="T1536" s="1436"/>
      <c r="U1536" s="1436"/>
      <c r="V1536" s="1436"/>
      <c r="W1536" s="1436"/>
      <c r="X1536" s="1436"/>
      <c r="Y1536" s="1436"/>
      <c r="Z1536" s="1436"/>
      <c r="AA1536" s="1436"/>
      <c r="AB1536" s="1436"/>
      <c r="AC1536" s="1436"/>
      <c r="AD1536" s="1436"/>
      <c r="AE1536" s="1436"/>
      <c r="AF1536" s="1436"/>
    </row>
    <row r="1537" spans="1:32">
      <c r="A1537" s="1436"/>
      <c r="B1537" s="1436"/>
      <c r="C1537" s="1436"/>
      <c r="D1537" s="1436"/>
      <c r="E1537" s="1436"/>
      <c r="F1537" s="1436"/>
      <c r="G1537" s="1436"/>
      <c r="H1537" s="1436"/>
      <c r="I1537" s="1436"/>
      <c r="J1537" s="1436"/>
      <c r="K1537" s="1436"/>
      <c r="L1537" s="1436"/>
      <c r="M1537" s="1436"/>
      <c r="N1537" s="1436"/>
      <c r="O1537" s="1436"/>
      <c r="P1537" s="1436"/>
      <c r="Q1537" s="1436"/>
      <c r="R1537" s="1436"/>
      <c r="S1537" s="1436"/>
      <c r="T1537" s="1436"/>
      <c r="U1537" s="1436"/>
      <c r="V1537" s="1436"/>
      <c r="W1537" s="1436"/>
      <c r="X1537" s="1436"/>
      <c r="Y1537" s="1436"/>
      <c r="Z1537" s="1436"/>
      <c r="AA1537" s="1436"/>
      <c r="AB1537" s="1436"/>
      <c r="AC1537" s="1436"/>
      <c r="AD1537" s="1436"/>
      <c r="AE1537" s="1436"/>
      <c r="AF1537" s="1436"/>
    </row>
    <row r="1538" spans="1:32">
      <c r="A1538" s="1436"/>
      <c r="B1538" s="1436"/>
      <c r="C1538" s="1436"/>
      <c r="D1538" s="1436"/>
      <c r="E1538" s="1436"/>
      <c r="F1538" s="1436"/>
      <c r="G1538" s="1436"/>
      <c r="H1538" s="1436"/>
      <c r="I1538" s="1436"/>
      <c r="J1538" s="1436"/>
      <c r="K1538" s="1436"/>
      <c r="L1538" s="1436"/>
      <c r="M1538" s="1436"/>
      <c r="N1538" s="1436"/>
      <c r="O1538" s="1436"/>
      <c r="P1538" s="1436"/>
      <c r="Q1538" s="1436"/>
      <c r="R1538" s="1436"/>
      <c r="S1538" s="1436"/>
      <c r="T1538" s="1436"/>
      <c r="U1538" s="1436"/>
      <c r="V1538" s="1436"/>
      <c r="W1538" s="1436"/>
      <c r="X1538" s="1436"/>
      <c r="Y1538" s="1436"/>
      <c r="Z1538" s="1436"/>
      <c r="AA1538" s="1436"/>
      <c r="AB1538" s="1436"/>
      <c r="AC1538" s="1436"/>
      <c r="AD1538" s="1436"/>
      <c r="AE1538" s="1436"/>
      <c r="AF1538" s="1436"/>
    </row>
    <row r="1539" spans="1:32">
      <c r="A1539" s="1436"/>
      <c r="B1539" s="1436"/>
      <c r="C1539" s="1436"/>
      <c r="D1539" s="1436"/>
      <c r="E1539" s="1436"/>
      <c r="F1539" s="1436"/>
      <c r="G1539" s="1436"/>
      <c r="H1539" s="1436"/>
      <c r="I1539" s="1436"/>
      <c r="J1539" s="1436"/>
      <c r="K1539" s="1436"/>
      <c r="L1539" s="1436"/>
      <c r="M1539" s="1436"/>
      <c r="N1539" s="1436"/>
      <c r="O1539" s="1436"/>
      <c r="P1539" s="1436"/>
      <c r="Q1539" s="1436"/>
      <c r="R1539" s="1436"/>
      <c r="S1539" s="1436"/>
      <c r="T1539" s="1436"/>
      <c r="U1539" s="1436"/>
      <c r="V1539" s="1436"/>
      <c r="W1539" s="1436"/>
      <c r="X1539" s="1436"/>
      <c r="Y1539" s="1436"/>
      <c r="Z1539" s="1436"/>
      <c r="AA1539" s="1436"/>
      <c r="AB1539" s="1436"/>
      <c r="AC1539" s="1436"/>
      <c r="AD1539" s="1436"/>
      <c r="AE1539" s="1436"/>
      <c r="AF1539" s="1436"/>
    </row>
    <row r="1540" spans="1:32">
      <c r="A1540" s="1436"/>
      <c r="B1540" s="1436"/>
      <c r="C1540" s="1436"/>
      <c r="D1540" s="1436"/>
      <c r="E1540" s="1436"/>
      <c r="F1540" s="1436"/>
      <c r="G1540" s="1436"/>
      <c r="H1540" s="1436"/>
      <c r="I1540" s="1436"/>
      <c r="J1540" s="1436"/>
      <c r="K1540" s="1436"/>
      <c r="L1540" s="1436"/>
      <c r="M1540" s="1436"/>
      <c r="N1540" s="1436"/>
      <c r="O1540" s="1436"/>
      <c r="P1540" s="1436"/>
      <c r="Q1540" s="1436"/>
      <c r="R1540" s="1436"/>
      <c r="S1540" s="1436"/>
      <c r="T1540" s="1436"/>
      <c r="U1540" s="1436"/>
      <c r="V1540" s="1436"/>
      <c r="W1540" s="1436"/>
      <c r="X1540" s="1436"/>
      <c r="Y1540" s="1436"/>
      <c r="Z1540" s="1436"/>
      <c r="AA1540" s="1436"/>
      <c r="AB1540" s="1436"/>
      <c r="AC1540" s="1436"/>
      <c r="AD1540" s="1436"/>
      <c r="AE1540" s="1436"/>
      <c r="AF1540" s="1436"/>
    </row>
    <row r="1541" spans="1:32">
      <c r="A1541" s="1436"/>
      <c r="B1541" s="1436"/>
      <c r="C1541" s="1436"/>
      <c r="D1541" s="1436"/>
      <c r="E1541" s="1436"/>
      <c r="F1541" s="1436"/>
      <c r="G1541" s="1436"/>
      <c r="H1541" s="1436"/>
      <c r="I1541" s="1436"/>
      <c r="J1541" s="1436"/>
      <c r="K1541" s="1436"/>
      <c r="L1541" s="1436"/>
      <c r="M1541" s="1436"/>
      <c r="N1541" s="1436"/>
      <c r="O1541" s="1436"/>
      <c r="P1541" s="1436"/>
      <c r="Q1541" s="1436"/>
      <c r="R1541" s="1436"/>
      <c r="S1541" s="1436"/>
      <c r="T1541" s="1436"/>
      <c r="U1541" s="1436"/>
      <c r="V1541" s="1436"/>
      <c r="W1541" s="1436"/>
      <c r="X1541" s="1436"/>
      <c r="Y1541" s="1436"/>
      <c r="Z1541" s="1436"/>
      <c r="AA1541" s="1436"/>
      <c r="AB1541" s="1436"/>
      <c r="AC1541" s="1436"/>
      <c r="AD1541" s="1436"/>
      <c r="AE1541" s="1436"/>
      <c r="AF1541" s="1436"/>
    </row>
    <row r="1542" spans="1:32">
      <c r="A1542" s="1436"/>
      <c r="B1542" s="1436"/>
      <c r="C1542" s="1436"/>
      <c r="D1542" s="1436"/>
      <c r="E1542" s="1436"/>
      <c r="F1542" s="1436"/>
      <c r="G1542" s="1436"/>
      <c r="H1542" s="1436"/>
      <c r="I1542" s="1436"/>
      <c r="J1542" s="1436"/>
      <c r="K1542" s="1436"/>
      <c r="L1542" s="1436"/>
      <c r="M1542" s="1436"/>
      <c r="N1542" s="1436"/>
      <c r="O1542" s="1436"/>
      <c r="P1542" s="1436"/>
      <c r="Q1542" s="1436"/>
      <c r="R1542" s="1436"/>
      <c r="S1542" s="1436"/>
      <c r="T1542" s="1436"/>
      <c r="U1542" s="1436"/>
      <c r="V1542" s="1436"/>
      <c r="W1542" s="1436"/>
      <c r="X1542" s="1436"/>
      <c r="Y1542" s="1436"/>
      <c r="Z1542" s="1436"/>
      <c r="AA1542" s="1436"/>
      <c r="AB1542" s="1436"/>
      <c r="AC1542" s="1436"/>
      <c r="AD1542" s="1436"/>
      <c r="AE1542" s="1436"/>
      <c r="AF1542" s="1436"/>
    </row>
    <row r="1543" spans="1:32">
      <c r="A1543" s="1436"/>
      <c r="B1543" s="1436"/>
      <c r="C1543" s="1436"/>
      <c r="D1543" s="1436"/>
      <c r="E1543" s="1436"/>
      <c r="F1543" s="1436"/>
      <c r="G1543" s="1436"/>
      <c r="H1543" s="1436"/>
      <c r="I1543" s="1436"/>
      <c r="J1543" s="1436"/>
      <c r="K1543" s="1436"/>
      <c r="L1543" s="1436"/>
      <c r="M1543" s="1436"/>
      <c r="N1543" s="1436"/>
      <c r="O1543" s="1436"/>
      <c r="P1543" s="1436"/>
      <c r="Q1543" s="1436"/>
      <c r="R1543" s="1436"/>
      <c r="S1543" s="1436"/>
      <c r="T1543" s="1436"/>
      <c r="U1543" s="1436"/>
      <c r="V1543" s="1436"/>
      <c r="W1543" s="1436"/>
      <c r="X1543" s="1436"/>
      <c r="Y1543" s="1436"/>
      <c r="Z1543" s="1436"/>
      <c r="AA1543" s="1436"/>
      <c r="AB1543" s="1436"/>
      <c r="AC1543" s="1436"/>
      <c r="AD1543" s="1436"/>
      <c r="AE1543" s="1436"/>
      <c r="AF1543" s="1436"/>
    </row>
    <row r="1544" spans="1:32">
      <c r="A1544" s="1436"/>
      <c r="B1544" s="1436"/>
      <c r="C1544" s="1436"/>
      <c r="D1544" s="1436"/>
      <c r="E1544" s="1436"/>
      <c r="F1544" s="1436"/>
      <c r="G1544" s="1436"/>
      <c r="H1544" s="1436"/>
      <c r="I1544" s="1436"/>
      <c r="J1544" s="1436"/>
      <c r="K1544" s="1436"/>
      <c r="L1544" s="1436"/>
      <c r="M1544" s="1436"/>
      <c r="N1544" s="1436"/>
      <c r="O1544" s="1436"/>
      <c r="P1544" s="1436"/>
      <c r="Q1544" s="1436"/>
      <c r="R1544" s="1436"/>
      <c r="S1544" s="1436"/>
      <c r="T1544" s="1436"/>
      <c r="U1544" s="1436"/>
      <c r="V1544" s="1436"/>
      <c r="W1544" s="1436"/>
      <c r="X1544" s="1436"/>
      <c r="Y1544" s="1436"/>
      <c r="Z1544" s="1436"/>
      <c r="AA1544" s="1436"/>
      <c r="AB1544" s="1436"/>
      <c r="AC1544" s="1436"/>
      <c r="AD1544" s="1436"/>
      <c r="AE1544" s="1436"/>
      <c r="AF1544" s="1436"/>
    </row>
    <row r="1545" spans="1:32">
      <c r="A1545" s="1436"/>
      <c r="B1545" s="1436"/>
      <c r="C1545" s="1436"/>
      <c r="D1545" s="1436"/>
      <c r="E1545" s="1436"/>
      <c r="F1545" s="1436"/>
      <c r="G1545" s="1436"/>
      <c r="H1545" s="1436"/>
      <c r="I1545" s="1436"/>
      <c r="J1545" s="1436"/>
      <c r="K1545" s="1436"/>
      <c r="L1545" s="1436"/>
      <c r="M1545" s="1436"/>
      <c r="N1545" s="1436"/>
      <c r="O1545" s="1436"/>
      <c r="P1545" s="1436"/>
      <c r="Q1545" s="1436"/>
      <c r="R1545" s="1436"/>
      <c r="S1545" s="1436"/>
      <c r="T1545" s="1436"/>
      <c r="U1545" s="1436"/>
      <c r="V1545" s="1436"/>
      <c r="W1545" s="1436"/>
      <c r="X1545" s="1436"/>
      <c r="Y1545" s="1436"/>
      <c r="Z1545" s="1436"/>
      <c r="AA1545" s="1436"/>
      <c r="AB1545" s="1436"/>
      <c r="AC1545" s="1436"/>
      <c r="AD1545" s="1436"/>
      <c r="AE1545" s="1436"/>
      <c r="AF1545" s="1436"/>
    </row>
    <row r="1546" spans="1:32">
      <c r="A1546" s="1436"/>
      <c r="B1546" s="1436"/>
      <c r="C1546" s="1436"/>
      <c r="D1546" s="1436"/>
      <c r="E1546" s="1436"/>
      <c r="F1546" s="1436"/>
      <c r="G1546" s="1436"/>
      <c r="H1546" s="1436"/>
      <c r="I1546" s="1436"/>
      <c r="J1546" s="1436"/>
      <c r="K1546" s="1436"/>
      <c r="L1546" s="1436"/>
      <c r="M1546" s="1436"/>
      <c r="N1546" s="1436"/>
      <c r="O1546" s="1436"/>
      <c r="P1546" s="1436"/>
      <c r="Q1546" s="1436"/>
      <c r="R1546" s="1436"/>
      <c r="S1546" s="1436"/>
      <c r="T1546" s="1436"/>
      <c r="U1546" s="1436"/>
      <c r="V1546" s="1436"/>
      <c r="W1546" s="1436"/>
      <c r="X1546" s="1436"/>
      <c r="Y1546" s="1436"/>
      <c r="Z1546" s="1436"/>
      <c r="AA1546" s="1436"/>
      <c r="AB1546" s="1436"/>
      <c r="AC1546" s="1436"/>
      <c r="AD1546" s="1436"/>
      <c r="AE1546" s="1436"/>
      <c r="AF1546" s="1436"/>
    </row>
    <row r="1547" spans="1:32">
      <c r="A1547" s="1436"/>
      <c r="B1547" s="1436"/>
      <c r="C1547" s="1436"/>
      <c r="D1547" s="1436"/>
      <c r="E1547" s="1436"/>
      <c r="F1547" s="1436"/>
      <c r="G1547" s="1436"/>
      <c r="H1547" s="1436"/>
      <c r="I1547" s="1436"/>
      <c r="J1547" s="1436"/>
      <c r="K1547" s="1436"/>
      <c r="L1547" s="1436"/>
      <c r="M1547" s="1436"/>
      <c r="N1547" s="1436"/>
      <c r="O1547" s="1436"/>
      <c r="P1547" s="1436"/>
      <c r="Q1547" s="1436"/>
      <c r="R1547" s="1436"/>
      <c r="S1547" s="1436"/>
      <c r="T1547" s="1436"/>
      <c r="U1547" s="1436"/>
      <c r="V1547" s="1436"/>
      <c r="W1547" s="1436"/>
      <c r="X1547" s="1436"/>
      <c r="Y1547" s="1436"/>
      <c r="Z1547" s="1436"/>
      <c r="AA1547" s="1436"/>
      <c r="AB1547" s="1436"/>
      <c r="AC1547" s="1436"/>
      <c r="AD1547" s="1436"/>
      <c r="AE1547" s="1436"/>
      <c r="AF1547" s="1436"/>
    </row>
    <row r="1548" spans="1:32">
      <c r="A1548" s="1436"/>
      <c r="B1548" s="1436"/>
      <c r="C1548" s="1436"/>
      <c r="D1548" s="1436"/>
      <c r="E1548" s="1436"/>
      <c r="F1548" s="1436"/>
      <c r="G1548" s="1436"/>
      <c r="H1548" s="1436"/>
      <c r="I1548" s="1436"/>
      <c r="J1548" s="1436"/>
      <c r="K1548" s="1436"/>
      <c r="L1548" s="1436"/>
      <c r="M1548" s="1436"/>
      <c r="N1548" s="1436"/>
      <c r="O1548" s="1436"/>
      <c r="P1548" s="1436"/>
      <c r="Q1548" s="1436"/>
      <c r="R1548" s="1436"/>
      <c r="S1548" s="1436"/>
      <c r="T1548" s="1436"/>
      <c r="U1548" s="1436"/>
      <c r="V1548" s="1436"/>
      <c r="W1548" s="1436"/>
      <c r="X1548" s="1436"/>
      <c r="Y1548" s="1436"/>
      <c r="Z1548" s="1436"/>
      <c r="AA1548" s="1436"/>
      <c r="AB1548" s="1436"/>
      <c r="AC1548" s="1436"/>
      <c r="AD1548" s="1436"/>
      <c r="AE1548" s="1436"/>
      <c r="AF1548" s="1436"/>
    </row>
    <row r="1549" spans="1:32">
      <c r="A1549" s="1436"/>
      <c r="B1549" s="1436"/>
      <c r="C1549" s="1436"/>
      <c r="D1549" s="1436"/>
      <c r="E1549" s="1436"/>
      <c r="F1549" s="1436"/>
      <c r="G1549" s="1436"/>
      <c r="H1549" s="1436"/>
      <c r="I1549" s="1436"/>
      <c r="J1549" s="1436"/>
      <c r="K1549" s="1436"/>
      <c r="L1549" s="1436"/>
      <c r="M1549" s="1436"/>
      <c r="N1549" s="1436"/>
      <c r="O1549" s="1436"/>
      <c r="P1549" s="1436"/>
      <c r="Q1549" s="1436"/>
      <c r="R1549" s="1436"/>
      <c r="S1549" s="1436"/>
      <c r="T1549" s="1436"/>
      <c r="U1549" s="1436"/>
      <c r="V1549" s="1436"/>
      <c r="W1549" s="1436"/>
      <c r="X1549" s="1436"/>
      <c r="Y1549" s="1436"/>
      <c r="Z1549" s="1436"/>
      <c r="AA1549" s="1436"/>
      <c r="AB1549" s="1436"/>
      <c r="AC1549" s="1436"/>
      <c r="AD1549" s="1436"/>
      <c r="AE1549" s="1436"/>
      <c r="AF1549" s="1436"/>
    </row>
    <row r="1550" spans="1:32">
      <c r="A1550" s="1436"/>
      <c r="B1550" s="1436"/>
      <c r="C1550" s="1436"/>
      <c r="D1550" s="1436"/>
      <c r="E1550" s="1436"/>
      <c r="F1550" s="1436"/>
      <c r="G1550" s="1436"/>
      <c r="H1550" s="1436"/>
      <c r="I1550" s="1436"/>
      <c r="J1550" s="1436"/>
      <c r="K1550" s="1436"/>
      <c r="L1550" s="1436"/>
      <c r="M1550" s="1436"/>
      <c r="N1550" s="1436"/>
      <c r="O1550" s="1436"/>
      <c r="P1550" s="1436"/>
      <c r="Q1550" s="1436"/>
      <c r="R1550" s="1436"/>
      <c r="S1550" s="1436"/>
      <c r="T1550" s="1436"/>
      <c r="U1550" s="1436"/>
      <c r="V1550" s="1436"/>
      <c r="W1550" s="1436"/>
      <c r="X1550" s="1436"/>
      <c r="Y1550" s="1436"/>
      <c r="Z1550" s="1436"/>
      <c r="AA1550" s="1436"/>
      <c r="AB1550" s="1436"/>
      <c r="AC1550" s="1436"/>
      <c r="AD1550" s="1436"/>
      <c r="AE1550" s="1436"/>
      <c r="AF1550" s="1436"/>
    </row>
    <row r="1551" spans="1:32">
      <c r="A1551" s="1436"/>
      <c r="B1551" s="1436"/>
      <c r="C1551" s="1436"/>
      <c r="D1551" s="1436"/>
      <c r="E1551" s="1436"/>
      <c r="F1551" s="1436"/>
      <c r="G1551" s="1436"/>
      <c r="H1551" s="1436"/>
      <c r="I1551" s="1436"/>
      <c r="J1551" s="1436"/>
      <c r="K1551" s="1436"/>
      <c r="L1551" s="1436"/>
      <c r="M1551" s="1436"/>
      <c r="N1551" s="1436"/>
      <c r="O1551" s="1436"/>
      <c r="P1551" s="1436"/>
      <c r="Q1551" s="1436"/>
      <c r="R1551" s="1436"/>
      <c r="S1551" s="1436"/>
      <c r="T1551" s="1436"/>
      <c r="U1551" s="1436"/>
      <c r="V1551" s="1436"/>
      <c r="W1551" s="1436"/>
      <c r="X1551" s="1436"/>
      <c r="Y1551" s="1436"/>
      <c r="Z1551" s="1436"/>
      <c r="AA1551" s="1436"/>
      <c r="AB1551" s="1436"/>
      <c r="AC1551" s="1436"/>
      <c r="AD1551" s="1436"/>
      <c r="AE1551" s="1436"/>
      <c r="AF1551" s="1436"/>
    </row>
    <row r="1552" spans="1:32">
      <c r="A1552" s="1436"/>
      <c r="B1552" s="1436"/>
      <c r="C1552" s="1436"/>
      <c r="D1552" s="1436"/>
      <c r="E1552" s="1436"/>
      <c r="F1552" s="1436"/>
      <c r="G1552" s="1436"/>
      <c r="H1552" s="1436"/>
      <c r="I1552" s="1436"/>
      <c r="J1552" s="1436"/>
      <c r="K1552" s="1436"/>
      <c r="L1552" s="1436"/>
      <c r="M1552" s="1436"/>
      <c r="N1552" s="1436"/>
      <c r="O1552" s="1436"/>
      <c r="P1552" s="1436"/>
      <c r="Q1552" s="1436"/>
      <c r="R1552" s="1436"/>
      <c r="S1552" s="1436"/>
      <c r="T1552" s="1436"/>
      <c r="U1552" s="1436"/>
      <c r="V1552" s="1436"/>
      <c r="W1552" s="1436"/>
      <c r="X1552" s="1436"/>
      <c r="Y1552" s="1436"/>
      <c r="Z1552" s="1436"/>
      <c r="AA1552" s="1436"/>
      <c r="AB1552" s="1436"/>
      <c r="AC1552" s="1436"/>
      <c r="AD1552" s="1436"/>
      <c r="AE1552" s="1436"/>
      <c r="AF1552" s="1436"/>
    </row>
    <row r="1553" spans="1:32">
      <c r="A1553" s="1436"/>
      <c r="B1553" s="1436"/>
      <c r="C1553" s="1436"/>
      <c r="D1553" s="1436"/>
      <c r="E1553" s="1436"/>
      <c r="F1553" s="1436"/>
      <c r="G1553" s="1436"/>
      <c r="H1553" s="1436"/>
      <c r="I1553" s="1436"/>
      <c r="J1553" s="1436"/>
      <c r="K1553" s="1436"/>
      <c r="L1553" s="1436"/>
      <c r="M1553" s="1436"/>
      <c r="N1553" s="1436"/>
      <c r="O1553" s="1436"/>
      <c r="P1553" s="1436"/>
      <c r="Q1553" s="1436"/>
      <c r="R1553" s="1436"/>
      <c r="S1553" s="1436"/>
      <c r="T1553" s="1436"/>
      <c r="U1553" s="1436"/>
      <c r="V1553" s="1436"/>
      <c r="W1553" s="1436"/>
      <c r="X1553" s="1436"/>
      <c r="Y1553" s="1436"/>
      <c r="Z1553" s="1436"/>
      <c r="AA1553" s="1436"/>
      <c r="AB1553" s="1436"/>
      <c r="AC1553" s="1436"/>
      <c r="AD1553" s="1436"/>
      <c r="AE1553" s="1436"/>
      <c r="AF1553" s="1436"/>
    </row>
    <row r="1554" spans="1:32">
      <c r="A1554" s="1436"/>
      <c r="B1554" s="1436"/>
      <c r="C1554" s="1436"/>
      <c r="D1554" s="1436"/>
      <c r="E1554" s="1436"/>
      <c r="F1554" s="1436"/>
      <c r="G1554" s="1436"/>
      <c r="H1554" s="1436"/>
      <c r="I1554" s="1436"/>
      <c r="J1554" s="1436"/>
      <c r="K1554" s="1436"/>
      <c r="L1554" s="1436"/>
      <c r="M1554" s="1436"/>
      <c r="N1554" s="1436"/>
      <c r="O1554" s="1436"/>
      <c r="P1554" s="1436"/>
      <c r="Q1554" s="1436"/>
      <c r="R1554" s="1436"/>
      <c r="S1554" s="1436"/>
      <c r="T1554" s="1436"/>
      <c r="U1554" s="1436"/>
      <c r="V1554" s="1436"/>
      <c r="W1554" s="1436"/>
      <c r="X1554" s="1436"/>
      <c r="Y1554" s="1436"/>
      <c r="Z1554" s="1436"/>
      <c r="AA1554" s="1436"/>
      <c r="AB1554" s="1436"/>
      <c r="AC1554" s="1436"/>
      <c r="AD1554" s="1436"/>
      <c r="AE1554" s="1436"/>
      <c r="AF1554" s="1436"/>
    </row>
    <row r="1555" spans="1:32">
      <c r="A1555" s="1436"/>
      <c r="B1555" s="1436"/>
      <c r="C1555" s="1436"/>
      <c r="D1555" s="1436"/>
      <c r="E1555" s="1436"/>
      <c r="F1555" s="1436"/>
      <c r="G1555" s="1436"/>
      <c r="H1555" s="1436"/>
      <c r="I1555" s="1436"/>
      <c r="J1555" s="1436"/>
      <c r="K1555" s="1436"/>
      <c r="L1555" s="1436"/>
      <c r="M1555" s="1436"/>
      <c r="N1555" s="1436"/>
      <c r="O1555" s="1436"/>
      <c r="P1555" s="1436"/>
      <c r="Q1555" s="1436"/>
      <c r="R1555" s="1436"/>
      <c r="S1555" s="1436"/>
      <c r="T1555" s="1436"/>
      <c r="U1555" s="1436"/>
      <c r="V1555" s="1436"/>
      <c r="W1555" s="1436"/>
      <c r="X1555" s="1436"/>
      <c r="Y1555" s="1436"/>
      <c r="Z1555" s="1436"/>
      <c r="AA1555" s="1436"/>
      <c r="AB1555" s="1436"/>
      <c r="AC1555" s="1436"/>
      <c r="AD1555" s="1436"/>
      <c r="AE1555" s="1436"/>
      <c r="AF1555" s="1436"/>
    </row>
    <row r="1556" spans="1:32">
      <c r="A1556" s="1436"/>
      <c r="B1556" s="1436"/>
      <c r="C1556" s="1436"/>
      <c r="D1556" s="1436"/>
      <c r="E1556" s="1436"/>
      <c r="F1556" s="1436"/>
      <c r="G1556" s="1436"/>
      <c r="H1556" s="1436"/>
      <c r="I1556" s="1436"/>
      <c r="J1556" s="1436"/>
      <c r="K1556" s="1436"/>
      <c r="L1556" s="1436"/>
      <c r="M1556" s="1436"/>
      <c r="N1556" s="1436"/>
      <c r="O1556" s="1436"/>
      <c r="P1556" s="1436"/>
      <c r="Q1556" s="1436"/>
      <c r="R1556" s="1436"/>
      <c r="S1556" s="1436"/>
      <c r="T1556" s="1436"/>
      <c r="U1556" s="1436"/>
      <c r="V1556" s="1436"/>
      <c r="W1556" s="1436"/>
      <c r="X1556" s="1436"/>
      <c r="Y1556" s="1436"/>
      <c r="Z1556" s="1436"/>
      <c r="AA1556" s="1436"/>
      <c r="AB1556" s="1436"/>
      <c r="AC1556" s="1436"/>
      <c r="AD1556" s="1436"/>
      <c r="AE1556" s="1436"/>
      <c r="AF1556" s="1436"/>
    </row>
    <row r="1557" spans="1:32">
      <c r="A1557" s="1436"/>
      <c r="B1557" s="1436"/>
      <c r="C1557" s="1436"/>
      <c r="D1557" s="1436"/>
      <c r="E1557" s="1436"/>
      <c r="F1557" s="1436"/>
      <c r="G1557" s="1436"/>
      <c r="H1557" s="1436"/>
      <c r="I1557" s="1436"/>
      <c r="J1557" s="1436"/>
      <c r="K1557" s="1436"/>
      <c r="L1557" s="1436"/>
      <c r="M1557" s="1436"/>
      <c r="N1557" s="1436"/>
      <c r="O1557" s="1436"/>
      <c r="P1557" s="1436"/>
      <c r="Q1557" s="1436"/>
      <c r="R1557" s="1436"/>
      <c r="S1557" s="1436"/>
      <c r="T1557" s="1436"/>
      <c r="U1557" s="1436"/>
      <c r="V1557" s="1436"/>
      <c r="W1557" s="1436"/>
      <c r="X1557" s="1436"/>
      <c r="Y1557" s="1436"/>
      <c r="Z1557" s="1436"/>
      <c r="AA1557" s="1436"/>
      <c r="AB1557" s="1436"/>
      <c r="AC1557" s="1436"/>
      <c r="AD1557" s="1436"/>
      <c r="AE1557" s="1436"/>
      <c r="AF1557" s="1436"/>
    </row>
    <row r="1558" spans="1:32">
      <c r="A1558" s="1436"/>
      <c r="B1558" s="1436"/>
      <c r="C1558" s="1436"/>
      <c r="D1558" s="1436"/>
      <c r="E1558" s="1436"/>
      <c r="F1558" s="1436"/>
      <c r="G1558" s="1436"/>
      <c r="H1558" s="1436"/>
      <c r="I1558" s="1436"/>
      <c r="J1558" s="1436"/>
      <c r="K1558" s="1436"/>
      <c r="L1558" s="1436"/>
      <c r="M1558" s="1436"/>
      <c r="N1558" s="1436"/>
      <c r="O1558" s="1436"/>
      <c r="P1558" s="1436"/>
      <c r="Q1558" s="1436"/>
      <c r="R1558" s="1436"/>
      <c r="S1558" s="1436"/>
      <c r="T1558" s="1436"/>
      <c r="U1558" s="1436"/>
      <c r="V1558" s="1436"/>
      <c r="W1558" s="1436"/>
      <c r="X1558" s="1436"/>
      <c r="Y1558" s="1436"/>
      <c r="Z1558" s="1436"/>
      <c r="AA1558" s="1436"/>
      <c r="AB1558" s="1436"/>
      <c r="AC1558" s="1436"/>
      <c r="AD1558" s="1436"/>
      <c r="AE1558" s="1436"/>
      <c r="AF1558" s="1436"/>
    </row>
    <row r="1559" spans="1:32">
      <c r="A1559" s="1436"/>
      <c r="B1559" s="1436"/>
      <c r="C1559" s="1436"/>
      <c r="D1559" s="1436"/>
      <c r="E1559" s="1436"/>
      <c r="F1559" s="1436"/>
      <c r="G1559" s="1436"/>
      <c r="H1559" s="1436"/>
      <c r="I1559" s="1436"/>
      <c r="J1559" s="1436"/>
      <c r="K1559" s="1436"/>
      <c r="L1559" s="1436"/>
      <c r="M1559" s="1436"/>
      <c r="N1559" s="1436"/>
      <c r="O1559" s="1436"/>
      <c r="P1559" s="1436"/>
      <c r="Q1559" s="1436"/>
      <c r="R1559" s="1436"/>
      <c r="S1559" s="1436"/>
      <c r="T1559" s="1436"/>
      <c r="U1559" s="1436"/>
      <c r="V1559" s="1436"/>
      <c r="W1559" s="1436"/>
      <c r="X1559" s="1436"/>
      <c r="Y1559" s="1436"/>
      <c r="Z1559" s="1436"/>
      <c r="AA1559" s="1436"/>
      <c r="AB1559" s="1436"/>
      <c r="AC1559" s="1436"/>
      <c r="AD1559" s="1436"/>
      <c r="AE1559" s="1436"/>
      <c r="AF1559" s="1436"/>
    </row>
    <row r="1560" spans="1:32">
      <c r="A1560" s="1436"/>
      <c r="B1560" s="1436"/>
      <c r="C1560" s="1436"/>
      <c r="D1560" s="1436"/>
      <c r="E1560" s="1436"/>
      <c r="F1560" s="1436"/>
      <c r="G1560" s="1436"/>
      <c r="H1560" s="1436"/>
      <c r="I1560" s="1436"/>
      <c r="J1560" s="1436"/>
      <c r="K1560" s="1436"/>
      <c r="L1560" s="1436"/>
      <c r="M1560" s="1436"/>
      <c r="N1560" s="1436"/>
      <c r="O1560" s="1436"/>
      <c r="P1560" s="1436"/>
      <c r="Q1560" s="1436"/>
      <c r="R1560" s="1436"/>
      <c r="S1560" s="1436"/>
      <c r="T1560" s="1436"/>
      <c r="U1560" s="1436"/>
      <c r="V1560" s="1436"/>
      <c r="W1560" s="1436"/>
      <c r="X1560" s="1436"/>
      <c r="Y1560" s="1436"/>
      <c r="Z1560" s="1436"/>
      <c r="AA1560" s="1436"/>
      <c r="AB1560" s="1436"/>
      <c r="AC1560" s="1436"/>
      <c r="AD1560" s="1436"/>
      <c r="AE1560" s="1436"/>
      <c r="AF1560" s="1436"/>
    </row>
    <row r="1561" spans="1:32">
      <c r="A1561" s="1436"/>
      <c r="B1561" s="1436"/>
      <c r="C1561" s="1436"/>
      <c r="D1561" s="1436"/>
      <c r="E1561" s="1436"/>
      <c r="F1561" s="1436"/>
      <c r="G1561" s="1436"/>
      <c r="H1561" s="1436"/>
      <c r="I1561" s="1436"/>
      <c r="J1561" s="1436"/>
      <c r="K1561" s="1436"/>
      <c r="L1561" s="1436"/>
      <c r="M1561" s="1436"/>
      <c r="N1561" s="1436"/>
      <c r="O1561" s="1436"/>
      <c r="P1561" s="1436"/>
      <c r="Q1561" s="1436"/>
      <c r="R1561" s="1436"/>
      <c r="S1561" s="1436"/>
      <c r="T1561" s="1436"/>
      <c r="U1561" s="1436"/>
      <c r="V1561" s="1436"/>
      <c r="W1561" s="1436"/>
      <c r="X1561" s="1436"/>
      <c r="Y1561" s="1436"/>
      <c r="Z1561" s="1436"/>
      <c r="AA1561" s="1436"/>
      <c r="AB1561" s="1436"/>
      <c r="AC1561" s="1436"/>
      <c r="AD1561" s="1436"/>
      <c r="AE1561" s="1436"/>
      <c r="AF1561" s="1436"/>
    </row>
  </sheetData>
  <customSheetViews>
    <customSheetView guid="{1BA452AD-1A45-4D9C-9666-ADFFA6F2F567}" colorId="22" fitToPage="1">
      <selection activeCell="G35" sqref="G35"/>
      <colBreaks count="1" manualBreakCount="1">
        <brk id="14" max="1048575" man="1"/>
      </colBreaks>
      <pageMargins left="0.4" right="0.4" top="0.8" bottom="0.3" header="0" footer="0"/>
      <printOptions horizontalCentered="1" verticalCentered="1"/>
      <pageSetup scale="66" orientation="landscape" r:id="rId1"/>
      <headerFooter alignWithMargins="0"/>
    </customSheetView>
    <customSheetView guid="{EEF7ABD6-0F96-4791-B749-C06F707E7673}" scale="60" colorId="22" showPageBreaks="1" fitToPage="1" printArea="1" view="pageBreakPreview" showRuler="0">
      <selection activeCell="C104" sqref="C104"/>
      <colBreaks count="1" manualBreakCount="1">
        <brk id="14" max="1048575" man="1"/>
      </colBreaks>
      <pageMargins left="0.4" right="0.4" top="0.8" bottom="0.3" header="0" footer="0"/>
      <printOptions horizontalCentered="1" verticalCentered="1"/>
      <pageSetup scale="66" orientation="landscape" r:id="rId2"/>
      <headerFooter alignWithMargins="0"/>
    </customSheetView>
    <customSheetView guid="{A7D7DB3C-AFE6-468E-8C6B-9531F6711497}" scale="87" colorId="22" fitToPage="1" showRuler="0" topLeftCell="A43">
      <selection activeCell="A2" sqref="A2"/>
      <colBreaks count="1" manualBreakCount="1">
        <brk id="14" max="1048575" man="1"/>
      </colBreaks>
      <pageMargins left="0.4" right="0.4" top="0.8" bottom="0.3" header="0" footer="0"/>
      <printOptions horizontalCentered="1" verticalCentered="1"/>
      <pageSetup scale="66" orientation="landscape" r:id="rId3"/>
      <headerFooter alignWithMargins="0"/>
    </customSheetView>
    <customSheetView guid="{4436FEB5-BFEC-4348-9286-CB706802873E}" scale="87" colorId="22" fitToPage="1" showRuler="0">
      <selection activeCell="F28" sqref="F28"/>
      <colBreaks count="1" manualBreakCount="1">
        <brk id="14" max="1048575" man="1"/>
      </colBreaks>
      <pageMargins left="0.4" right="0.4" top="0.8" bottom="0.3" header="0" footer="0"/>
      <printOptions horizontalCentered="1" verticalCentered="1"/>
      <pageSetup scale="66" orientation="landscape" r:id="rId4"/>
      <headerFooter alignWithMargins="0"/>
    </customSheetView>
    <customSheetView guid="{044CF00C-469F-44B3-B2C4-9B4049CE70CB}" scale="87" colorId="22" fitToPage="1" showRuler="0">
      <selection activeCell="M22" sqref="M22"/>
      <colBreaks count="1" manualBreakCount="1">
        <brk id="14" max="1048575" man="1"/>
      </colBreaks>
      <pageMargins left="0.4" right="0.4" top="0.8" bottom="0.3" header="0" footer="0"/>
      <printOptions horizontalCentered="1" verticalCentered="1"/>
      <pageSetup scale="66" orientation="landscape" r:id="rId5"/>
      <headerFooter alignWithMargins="0"/>
    </customSheetView>
    <customSheetView guid="{4826FCC0-BDD6-4B2C-ACC6-ACE271DDF0E3}" scale="60" colorId="22" showPageBreaks="1" fitToPage="1" printArea="1" view="pageBreakPreview" showRuler="0">
      <selection activeCell="C104" sqref="C104"/>
      <colBreaks count="1" manualBreakCount="1">
        <brk id="14" max="1048575" man="1"/>
      </colBreaks>
      <pageMargins left="0.4" right="0.4" top="0.8" bottom="0.3" header="0" footer="0"/>
      <printOptions horizontalCentered="1" verticalCentered="1"/>
      <pageSetup scale="66" orientation="landscape" r:id="rId6"/>
      <headerFooter alignWithMargins="0"/>
    </customSheetView>
    <customSheetView guid="{EF376D10-23D6-4FE2-AB5B-4460D52CC93F}" scale="60" colorId="22" showPageBreaks="1" fitToPage="1" printArea="1" view="pageBreakPreview" showRuler="0">
      <selection activeCell="C104" sqref="C104"/>
      <colBreaks count="1" manualBreakCount="1">
        <brk id="14" max="1048575" man="1"/>
      </colBreaks>
      <pageMargins left="0.4" right="0.4" top="0.8" bottom="0.3" header="0" footer="0"/>
      <printOptions horizontalCentered="1" verticalCentered="1"/>
      <pageSetup scale="66" orientation="landscape" r:id="rId7"/>
      <headerFooter alignWithMargins="0"/>
    </customSheetView>
    <customSheetView guid="{1C046605-15CE-44F1-BFCD-2CA8588E7ACF}" scale="87" colorId="22" fitToPage="1" showRuler="0">
      <selection activeCell="I47" sqref="I47"/>
      <colBreaks count="1" manualBreakCount="1">
        <brk id="14" max="1048575" man="1"/>
      </colBreaks>
      <pageMargins left="0.4" right="0.4" top="0.8" bottom="0.3" header="0" footer="0"/>
      <printOptions horizontalCentered="1" verticalCentered="1"/>
      <pageSetup scale="66" orientation="landscape" r:id="rId8"/>
      <headerFooter alignWithMargins="0"/>
    </customSheetView>
    <customSheetView guid="{3911D713-188C-46A1-A299-F21DD3B7A146}" scale="87" colorId="22" fitToPage="1" showRuler="0">
      <selection activeCell="I47" sqref="I47"/>
      <colBreaks count="1" manualBreakCount="1">
        <brk id="14" max="1048575" man="1"/>
      </colBreaks>
      <pageMargins left="0.4" right="0.4" top="0.8" bottom="0.3" header="0" footer="0"/>
      <printOptions horizontalCentered="1" verticalCentered="1"/>
      <pageSetup scale="66" orientation="landscape" r:id="rId9"/>
      <headerFooter alignWithMargins="0"/>
    </customSheetView>
    <customSheetView guid="{78BB1E60-60BE-4F56-9763-075185EFEFAB}" colorId="22" fitToPage="1">
      <selection activeCell="G35" sqref="G35"/>
      <colBreaks count="1" manualBreakCount="1">
        <brk id="14" max="1048575" man="1"/>
      </colBreaks>
      <pageMargins left="0.4" right="0.4" top="0.8" bottom="0.3" header="0" footer="0"/>
      <printOptions horizontalCentered="1" verticalCentered="1"/>
      <pageSetup scale="66" orientation="landscape" r:id="rId10"/>
      <headerFooter alignWithMargins="0"/>
    </customSheetView>
    <customSheetView guid="{9C30803E-1E2D-4850-B0A5-591CA6F246A1}" colorId="22" fitToPage="1">
      <selection activeCell="G35" sqref="G35"/>
      <colBreaks count="1" manualBreakCount="1">
        <brk id="14" max="1048575" man="1"/>
      </colBreaks>
      <pageMargins left="0.4" right="0.4" top="0.8" bottom="0.3" header="0" footer="0"/>
      <printOptions horizontalCentered="1" verticalCentered="1"/>
      <pageSetup scale="66" orientation="landscape" r:id="rId11"/>
      <headerFooter alignWithMargins="0"/>
    </customSheetView>
    <customSheetView guid="{3B1006FF-A2CA-49E7-9B25-DAC8815279AF}" colorId="22" fitToPage="1">
      <selection activeCell="G35" sqref="G35"/>
      <colBreaks count="1" manualBreakCount="1">
        <brk id="14" max="1048575" man="1"/>
      </colBreaks>
      <pageMargins left="0.4" right="0.4" top="0.8" bottom="0.3" header="0" footer="0"/>
      <printOptions horizontalCentered="1" verticalCentered="1"/>
      <pageSetup scale="66" orientation="landscape" r:id="rId12"/>
      <headerFooter alignWithMargins="0"/>
    </customSheetView>
    <customSheetView guid="{FB1A60C8-E1F9-4DF0-8E0E-1C965F86027F}" colorId="22" fitToPage="1">
      <selection activeCell="G35" sqref="G35"/>
      <colBreaks count="1" manualBreakCount="1">
        <brk id="14" max="1048575" man="1"/>
      </colBreaks>
      <pageMargins left="0.4" right="0.4" top="0.8" bottom="0.3" header="0" footer="0"/>
      <printOptions horizontalCentered="1" verticalCentered="1"/>
      <pageSetup scale="66" orientation="landscape" r:id="rId13"/>
      <headerFooter alignWithMargins="0"/>
    </customSheetView>
    <customSheetView guid="{C5B6D812-CBE6-46AA-99F7-02494E9802B4}" scale="70" colorId="22" fitToPage="1" topLeftCell="C1">
      <selection activeCell="C10" sqref="C10"/>
      <colBreaks count="1" manualBreakCount="1">
        <brk id="14" max="1048575" man="1"/>
      </colBreaks>
      <pageMargins left="0.4" right="0.4" top="0.8" bottom="0.3" header="0" footer="0"/>
      <printOptions horizontalCentered="1" verticalCentered="1"/>
      <pageSetup scale="66" orientation="landscape" r:id="rId14"/>
      <headerFooter alignWithMargins="0"/>
    </customSheetView>
  </customSheetViews>
  <phoneticPr fontId="0" type="noConversion"/>
  <printOptions horizontalCentered="1" verticalCentered="1"/>
  <pageMargins left="0.4" right="0.4" top="0.8" bottom="0.3" header="0" footer="0"/>
  <pageSetup scale="66" orientation="landscape" r:id="rId15"/>
  <headerFooter alignWithMargins="0"/>
  <colBreaks count="1" manualBreakCount="1">
    <brk id="14" max="1048575" man="1"/>
  </colBreaks>
  <customProperties>
    <customPr name="_pios_id" r:id="rId16"/>
  </customProperties>
</worksheet>
</file>

<file path=xl/worksheets/sheet75.xml><?xml version="1.0" encoding="utf-8"?>
<worksheet xmlns="http://schemas.openxmlformats.org/spreadsheetml/2006/main" xmlns:r="http://schemas.openxmlformats.org/officeDocument/2006/relationships">
  <sheetPr transitionEvaluation="1" codeName="Sheet74" enableFormatConditionsCalculation="0"/>
  <dimension ref="A1:O234"/>
  <sheetViews>
    <sheetView defaultGridColor="0" colorId="22" zoomScale="70" zoomScaleNormal="70" workbookViewId="0"/>
  </sheetViews>
  <sheetFormatPr defaultColWidth="9.6640625" defaultRowHeight="15"/>
  <cols>
    <col min="1" max="1" width="6.6640625" style="2447" customWidth="1"/>
    <col min="2" max="2" width="20.6640625" style="2447" customWidth="1"/>
    <col min="3" max="3" width="7.6640625" style="2447" customWidth="1"/>
    <col min="4" max="7" width="9.6640625" style="2447" customWidth="1"/>
    <col min="8" max="8" width="7.6640625" style="2447" customWidth="1"/>
    <col min="9" max="9" width="9.6640625" style="2447" customWidth="1"/>
    <col min="10" max="10" width="11.6640625" style="2447" customWidth="1"/>
    <col min="11" max="16384" width="9.6640625" style="2447"/>
  </cols>
  <sheetData>
    <row r="1" spans="1:15" ht="15" customHeight="1" thickBot="1">
      <c r="A1" s="2444" t="str">
        <f>+'Data sheet'!A53</f>
        <v>Annual Report of New York American Water Company, Inc. (f/k/a Long Island Water Corp)                                   Year Ended  December 31, 2013</v>
      </c>
    </row>
    <row r="2" spans="1:15" ht="15.95" customHeight="1">
      <c r="A2" s="2448"/>
      <c r="B2" s="2449"/>
      <c r="C2" s="2449"/>
      <c r="D2" s="2449"/>
      <c r="E2" s="2449"/>
      <c r="F2" s="2449"/>
      <c r="G2" s="2449"/>
      <c r="H2" s="2449"/>
      <c r="I2" s="2449"/>
      <c r="J2" s="2449"/>
      <c r="K2" s="2449"/>
      <c r="L2" s="2449"/>
      <c r="M2" s="2449"/>
      <c r="N2" s="2450"/>
      <c r="O2" s="2452"/>
    </row>
    <row r="3" spans="1:15" ht="15.95" customHeight="1">
      <c r="A3" s="2490" t="s">
        <v>4013</v>
      </c>
      <c r="B3" s="2460"/>
      <c r="C3" s="2460"/>
      <c r="D3" s="2460"/>
      <c r="E3" s="2460"/>
      <c r="F3" s="2460"/>
      <c r="G3" s="2460"/>
      <c r="H3" s="2460"/>
      <c r="I3" s="2460"/>
      <c r="J3" s="2460"/>
      <c r="K3" s="2460"/>
      <c r="L3" s="2460"/>
      <c r="M3" s="2460"/>
      <c r="N3" s="2491"/>
      <c r="O3" s="2452"/>
    </row>
    <row r="4" spans="1:15" ht="15.95" customHeight="1">
      <c r="A4" s="2452"/>
      <c r="B4" s="2451"/>
      <c r="C4" s="2451"/>
      <c r="D4" s="2451"/>
      <c r="E4" s="2451"/>
      <c r="F4" s="2451"/>
      <c r="G4" s="2451"/>
      <c r="H4" s="2451"/>
      <c r="I4" s="2451"/>
      <c r="J4" s="2451"/>
      <c r="K4" s="2451"/>
      <c r="L4" s="2451"/>
      <c r="M4" s="2451"/>
      <c r="N4" s="2453"/>
      <c r="O4" s="2452"/>
    </row>
    <row r="5" spans="1:15" ht="15.95" customHeight="1">
      <c r="A5" s="2454"/>
      <c r="B5" s="2445"/>
      <c r="C5" s="2445"/>
      <c r="D5" s="2445"/>
      <c r="E5" s="2445"/>
      <c r="F5" s="2445"/>
      <c r="G5" s="2445"/>
      <c r="H5" s="2445"/>
      <c r="I5" s="2445"/>
      <c r="J5" s="2445"/>
      <c r="K5" s="2445"/>
      <c r="L5" s="2445"/>
      <c r="M5" s="2445"/>
      <c r="N5" s="2455"/>
      <c r="O5" s="2452"/>
    </row>
    <row r="6" spans="1:15" ht="15.95" customHeight="1">
      <c r="A6" s="2452"/>
      <c r="B6" s="2451" t="s">
        <v>1854</v>
      </c>
      <c r="C6" s="2451"/>
      <c r="D6" s="2451"/>
      <c r="E6" s="2451"/>
      <c r="F6" s="2451"/>
      <c r="G6" s="2451"/>
      <c r="H6" s="2451"/>
      <c r="I6" s="2451" t="s">
        <v>4216</v>
      </c>
      <c r="J6" s="2451"/>
      <c r="K6" s="2451"/>
      <c r="L6" s="2451"/>
      <c r="M6" s="2451"/>
      <c r="N6" s="2453"/>
      <c r="O6" s="2452"/>
    </row>
    <row r="7" spans="1:15" ht="15.95" customHeight="1">
      <c r="A7" s="2452"/>
      <c r="B7" s="2451" t="s">
        <v>4217</v>
      </c>
      <c r="C7" s="2451"/>
      <c r="D7" s="2451"/>
      <c r="E7" s="2451"/>
      <c r="F7" s="2451"/>
      <c r="G7" s="2451"/>
      <c r="H7" s="2451"/>
      <c r="I7" s="2451" t="s">
        <v>4218</v>
      </c>
      <c r="J7" s="2451"/>
      <c r="K7" s="2451"/>
      <c r="L7" s="2451"/>
      <c r="M7" s="2451"/>
      <c r="N7" s="2453"/>
      <c r="O7" s="2452"/>
    </row>
    <row r="8" spans="1:15" ht="15.95" customHeight="1">
      <c r="A8" s="2452"/>
      <c r="B8" s="2451" t="s">
        <v>4219</v>
      </c>
      <c r="C8" s="2451"/>
      <c r="D8" s="2451"/>
      <c r="E8" s="2451"/>
      <c r="F8" s="2451"/>
      <c r="G8" s="2451"/>
      <c r="H8" s="2451"/>
      <c r="I8" s="2451"/>
      <c r="J8" s="2451"/>
      <c r="K8" s="2451"/>
      <c r="L8" s="2451"/>
      <c r="M8" s="2451"/>
      <c r="N8" s="2453"/>
      <c r="O8" s="2452"/>
    </row>
    <row r="9" spans="1:15" ht="15.95" customHeight="1">
      <c r="A9" s="2452"/>
      <c r="B9" s="2451"/>
      <c r="C9" s="2451"/>
      <c r="D9" s="2451"/>
      <c r="E9" s="2451"/>
      <c r="F9" s="2451"/>
      <c r="G9" s="2451"/>
      <c r="H9" s="2451"/>
      <c r="I9" s="2451"/>
      <c r="J9" s="2451"/>
      <c r="K9" s="2451"/>
      <c r="L9" s="2451"/>
      <c r="M9" s="2451"/>
      <c r="N9" s="2453"/>
      <c r="O9" s="2452"/>
    </row>
    <row r="10" spans="1:15" ht="15.95" customHeight="1">
      <c r="A10" s="2452"/>
      <c r="B10" s="2451" t="s">
        <v>1183</v>
      </c>
      <c r="C10" s="2451"/>
      <c r="D10" s="2451"/>
      <c r="E10" s="2451"/>
      <c r="F10" s="2451"/>
      <c r="G10" s="2451"/>
      <c r="H10" s="2451"/>
      <c r="I10" s="2451"/>
      <c r="J10" s="2451"/>
      <c r="K10" s="2451"/>
      <c r="L10" s="2451"/>
      <c r="M10" s="2451"/>
      <c r="N10" s="2453"/>
      <c r="O10" s="2452"/>
    </row>
    <row r="11" spans="1:15" ht="15.95" customHeight="1">
      <c r="A11" s="2452"/>
      <c r="B11" s="2451" t="s">
        <v>3981</v>
      </c>
      <c r="C11" s="2451"/>
      <c r="D11" s="2451"/>
      <c r="E11" s="2451"/>
      <c r="F11" s="2451"/>
      <c r="G11" s="2451"/>
      <c r="H11" s="2451"/>
      <c r="I11" s="2451"/>
      <c r="J11" s="2451"/>
      <c r="K11" s="2451"/>
      <c r="L11" s="2451"/>
      <c r="M11" s="2451"/>
      <c r="N11" s="2453"/>
      <c r="O11" s="2452"/>
    </row>
    <row r="12" spans="1:15" ht="15.95" customHeight="1">
      <c r="A12" s="2452"/>
      <c r="B12" s="2451"/>
      <c r="C12" s="2451"/>
      <c r="D12" s="2451"/>
      <c r="E12" s="2451"/>
      <c r="F12" s="2451"/>
      <c r="G12" s="2451"/>
      <c r="H12" s="2451"/>
      <c r="I12" s="2451"/>
      <c r="J12" s="2451"/>
      <c r="K12" s="2451"/>
      <c r="L12" s="2451"/>
      <c r="M12" s="2451"/>
      <c r="N12" s="2453"/>
      <c r="O12" s="2452"/>
    </row>
    <row r="13" spans="1:15" ht="15" customHeight="1">
      <c r="A13" s="2492"/>
      <c r="B13" s="2464"/>
      <c r="C13" s="2464"/>
      <c r="D13" s="2464"/>
      <c r="E13" s="2464"/>
      <c r="F13" s="2464"/>
      <c r="G13" s="2456" t="s">
        <v>4220</v>
      </c>
      <c r="H13" s="2457"/>
      <c r="I13" s="2457"/>
      <c r="J13" s="2457"/>
      <c r="K13" s="2457"/>
      <c r="L13" s="2457"/>
      <c r="M13" s="2457"/>
      <c r="N13" s="2458"/>
      <c r="O13" s="2452"/>
    </row>
    <row r="14" spans="1:15" ht="15" customHeight="1">
      <c r="A14" s="2462"/>
      <c r="B14" s="2463" t="s">
        <v>3026</v>
      </c>
      <c r="C14" s="2463" t="s">
        <v>4221</v>
      </c>
      <c r="D14" s="2463" t="s">
        <v>3968</v>
      </c>
      <c r="E14" s="2463" t="s">
        <v>4222</v>
      </c>
      <c r="F14" s="2463" t="s">
        <v>4223</v>
      </c>
      <c r="G14" s="2464" t="s">
        <v>94</v>
      </c>
      <c r="H14" s="2464"/>
      <c r="I14" s="2464" t="s">
        <v>3973</v>
      </c>
      <c r="J14" s="2464" t="s">
        <v>4224</v>
      </c>
      <c r="K14" s="2464" t="s">
        <v>4225</v>
      </c>
      <c r="L14" s="2464"/>
      <c r="M14" s="2464"/>
      <c r="N14" s="2461" t="s">
        <v>2989</v>
      </c>
      <c r="O14" s="2452"/>
    </row>
    <row r="15" spans="1:15" ht="15" customHeight="1">
      <c r="A15" s="2462" t="s">
        <v>1939</v>
      </c>
      <c r="B15" s="2463" t="s">
        <v>4226</v>
      </c>
      <c r="C15" s="2463" t="s">
        <v>4227</v>
      </c>
      <c r="D15" s="2463" t="s">
        <v>3974</v>
      </c>
      <c r="E15" s="2463" t="s">
        <v>2593</v>
      </c>
      <c r="F15" s="2463" t="s">
        <v>4228</v>
      </c>
      <c r="G15" s="2463" t="s">
        <v>4229</v>
      </c>
      <c r="H15" s="2463" t="s">
        <v>3024</v>
      </c>
      <c r="I15" s="2463" t="s">
        <v>344</v>
      </c>
      <c r="J15" s="2463" t="s">
        <v>3034</v>
      </c>
      <c r="K15" s="2463" t="s">
        <v>3336</v>
      </c>
      <c r="L15" s="2463" t="s">
        <v>4465</v>
      </c>
      <c r="M15" s="2463" t="s">
        <v>3337</v>
      </c>
      <c r="N15" s="2461" t="s">
        <v>254</v>
      </c>
      <c r="O15" s="2452"/>
    </row>
    <row r="16" spans="1:15" ht="15" customHeight="1">
      <c r="A16" s="2462"/>
      <c r="B16" s="2463" t="s">
        <v>255</v>
      </c>
      <c r="C16" s="2463" t="s">
        <v>256</v>
      </c>
      <c r="D16" s="2463" t="s">
        <v>257</v>
      </c>
      <c r="E16" s="2463" t="s">
        <v>258</v>
      </c>
      <c r="F16" s="2463" t="s">
        <v>259</v>
      </c>
      <c r="G16" s="2463" t="s">
        <v>260</v>
      </c>
      <c r="H16" s="2463" t="s">
        <v>3039</v>
      </c>
      <c r="I16" s="2463" t="s">
        <v>261</v>
      </c>
      <c r="J16" s="2463" t="s">
        <v>262</v>
      </c>
      <c r="K16" s="2463" t="s">
        <v>263</v>
      </c>
      <c r="L16" s="2463" t="s">
        <v>264</v>
      </c>
      <c r="M16" s="2463" t="s">
        <v>2600</v>
      </c>
      <c r="N16" s="2461" t="s">
        <v>1989</v>
      </c>
      <c r="O16" s="2452"/>
    </row>
    <row r="17" spans="1:15" ht="15" customHeight="1">
      <c r="A17" s="2462" t="s">
        <v>1941</v>
      </c>
      <c r="B17" s="2463" t="s">
        <v>1990</v>
      </c>
      <c r="C17" s="2463"/>
      <c r="D17" s="2463"/>
      <c r="E17" s="2463" t="s">
        <v>1991</v>
      </c>
      <c r="F17" s="2463" t="s">
        <v>1992</v>
      </c>
      <c r="G17" s="2463" t="s">
        <v>1993</v>
      </c>
      <c r="H17" s="2463"/>
      <c r="I17" s="2463" t="s">
        <v>1748</v>
      </c>
      <c r="J17" s="2463" t="s">
        <v>1994</v>
      </c>
      <c r="K17" s="2463" t="s">
        <v>3039</v>
      </c>
      <c r="L17" s="2463"/>
      <c r="M17" s="2463"/>
      <c r="N17" s="2461" t="s">
        <v>3835</v>
      </c>
      <c r="O17" s="2452"/>
    </row>
    <row r="18" spans="1:15" ht="15" customHeight="1">
      <c r="A18" s="2462"/>
      <c r="B18" s="2463" t="s">
        <v>932</v>
      </c>
      <c r="C18" s="2463" t="s">
        <v>933</v>
      </c>
      <c r="D18" s="2463" t="s">
        <v>934</v>
      </c>
      <c r="E18" s="2463" t="s">
        <v>935</v>
      </c>
      <c r="F18" s="2463" t="s">
        <v>936</v>
      </c>
      <c r="G18" s="2463" t="s">
        <v>937</v>
      </c>
      <c r="H18" s="2463" t="s">
        <v>938</v>
      </c>
      <c r="I18" s="2463" t="s">
        <v>939</v>
      </c>
      <c r="J18" s="2463" t="s">
        <v>4484</v>
      </c>
      <c r="K18" s="2463" t="s">
        <v>4485</v>
      </c>
      <c r="L18" s="2463" t="s">
        <v>4486</v>
      </c>
      <c r="M18" s="2463" t="s">
        <v>4487</v>
      </c>
      <c r="N18" s="2461" t="s">
        <v>4488</v>
      </c>
      <c r="O18" s="2452"/>
    </row>
    <row r="19" spans="1:15" ht="15" customHeight="1">
      <c r="A19" s="2492">
        <v>1</v>
      </c>
      <c r="B19" s="2493" t="s">
        <v>3421</v>
      </c>
      <c r="C19" s="2494"/>
      <c r="D19" s="2494"/>
      <c r="E19" s="2494"/>
      <c r="F19" s="2494"/>
      <c r="G19" s="2494"/>
      <c r="H19" s="2494"/>
      <c r="I19" s="2494"/>
      <c r="J19" s="2494"/>
      <c r="K19" s="2494"/>
      <c r="L19" s="2494"/>
      <c r="M19" s="2494"/>
      <c r="N19" s="2495"/>
      <c r="O19" s="2452"/>
    </row>
    <row r="20" spans="1:15" ht="15" customHeight="1">
      <c r="A20" s="2462">
        <v>2</v>
      </c>
      <c r="B20" s="2496" t="s">
        <v>4577</v>
      </c>
      <c r="C20" s="2496" t="s">
        <v>3422</v>
      </c>
      <c r="D20" s="2496" t="s">
        <v>3423</v>
      </c>
      <c r="E20" s="2496">
        <v>1</v>
      </c>
      <c r="F20" s="2496" t="s">
        <v>2026</v>
      </c>
      <c r="G20" s="2496" t="s">
        <v>1285</v>
      </c>
      <c r="H20" s="2496" t="s">
        <v>1286</v>
      </c>
      <c r="I20" s="2496" t="s">
        <v>2706</v>
      </c>
      <c r="J20" s="2496" t="s">
        <v>2025</v>
      </c>
      <c r="K20" s="2496" t="s">
        <v>1781</v>
      </c>
      <c r="L20" s="2496" t="s">
        <v>1287</v>
      </c>
      <c r="M20" s="2496" t="s">
        <v>1288</v>
      </c>
      <c r="N20" s="2497">
        <v>2000</v>
      </c>
      <c r="O20" s="2452"/>
    </row>
    <row r="21" spans="1:15" ht="15" customHeight="1">
      <c r="A21" s="2462">
        <v>3</v>
      </c>
      <c r="B21" s="2498"/>
      <c r="C21" s="2496"/>
      <c r="D21" s="2496"/>
      <c r="E21" s="2496"/>
      <c r="F21" s="2496"/>
      <c r="G21" s="2496"/>
      <c r="H21" s="2496"/>
      <c r="I21" s="2496"/>
      <c r="J21" s="2496"/>
      <c r="K21" s="2496"/>
      <c r="L21" s="2496"/>
      <c r="M21" s="2496"/>
      <c r="N21" s="2497"/>
      <c r="O21" s="2452"/>
    </row>
    <row r="22" spans="1:15" ht="15" customHeight="1">
      <c r="A22" s="2462">
        <v>4</v>
      </c>
      <c r="B22" s="2498" t="s">
        <v>400</v>
      </c>
      <c r="C22" s="2496"/>
      <c r="D22" s="2496"/>
      <c r="E22" s="2496"/>
      <c r="F22" s="2496"/>
      <c r="G22" s="2496"/>
      <c r="H22" s="2496"/>
      <c r="I22" s="2496"/>
      <c r="J22" s="2496"/>
      <c r="K22" s="2496"/>
      <c r="L22" s="2496"/>
      <c r="M22" s="2496"/>
      <c r="N22" s="2497"/>
      <c r="O22" s="2452"/>
    </row>
    <row r="23" spans="1:15" ht="15" customHeight="1">
      <c r="A23" s="2462">
        <v>5</v>
      </c>
      <c r="B23" s="2498" t="s">
        <v>4578</v>
      </c>
      <c r="C23" s="2496" t="s">
        <v>3422</v>
      </c>
      <c r="D23" s="2496">
        <v>1968</v>
      </c>
      <c r="E23" s="2496">
        <v>1</v>
      </c>
      <c r="F23" s="2496" t="s">
        <v>720</v>
      </c>
      <c r="G23" s="2496" t="s">
        <v>1285</v>
      </c>
      <c r="H23" s="2496" t="s">
        <v>2437</v>
      </c>
      <c r="I23" s="2496" t="s">
        <v>2027</v>
      </c>
      <c r="J23" s="2496" t="s">
        <v>721</v>
      </c>
      <c r="K23" s="2496" t="s">
        <v>1784</v>
      </c>
      <c r="L23" s="2496" t="s">
        <v>2438</v>
      </c>
      <c r="M23" s="2496" t="s">
        <v>1288</v>
      </c>
      <c r="N23" s="2497">
        <v>2000</v>
      </c>
      <c r="O23" s="2452"/>
    </row>
    <row r="24" spans="1:15" ht="15" customHeight="1">
      <c r="A24" s="2462">
        <v>6</v>
      </c>
      <c r="B24" s="2498" t="s">
        <v>4579</v>
      </c>
      <c r="C24" s="2496" t="s">
        <v>2440</v>
      </c>
      <c r="D24" s="2496" t="s">
        <v>2441</v>
      </c>
      <c r="E24" s="2496">
        <v>1</v>
      </c>
      <c r="F24" s="2496" t="s">
        <v>749</v>
      </c>
      <c r="G24" s="2496" t="s">
        <v>2440</v>
      </c>
      <c r="H24" s="2496" t="s">
        <v>2442</v>
      </c>
      <c r="I24" s="2496" t="s">
        <v>2027</v>
      </c>
      <c r="J24" s="2496" t="s">
        <v>4122</v>
      </c>
      <c r="K24" s="2496" t="s">
        <v>1782</v>
      </c>
      <c r="L24" s="2496" t="s">
        <v>2438</v>
      </c>
      <c r="M24" s="2496" t="s">
        <v>2440</v>
      </c>
      <c r="N24" s="2497">
        <v>2000</v>
      </c>
      <c r="O24" s="2452"/>
    </row>
    <row r="25" spans="1:15" ht="15" customHeight="1">
      <c r="A25" s="2462">
        <v>7</v>
      </c>
      <c r="B25" s="2498" t="s">
        <v>4580</v>
      </c>
      <c r="C25" s="2496" t="s">
        <v>2440</v>
      </c>
      <c r="D25" s="2496">
        <v>1969</v>
      </c>
      <c r="E25" s="2496">
        <v>1</v>
      </c>
      <c r="F25" s="2496" t="s">
        <v>1771</v>
      </c>
      <c r="G25" s="2496" t="s">
        <v>2440</v>
      </c>
      <c r="H25" s="2496" t="s">
        <v>2443</v>
      </c>
      <c r="I25" s="2496">
        <v>8</v>
      </c>
      <c r="J25" s="2496" t="s">
        <v>720</v>
      </c>
      <c r="K25" s="2496" t="s">
        <v>629</v>
      </c>
      <c r="L25" s="2496" t="s">
        <v>2444</v>
      </c>
      <c r="M25" s="2496" t="s">
        <v>2440</v>
      </c>
      <c r="N25" s="2497">
        <v>1900</v>
      </c>
      <c r="O25" s="2452"/>
    </row>
    <row r="26" spans="1:15" ht="15" customHeight="1">
      <c r="A26" s="2462">
        <v>8</v>
      </c>
      <c r="B26" s="2498" t="s">
        <v>5224</v>
      </c>
      <c r="C26" s="2496" t="s">
        <v>2440</v>
      </c>
      <c r="D26" s="2496">
        <v>2013</v>
      </c>
      <c r="E26" s="2496">
        <v>1</v>
      </c>
      <c r="F26" s="2496" t="s">
        <v>1772</v>
      </c>
      <c r="G26" s="2496" t="s">
        <v>2440</v>
      </c>
      <c r="H26" s="2496">
        <v>505</v>
      </c>
      <c r="I26" s="2496" t="s">
        <v>2027</v>
      </c>
      <c r="J26" s="2496">
        <v>19</v>
      </c>
      <c r="K26" s="2496">
        <v>36</v>
      </c>
      <c r="L26" s="2496" t="s">
        <v>2438</v>
      </c>
      <c r="M26" s="2496" t="s">
        <v>2440</v>
      </c>
      <c r="N26" s="2497">
        <v>2000</v>
      </c>
      <c r="O26" s="2452"/>
    </row>
    <row r="27" spans="1:15" ht="15" customHeight="1">
      <c r="A27" s="2462">
        <v>9</v>
      </c>
      <c r="B27" s="2498" t="s">
        <v>4581</v>
      </c>
      <c r="C27" s="2496" t="s">
        <v>2440</v>
      </c>
      <c r="D27" s="2496" t="s">
        <v>2447</v>
      </c>
      <c r="E27" s="2496">
        <v>1</v>
      </c>
      <c r="F27" s="2496" t="s">
        <v>721</v>
      </c>
      <c r="G27" s="2496" t="s">
        <v>2440</v>
      </c>
      <c r="H27" s="2496" t="s">
        <v>2448</v>
      </c>
      <c r="I27" s="2496" t="s">
        <v>2027</v>
      </c>
      <c r="J27" s="2496" t="s">
        <v>2589</v>
      </c>
      <c r="K27" s="2496" t="s">
        <v>1782</v>
      </c>
      <c r="L27" s="2496" t="s">
        <v>4420</v>
      </c>
      <c r="M27" s="2496" t="s">
        <v>2440</v>
      </c>
      <c r="N27" s="2497">
        <v>2000</v>
      </c>
      <c r="O27" s="2452"/>
    </row>
    <row r="28" spans="1:15" ht="15" customHeight="1">
      <c r="A28" s="2462">
        <v>10</v>
      </c>
      <c r="B28" s="2498" t="s">
        <v>4582</v>
      </c>
      <c r="C28" s="2496" t="s">
        <v>2440</v>
      </c>
      <c r="D28" s="2496">
        <v>1993</v>
      </c>
      <c r="E28" s="2496">
        <v>1</v>
      </c>
      <c r="F28" s="2496" t="s">
        <v>721</v>
      </c>
      <c r="G28" s="2496" t="s">
        <v>2440</v>
      </c>
      <c r="H28" s="2496">
        <v>440</v>
      </c>
      <c r="I28" s="2496" t="s">
        <v>2027</v>
      </c>
      <c r="J28" s="2496" t="s">
        <v>1776</v>
      </c>
      <c r="K28" s="2496" t="s">
        <v>4421</v>
      </c>
      <c r="L28" s="2496" t="s">
        <v>4422</v>
      </c>
      <c r="M28" s="2496" t="s">
        <v>2440</v>
      </c>
      <c r="N28" s="2497">
        <v>2000</v>
      </c>
      <c r="O28" s="2452"/>
    </row>
    <row r="29" spans="1:15" ht="15" customHeight="1">
      <c r="A29" s="2462">
        <v>11</v>
      </c>
      <c r="B29" s="2498"/>
      <c r="C29" s="2496"/>
      <c r="D29" s="2496"/>
      <c r="E29" s="2496"/>
      <c r="F29" s="2496"/>
      <c r="G29" s="2496"/>
      <c r="H29" s="2496"/>
      <c r="I29" s="2496"/>
      <c r="J29" s="2496"/>
      <c r="K29" s="2496"/>
      <c r="L29" s="2496"/>
      <c r="M29" s="2496"/>
      <c r="N29" s="2497"/>
      <c r="O29" s="2452"/>
    </row>
    <row r="30" spans="1:15" ht="15" customHeight="1">
      <c r="A30" s="2462">
        <v>12</v>
      </c>
      <c r="B30" s="2498" t="s">
        <v>4423</v>
      </c>
      <c r="C30" s="2496"/>
      <c r="D30" s="2496"/>
      <c r="E30" s="2496"/>
      <c r="F30" s="2496"/>
      <c r="G30" s="2496"/>
      <c r="H30" s="2496"/>
      <c r="I30" s="2496"/>
      <c r="J30" s="2496"/>
      <c r="K30" s="2496"/>
      <c r="L30" s="2496"/>
      <c r="M30" s="2496"/>
      <c r="N30" s="2497"/>
      <c r="O30" s="2452"/>
    </row>
    <row r="31" spans="1:15" ht="15" customHeight="1">
      <c r="A31" s="2462">
        <v>13</v>
      </c>
      <c r="B31" s="2498" t="s">
        <v>4583</v>
      </c>
      <c r="C31" s="2496" t="s">
        <v>3422</v>
      </c>
      <c r="D31" s="2496">
        <v>1960</v>
      </c>
      <c r="E31" s="2496">
        <v>1</v>
      </c>
      <c r="F31" s="2496" t="s">
        <v>4424</v>
      </c>
      <c r="G31" s="2496" t="s">
        <v>1285</v>
      </c>
      <c r="H31" s="2496" t="s">
        <v>4307</v>
      </c>
      <c r="I31" s="2496" t="s">
        <v>2706</v>
      </c>
      <c r="J31" s="2496" t="s">
        <v>2589</v>
      </c>
      <c r="K31" s="2496" t="s">
        <v>1784</v>
      </c>
      <c r="L31" s="2496" t="s">
        <v>2438</v>
      </c>
      <c r="M31" s="2496" t="s">
        <v>1288</v>
      </c>
      <c r="N31" s="2497">
        <v>1900</v>
      </c>
      <c r="O31" s="2452"/>
    </row>
    <row r="32" spans="1:15" ht="15" customHeight="1">
      <c r="A32" s="2462">
        <v>14</v>
      </c>
      <c r="B32" s="2498" t="s">
        <v>4584</v>
      </c>
      <c r="C32" s="2496" t="s">
        <v>2440</v>
      </c>
      <c r="D32" s="2496" t="s">
        <v>4585</v>
      </c>
      <c r="E32" s="2496">
        <v>1</v>
      </c>
      <c r="F32" s="2496" t="s">
        <v>723</v>
      </c>
      <c r="G32" s="2496" t="s">
        <v>2440</v>
      </c>
      <c r="H32" s="2496" t="s">
        <v>4425</v>
      </c>
      <c r="I32" s="2496" t="s">
        <v>2027</v>
      </c>
      <c r="J32" s="2496" t="s">
        <v>4122</v>
      </c>
      <c r="K32" s="2496" t="s">
        <v>1772</v>
      </c>
      <c r="L32" s="2496" t="s">
        <v>4426</v>
      </c>
      <c r="M32" s="2496" t="s">
        <v>2440</v>
      </c>
      <c r="N32" s="2497">
        <v>1600</v>
      </c>
      <c r="O32" s="2452"/>
    </row>
    <row r="33" spans="1:15" ht="15" customHeight="1">
      <c r="A33" s="2462">
        <v>15</v>
      </c>
      <c r="B33" s="2498" t="s">
        <v>4586</v>
      </c>
      <c r="C33" s="2496" t="s">
        <v>2440</v>
      </c>
      <c r="D33" s="2496" t="s">
        <v>4427</v>
      </c>
      <c r="E33" s="2496">
        <v>1</v>
      </c>
      <c r="F33" s="2496" t="s">
        <v>1784</v>
      </c>
      <c r="G33" s="2496" t="s">
        <v>2440</v>
      </c>
      <c r="H33" s="2496" t="s">
        <v>4428</v>
      </c>
      <c r="I33" s="2496" t="s">
        <v>2027</v>
      </c>
      <c r="J33" s="2496" t="s">
        <v>1776</v>
      </c>
      <c r="K33" s="2496" t="s">
        <v>4429</v>
      </c>
      <c r="L33" s="2496" t="s">
        <v>2438</v>
      </c>
      <c r="M33" s="2496" t="s">
        <v>2440</v>
      </c>
      <c r="N33" s="2497">
        <v>1950</v>
      </c>
      <c r="O33" s="2452"/>
    </row>
    <row r="34" spans="1:15" ht="15" customHeight="1">
      <c r="A34" s="2462">
        <v>16</v>
      </c>
      <c r="B34" s="2498" t="s">
        <v>4587</v>
      </c>
      <c r="C34" s="2496" t="s">
        <v>2440</v>
      </c>
      <c r="D34" s="2496" t="s">
        <v>4430</v>
      </c>
      <c r="E34" s="2496">
        <v>1</v>
      </c>
      <c r="F34" s="2496" t="s">
        <v>1778</v>
      </c>
      <c r="G34" s="2496" t="s">
        <v>2440</v>
      </c>
      <c r="H34" s="2496" t="s">
        <v>4431</v>
      </c>
      <c r="I34" s="2496" t="s">
        <v>2027</v>
      </c>
      <c r="J34" s="2496" t="s">
        <v>1776</v>
      </c>
      <c r="K34" s="2496" t="s">
        <v>1788</v>
      </c>
      <c r="L34" s="2496" t="s">
        <v>2438</v>
      </c>
      <c r="M34" s="2496" t="s">
        <v>2440</v>
      </c>
      <c r="N34" s="2497">
        <v>1900</v>
      </c>
      <c r="O34" s="2452"/>
    </row>
    <row r="35" spans="1:15" ht="15" customHeight="1">
      <c r="A35" s="2462">
        <v>17</v>
      </c>
      <c r="B35" s="2498"/>
      <c r="C35" s="2496"/>
      <c r="D35" s="2496"/>
      <c r="E35" s="2496"/>
      <c r="F35" s="2496"/>
      <c r="G35" s="2496"/>
      <c r="H35" s="2496"/>
      <c r="I35" s="2496"/>
      <c r="J35" s="2496"/>
      <c r="K35" s="2496"/>
      <c r="L35" s="2496"/>
      <c r="M35" s="2496"/>
      <c r="N35" s="2497"/>
      <c r="O35" s="2452"/>
    </row>
    <row r="36" spans="1:15" ht="15" customHeight="1">
      <c r="A36" s="2462">
        <v>18</v>
      </c>
      <c r="B36" s="2498" t="s">
        <v>4432</v>
      </c>
      <c r="C36" s="2496"/>
      <c r="D36" s="2496"/>
      <c r="E36" s="2496"/>
      <c r="F36" s="2496"/>
      <c r="G36" s="2496"/>
      <c r="H36" s="2496"/>
      <c r="I36" s="2496"/>
      <c r="J36" s="2496"/>
      <c r="K36" s="2496"/>
      <c r="L36" s="2496"/>
      <c r="M36" s="2496"/>
      <c r="N36" s="2497"/>
      <c r="O36" s="2452"/>
    </row>
    <row r="37" spans="1:15" ht="15" customHeight="1">
      <c r="A37" s="2462">
        <v>19</v>
      </c>
      <c r="B37" s="2498" t="s">
        <v>4588</v>
      </c>
      <c r="C37" s="2496" t="s">
        <v>3422</v>
      </c>
      <c r="D37" s="2496" t="s">
        <v>4436</v>
      </c>
      <c r="E37" s="2496">
        <v>1</v>
      </c>
      <c r="F37" s="2496" t="s">
        <v>4123</v>
      </c>
      <c r="G37" s="2496" t="s">
        <v>1285</v>
      </c>
      <c r="H37" s="2496" t="s">
        <v>4437</v>
      </c>
      <c r="I37" s="2496">
        <v>12</v>
      </c>
      <c r="J37" s="2496" t="s">
        <v>4121</v>
      </c>
      <c r="K37" s="2496" t="s">
        <v>4438</v>
      </c>
      <c r="L37" s="2496" t="s">
        <v>4435</v>
      </c>
      <c r="M37" s="2496" t="s">
        <v>2440</v>
      </c>
      <c r="N37" s="2497">
        <v>1200</v>
      </c>
      <c r="O37" s="2452"/>
    </row>
    <row r="38" spans="1:15" ht="15" customHeight="1">
      <c r="A38" s="2462">
        <v>20</v>
      </c>
      <c r="B38" s="2498" t="s">
        <v>4589</v>
      </c>
      <c r="C38" s="2496" t="s">
        <v>2440</v>
      </c>
      <c r="D38" s="2496" t="s">
        <v>4433</v>
      </c>
      <c r="E38" s="2496">
        <v>1</v>
      </c>
      <c r="F38" s="2496" t="s">
        <v>4123</v>
      </c>
      <c r="G38" s="2496" t="s">
        <v>2440</v>
      </c>
      <c r="H38" s="2496" t="s">
        <v>4434</v>
      </c>
      <c r="I38" s="2496" t="s">
        <v>2025</v>
      </c>
      <c r="J38" s="2496" t="s">
        <v>4121</v>
      </c>
      <c r="K38" s="2496" t="s">
        <v>1773</v>
      </c>
      <c r="L38" s="2496" t="s">
        <v>4435</v>
      </c>
      <c r="M38" s="2496" t="s">
        <v>1288</v>
      </c>
      <c r="N38" s="2497">
        <v>1200</v>
      </c>
      <c r="O38" s="2452"/>
    </row>
    <row r="39" spans="1:15" ht="15" customHeight="1">
      <c r="A39" s="2462">
        <v>21</v>
      </c>
      <c r="B39" s="2498" t="s">
        <v>4590</v>
      </c>
      <c r="C39" s="2496" t="s">
        <v>2440</v>
      </c>
      <c r="D39" s="2496" t="s">
        <v>4439</v>
      </c>
      <c r="E39" s="2496">
        <v>1</v>
      </c>
      <c r="F39" s="2496" t="s">
        <v>720</v>
      </c>
      <c r="G39" s="2496" t="s">
        <v>2440</v>
      </c>
      <c r="H39" s="2496" t="s">
        <v>4440</v>
      </c>
      <c r="I39" s="2496" t="s">
        <v>2027</v>
      </c>
      <c r="J39" s="2496" t="s">
        <v>720</v>
      </c>
      <c r="K39" s="2496" t="s">
        <v>4441</v>
      </c>
      <c r="L39" s="2496" t="s">
        <v>4435</v>
      </c>
      <c r="M39" s="2496" t="s">
        <v>2440</v>
      </c>
      <c r="N39" s="2497">
        <v>1750</v>
      </c>
      <c r="O39" s="2452"/>
    </row>
    <row r="40" spans="1:15" ht="15" customHeight="1">
      <c r="A40" s="2462">
        <v>22</v>
      </c>
      <c r="B40" s="2498" t="s">
        <v>5225</v>
      </c>
      <c r="C40" s="2496" t="s">
        <v>2440</v>
      </c>
      <c r="D40" s="2496" t="s">
        <v>4442</v>
      </c>
      <c r="E40" s="2496">
        <v>1</v>
      </c>
      <c r="F40" s="2496" t="s">
        <v>721</v>
      </c>
      <c r="G40" s="2496" t="s">
        <v>2440</v>
      </c>
      <c r="H40" s="2496" t="s">
        <v>4443</v>
      </c>
      <c r="I40" s="2496" t="s">
        <v>2027</v>
      </c>
      <c r="J40" s="2496" t="s">
        <v>4123</v>
      </c>
      <c r="K40" s="2496" t="s">
        <v>4444</v>
      </c>
      <c r="L40" s="2496" t="s">
        <v>1163</v>
      </c>
      <c r="M40" s="2496" t="s">
        <v>2440</v>
      </c>
      <c r="N40" s="2497">
        <v>300</v>
      </c>
      <c r="O40" s="2452"/>
    </row>
    <row r="41" spans="1:15" ht="15" customHeight="1">
      <c r="A41" s="2462">
        <v>23</v>
      </c>
      <c r="B41" s="2498" t="s">
        <v>5226</v>
      </c>
      <c r="C41" s="2496" t="s">
        <v>2440</v>
      </c>
      <c r="D41" s="2496">
        <v>2013</v>
      </c>
      <c r="E41" s="2496">
        <v>1</v>
      </c>
      <c r="F41" s="2496" t="s">
        <v>721</v>
      </c>
      <c r="G41" s="2496" t="s">
        <v>2440</v>
      </c>
      <c r="H41" s="2496">
        <v>540</v>
      </c>
      <c r="I41" s="2496" t="s">
        <v>2027</v>
      </c>
      <c r="J41" s="2496">
        <v>5</v>
      </c>
      <c r="K41" s="2496">
        <v>48</v>
      </c>
      <c r="L41" s="2496" t="s">
        <v>4446</v>
      </c>
      <c r="M41" s="2496" t="s">
        <v>2440</v>
      </c>
      <c r="N41" s="2497">
        <v>2300</v>
      </c>
      <c r="O41" s="2452"/>
    </row>
    <row r="42" spans="1:15" ht="15" customHeight="1">
      <c r="A42" s="2462">
        <v>24</v>
      </c>
      <c r="B42" s="2498" t="s">
        <v>4591</v>
      </c>
      <c r="C42" s="2496" t="s">
        <v>2440</v>
      </c>
      <c r="D42" s="2496" t="s">
        <v>4445</v>
      </c>
      <c r="E42" s="2496">
        <v>1</v>
      </c>
      <c r="F42" s="2496" t="s">
        <v>4123</v>
      </c>
      <c r="G42" s="2496" t="s">
        <v>2440</v>
      </c>
      <c r="H42" s="2496" t="s">
        <v>4313</v>
      </c>
      <c r="I42" s="2496" t="s">
        <v>2025</v>
      </c>
      <c r="J42" s="2496" t="s">
        <v>4121</v>
      </c>
      <c r="K42" s="2496" t="s">
        <v>1777</v>
      </c>
      <c r="L42" s="2496" t="s">
        <v>2438</v>
      </c>
      <c r="M42" s="2496" t="s">
        <v>2440</v>
      </c>
      <c r="N42" s="2497">
        <v>2300</v>
      </c>
      <c r="O42" s="2452"/>
    </row>
    <row r="43" spans="1:15" ht="15" customHeight="1">
      <c r="A43" s="2462">
        <v>25</v>
      </c>
      <c r="B43" s="2498"/>
      <c r="C43" s="2496"/>
      <c r="D43" s="2496"/>
      <c r="E43" s="2496"/>
      <c r="F43" s="2496"/>
      <c r="G43" s="2496"/>
      <c r="H43" s="2496"/>
      <c r="I43" s="2496"/>
      <c r="J43" s="2496"/>
      <c r="K43" s="2496"/>
      <c r="L43" s="2496"/>
      <c r="M43" s="2496"/>
      <c r="N43" s="2497"/>
      <c r="O43" s="2452"/>
    </row>
    <row r="44" spans="1:15" ht="15" customHeight="1" thickBot="1">
      <c r="A44" s="2499">
        <v>26</v>
      </c>
      <c r="B44" s="2500"/>
      <c r="C44" s="2501"/>
      <c r="D44" s="2501"/>
      <c r="E44" s="2501"/>
      <c r="F44" s="2501"/>
      <c r="G44" s="2501"/>
      <c r="H44" s="2501"/>
      <c r="I44" s="2501"/>
      <c r="J44" s="2501"/>
      <c r="K44" s="2501"/>
      <c r="L44" s="2501"/>
      <c r="M44" s="2501"/>
      <c r="N44" s="2502"/>
      <c r="O44" s="2452"/>
    </row>
    <row r="45" spans="1:15" ht="15" customHeight="1">
      <c r="A45" s="2449" t="s">
        <v>3184</v>
      </c>
      <c r="B45" s="2449"/>
      <c r="C45" s="2449"/>
      <c r="D45" s="2449"/>
      <c r="E45" s="2449"/>
      <c r="F45" s="2449"/>
      <c r="G45" s="2449"/>
      <c r="H45" s="2449"/>
      <c r="I45" s="2449"/>
      <c r="J45" s="2449"/>
      <c r="K45" s="2449"/>
      <c r="L45" s="2449"/>
      <c r="M45" s="2449"/>
      <c r="N45" s="2449"/>
      <c r="O45" s="2451"/>
    </row>
    <row r="46" spans="1:15" ht="15" customHeight="1">
      <c r="A46" s="2489" t="s">
        <v>5277</v>
      </c>
      <c r="B46" s="2489"/>
      <c r="C46" s="2489"/>
      <c r="D46" s="2489"/>
      <c r="E46" s="2489"/>
      <c r="F46" s="2489"/>
      <c r="G46" s="2489"/>
      <c r="H46" s="2489"/>
      <c r="I46" s="2489"/>
      <c r="J46" s="2489"/>
      <c r="K46" s="2489"/>
      <c r="L46" s="2489"/>
      <c r="M46" s="2489"/>
      <c r="N46" s="2460"/>
      <c r="O46" s="2451"/>
    </row>
    <row r="47" spans="1:15" ht="15" customHeight="1" thickBot="1">
      <c r="A47" s="2444" t="str">
        <f>+A1</f>
        <v>Annual Report of New York American Water Company, Inc. (f/k/a Long Island Water Corp)                                   Year Ended  December 31, 2013</v>
      </c>
    </row>
    <row r="48" spans="1:15" ht="15.95" customHeight="1">
      <c r="A48" s="2448"/>
      <c r="B48" s="2449"/>
      <c r="C48" s="2449"/>
      <c r="D48" s="2449"/>
      <c r="E48" s="2449"/>
      <c r="F48" s="2449"/>
      <c r="G48" s="2449"/>
      <c r="H48" s="2449"/>
      <c r="I48" s="2449"/>
      <c r="J48" s="2449"/>
      <c r="K48" s="2449"/>
      <c r="L48" s="2449"/>
      <c r="M48" s="2449"/>
      <c r="N48" s="2450"/>
      <c r="O48" s="2452"/>
    </row>
    <row r="49" spans="1:15" ht="15.95" customHeight="1">
      <c r="A49" s="2490" t="s">
        <v>4013</v>
      </c>
      <c r="B49" s="2460"/>
      <c r="C49" s="2460"/>
      <c r="D49" s="2460"/>
      <c r="E49" s="2460"/>
      <c r="F49" s="2460"/>
      <c r="G49" s="2460"/>
      <c r="H49" s="2460"/>
      <c r="I49" s="2460"/>
      <c r="J49" s="2460"/>
      <c r="K49" s="2460"/>
      <c r="L49" s="2460"/>
      <c r="M49" s="2460"/>
      <c r="N49" s="2491"/>
      <c r="O49" s="2452"/>
    </row>
    <row r="50" spans="1:15" ht="15.95" customHeight="1">
      <c r="A50" s="2452"/>
      <c r="B50" s="2451"/>
      <c r="C50" s="2451"/>
      <c r="D50" s="2451"/>
      <c r="E50" s="2451"/>
      <c r="F50" s="2451"/>
      <c r="G50" s="2451"/>
      <c r="H50" s="2451"/>
      <c r="I50" s="2451"/>
      <c r="J50" s="2451"/>
      <c r="K50" s="2451"/>
      <c r="L50" s="2451"/>
      <c r="M50" s="2451"/>
      <c r="N50" s="2453"/>
      <c r="O50" s="2452"/>
    </row>
    <row r="51" spans="1:15" ht="15.95" customHeight="1">
      <c r="A51" s="2454"/>
      <c r="B51" s="2445"/>
      <c r="C51" s="2445"/>
      <c r="D51" s="2445"/>
      <c r="E51" s="2445"/>
      <c r="F51" s="2445"/>
      <c r="G51" s="2445"/>
      <c r="H51" s="2445"/>
      <c r="I51" s="2445"/>
      <c r="J51" s="2445"/>
      <c r="K51" s="2445"/>
      <c r="L51" s="2445"/>
      <c r="M51" s="2445"/>
      <c r="N51" s="2455"/>
      <c r="O51" s="2452"/>
    </row>
    <row r="52" spans="1:15" ht="15.95" customHeight="1">
      <c r="A52" s="2452"/>
      <c r="B52" s="2451" t="s">
        <v>1854</v>
      </c>
      <c r="C52" s="2451"/>
      <c r="D52" s="2451"/>
      <c r="E52" s="2451"/>
      <c r="F52" s="2451"/>
      <c r="G52" s="2451"/>
      <c r="H52" s="2451"/>
      <c r="I52" s="2451" t="s">
        <v>4216</v>
      </c>
      <c r="J52" s="2451"/>
      <c r="K52" s="2451"/>
      <c r="L52" s="2451"/>
      <c r="M52" s="2451"/>
      <c r="N52" s="2453"/>
      <c r="O52" s="2452"/>
    </row>
    <row r="53" spans="1:15" ht="15.95" customHeight="1">
      <c r="A53" s="2452"/>
      <c r="B53" s="2451" t="s">
        <v>4217</v>
      </c>
      <c r="C53" s="2451"/>
      <c r="D53" s="2451"/>
      <c r="E53" s="2451"/>
      <c r="F53" s="2451"/>
      <c r="G53" s="2451"/>
      <c r="H53" s="2451"/>
      <c r="I53" s="2451" t="s">
        <v>4218</v>
      </c>
      <c r="J53" s="2451"/>
      <c r="K53" s="2451"/>
      <c r="L53" s="2451"/>
      <c r="M53" s="2451"/>
      <c r="N53" s="2453"/>
      <c r="O53" s="2452"/>
    </row>
    <row r="54" spans="1:15" ht="15.95" customHeight="1">
      <c r="A54" s="2452"/>
      <c r="B54" s="2451" t="s">
        <v>4219</v>
      </c>
      <c r="C54" s="2451"/>
      <c r="D54" s="2451"/>
      <c r="E54" s="2451"/>
      <c r="F54" s="2451"/>
      <c r="G54" s="2451"/>
      <c r="H54" s="2451"/>
      <c r="I54" s="2451"/>
      <c r="J54" s="2451"/>
      <c r="K54" s="2451"/>
      <c r="L54" s="2451"/>
      <c r="M54" s="2451"/>
      <c r="N54" s="2453"/>
      <c r="O54" s="2452"/>
    </row>
    <row r="55" spans="1:15" ht="15.95" customHeight="1">
      <c r="A55" s="2452"/>
      <c r="B55" s="2451"/>
      <c r="C55" s="2451"/>
      <c r="D55" s="2451"/>
      <c r="E55" s="2451"/>
      <c r="F55" s="2451"/>
      <c r="G55" s="2451"/>
      <c r="H55" s="2451"/>
      <c r="I55" s="2451"/>
      <c r="J55" s="2451"/>
      <c r="K55" s="2451"/>
      <c r="L55" s="2451"/>
      <c r="M55" s="2451"/>
      <c r="N55" s="2453"/>
      <c r="O55" s="2452"/>
    </row>
    <row r="56" spans="1:15" ht="15.95" customHeight="1">
      <c r="A56" s="2452"/>
      <c r="B56" s="2451" t="s">
        <v>1183</v>
      </c>
      <c r="C56" s="2451"/>
      <c r="D56" s="2451"/>
      <c r="E56" s="2451"/>
      <c r="F56" s="2451"/>
      <c r="G56" s="2451"/>
      <c r="H56" s="2451"/>
      <c r="I56" s="2451"/>
      <c r="J56" s="2451"/>
      <c r="K56" s="2451"/>
      <c r="L56" s="2451"/>
      <c r="M56" s="2451"/>
      <c r="N56" s="2453"/>
      <c r="O56" s="2452"/>
    </row>
    <row r="57" spans="1:15" ht="15.95" customHeight="1">
      <c r="A57" s="2452"/>
      <c r="B57" s="2451" t="s">
        <v>3981</v>
      </c>
      <c r="C57" s="2451"/>
      <c r="D57" s="2451"/>
      <c r="E57" s="2451"/>
      <c r="F57" s="2451"/>
      <c r="G57" s="2451"/>
      <c r="H57" s="2451"/>
      <c r="I57" s="2451"/>
      <c r="J57" s="2451"/>
      <c r="K57" s="2451"/>
      <c r="L57" s="2451"/>
      <c r="M57" s="2451"/>
      <c r="N57" s="2453"/>
      <c r="O57" s="2452"/>
    </row>
    <row r="58" spans="1:15" ht="15.95" customHeight="1">
      <c r="A58" s="2452"/>
      <c r="B58" s="2451"/>
      <c r="C58" s="2451"/>
      <c r="D58" s="2451"/>
      <c r="E58" s="2451"/>
      <c r="F58" s="2451"/>
      <c r="G58" s="2451"/>
      <c r="H58" s="2451"/>
      <c r="I58" s="2451"/>
      <c r="J58" s="2451"/>
      <c r="K58" s="2451"/>
      <c r="L58" s="2451"/>
      <c r="M58" s="2451"/>
      <c r="N58" s="2453"/>
      <c r="O58" s="2452"/>
    </row>
    <row r="59" spans="1:15" ht="15" customHeight="1">
      <c r="A59" s="2492"/>
      <c r="B59" s="2464"/>
      <c r="C59" s="2464"/>
      <c r="D59" s="2464"/>
      <c r="E59" s="2464"/>
      <c r="F59" s="2464"/>
      <c r="G59" s="2456" t="s">
        <v>4220</v>
      </c>
      <c r="H59" s="2457"/>
      <c r="I59" s="2457"/>
      <c r="J59" s="2457"/>
      <c r="K59" s="2457"/>
      <c r="L59" s="2457"/>
      <c r="M59" s="2457"/>
      <c r="N59" s="2458"/>
      <c r="O59" s="2452"/>
    </row>
    <row r="60" spans="1:15" ht="15" customHeight="1">
      <c r="A60" s="2462"/>
      <c r="B60" s="2463" t="s">
        <v>3026</v>
      </c>
      <c r="C60" s="2463" t="s">
        <v>4221</v>
      </c>
      <c r="D60" s="2463" t="s">
        <v>3968</v>
      </c>
      <c r="E60" s="2463" t="s">
        <v>4222</v>
      </c>
      <c r="F60" s="2463" t="s">
        <v>4223</v>
      </c>
      <c r="G60" s="2464" t="s">
        <v>94</v>
      </c>
      <c r="H60" s="2464"/>
      <c r="I60" s="2464" t="s">
        <v>3973</v>
      </c>
      <c r="J60" s="2464" t="s">
        <v>4224</v>
      </c>
      <c r="K60" s="2464" t="s">
        <v>4225</v>
      </c>
      <c r="L60" s="2464"/>
      <c r="M60" s="2464"/>
      <c r="N60" s="2461" t="s">
        <v>2989</v>
      </c>
      <c r="O60" s="2452"/>
    </row>
    <row r="61" spans="1:15" ht="15" customHeight="1">
      <c r="A61" s="2462" t="s">
        <v>1939</v>
      </c>
      <c r="B61" s="2463" t="s">
        <v>4226</v>
      </c>
      <c r="C61" s="2463" t="s">
        <v>4227</v>
      </c>
      <c r="D61" s="2463" t="s">
        <v>3974</v>
      </c>
      <c r="E61" s="2463" t="s">
        <v>2593</v>
      </c>
      <c r="F61" s="2463" t="s">
        <v>4228</v>
      </c>
      <c r="G61" s="2463" t="s">
        <v>4229</v>
      </c>
      <c r="H61" s="2463" t="s">
        <v>3024</v>
      </c>
      <c r="I61" s="2463" t="s">
        <v>344</v>
      </c>
      <c r="J61" s="2463" t="s">
        <v>3034</v>
      </c>
      <c r="K61" s="2463" t="s">
        <v>3336</v>
      </c>
      <c r="L61" s="2463" t="s">
        <v>4465</v>
      </c>
      <c r="M61" s="2463" t="s">
        <v>3337</v>
      </c>
      <c r="N61" s="2461" t="s">
        <v>254</v>
      </c>
      <c r="O61" s="2452"/>
    </row>
    <row r="62" spans="1:15" ht="15" customHeight="1">
      <c r="A62" s="2462"/>
      <c r="B62" s="2463" t="s">
        <v>255</v>
      </c>
      <c r="C62" s="2463" t="s">
        <v>256</v>
      </c>
      <c r="D62" s="2463" t="s">
        <v>257</v>
      </c>
      <c r="E62" s="2463" t="s">
        <v>258</v>
      </c>
      <c r="F62" s="2463" t="s">
        <v>259</v>
      </c>
      <c r="G62" s="2463" t="s">
        <v>260</v>
      </c>
      <c r="H62" s="2463" t="s">
        <v>3039</v>
      </c>
      <c r="I62" s="2463" t="s">
        <v>261</v>
      </c>
      <c r="J62" s="2463" t="s">
        <v>262</v>
      </c>
      <c r="K62" s="2463" t="s">
        <v>263</v>
      </c>
      <c r="L62" s="2463" t="s">
        <v>264</v>
      </c>
      <c r="M62" s="2463" t="s">
        <v>2600</v>
      </c>
      <c r="N62" s="2461" t="s">
        <v>1989</v>
      </c>
      <c r="O62" s="2452"/>
    </row>
    <row r="63" spans="1:15" ht="15" customHeight="1">
      <c r="A63" s="2462" t="s">
        <v>1941</v>
      </c>
      <c r="B63" s="2463" t="s">
        <v>1990</v>
      </c>
      <c r="C63" s="2463"/>
      <c r="D63" s="2463"/>
      <c r="E63" s="2463" t="s">
        <v>1991</v>
      </c>
      <c r="F63" s="2463" t="s">
        <v>1992</v>
      </c>
      <c r="G63" s="2463" t="s">
        <v>1993</v>
      </c>
      <c r="H63" s="2463"/>
      <c r="I63" s="2463" t="s">
        <v>1748</v>
      </c>
      <c r="J63" s="2463" t="s">
        <v>1994</v>
      </c>
      <c r="K63" s="2463" t="s">
        <v>3039</v>
      </c>
      <c r="L63" s="2463"/>
      <c r="M63" s="2463"/>
      <c r="N63" s="2461" t="s">
        <v>3835</v>
      </c>
      <c r="O63" s="2452"/>
    </row>
    <row r="64" spans="1:15" ht="15" customHeight="1">
      <c r="A64" s="2462"/>
      <c r="B64" s="2463" t="s">
        <v>932</v>
      </c>
      <c r="C64" s="2463" t="s">
        <v>933</v>
      </c>
      <c r="D64" s="2463" t="s">
        <v>934</v>
      </c>
      <c r="E64" s="2463" t="s">
        <v>935</v>
      </c>
      <c r="F64" s="2463" t="s">
        <v>936</v>
      </c>
      <c r="G64" s="2463" t="s">
        <v>937</v>
      </c>
      <c r="H64" s="2463" t="s">
        <v>938</v>
      </c>
      <c r="I64" s="2463" t="s">
        <v>939</v>
      </c>
      <c r="J64" s="2463" t="s">
        <v>4484</v>
      </c>
      <c r="K64" s="2463" t="s">
        <v>4485</v>
      </c>
      <c r="L64" s="2463" t="s">
        <v>4486</v>
      </c>
      <c r="M64" s="2463" t="s">
        <v>4487</v>
      </c>
      <c r="N64" s="2461" t="s">
        <v>4488</v>
      </c>
      <c r="O64" s="2452"/>
    </row>
    <row r="65" spans="1:15" ht="15" customHeight="1">
      <c r="A65" s="2492">
        <v>1</v>
      </c>
      <c r="B65" s="2493" t="s">
        <v>4447</v>
      </c>
      <c r="C65" s="2494"/>
      <c r="D65" s="2494"/>
      <c r="E65" s="2494"/>
      <c r="F65" s="2494"/>
      <c r="G65" s="2494"/>
      <c r="H65" s="2494"/>
      <c r="I65" s="2494"/>
      <c r="J65" s="2494"/>
      <c r="K65" s="2494"/>
      <c r="L65" s="2494"/>
      <c r="M65" s="2494"/>
      <c r="N65" s="2495"/>
      <c r="O65" s="2452"/>
    </row>
    <row r="66" spans="1:15" ht="15" customHeight="1">
      <c r="A66" s="2462">
        <v>2</v>
      </c>
      <c r="B66" s="2496" t="s">
        <v>4448</v>
      </c>
      <c r="C66" s="2496"/>
      <c r="D66" s="2496"/>
      <c r="E66" s="2496"/>
      <c r="F66" s="2496"/>
      <c r="G66" s="2496"/>
      <c r="H66" s="2496"/>
      <c r="I66" s="2496"/>
      <c r="J66" s="2496"/>
      <c r="K66" s="2496"/>
      <c r="L66" s="2496"/>
      <c r="M66" s="2496"/>
      <c r="N66" s="2497"/>
      <c r="O66" s="2452"/>
    </row>
    <row r="67" spans="1:15" ht="15" customHeight="1">
      <c r="A67" s="2462">
        <v>3</v>
      </c>
      <c r="B67" s="2496" t="s">
        <v>2439</v>
      </c>
      <c r="C67" s="2496" t="s">
        <v>4449</v>
      </c>
      <c r="D67" s="2496" t="s">
        <v>4450</v>
      </c>
      <c r="E67" s="2496">
        <v>1</v>
      </c>
      <c r="F67" s="2496" t="s">
        <v>750</v>
      </c>
      <c r="G67" s="2496" t="s">
        <v>1285</v>
      </c>
      <c r="H67" s="2496" t="s">
        <v>1779</v>
      </c>
      <c r="I67" s="2496" t="s">
        <v>4123</v>
      </c>
      <c r="J67" s="2496" t="s">
        <v>745</v>
      </c>
      <c r="K67" s="2496" t="s">
        <v>2030</v>
      </c>
      <c r="L67" s="2496" t="s">
        <v>745</v>
      </c>
      <c r="M67" s="2496" t="s">
        <v>4451</v>
      </c>
      <c r="N67" s="2497">
        <v>10</v>
      </c>
      <c r="O67" s="2452"/>
    </row>
    <row r="68" spans="1:15" ht="15" customHeight="1">
      <c r="A68" s="2462">
        <v>4</v>
      </c>
      <c r="B68" s="2496" t="s">
        <v>2439</v>
      </c>
      <c r="C68" s="2496" t="s">
        <v>2440</v>
      </c>
      <c r="D68" s="2496" t="s">
        <v>4452</v>
      </c>
      <c r="E68" s="2496">
        <v>1</v>
      </c>
      <c r="F68" s="2496" t="s">
        <v>750</v>
      </c>
      <c r="G68" s="2496" t="s">
        <v>2440</v>
      </c>
      <c r="H68" s="2496" t="s">
        <v>1779</v>
      </c>
      <c r="I68" s="2496" t="s">
        <v>4123</v>
      </c>
      <c r="J68" s="2496" t="s">
        <v>745</v>
      </c>
      <c r="K68" s="2496" t="s">
        <v>2030</v>
      </c>
      <c r="L68" s="2496" t="s">
        <v>745</v>
      </c>
      <c r="M68" s="2496" t="s">
        <v>2440</v>
      </c>
      <c r="N68" s="2497">
        <v>10</v>
      </c>
      <c r="O68" s="2452"/>
    </row>
    <row r="69" spans="1:15" ht="15" customHeight="1">
      <c r="A69" s="2462">
        <v>5</v>
      </c>
      <c r="B69" s="2496" t="s">
        <v>2439</v>
      </c>
      <c r="C69" s="2496" t="s">
        <v>2440</v>
      </c>
      <c r="D69" s="2496" t="s">
        <v>4453</v>
      </c>
      <c r="E69" s="2496">
        <v>1</v>
      </c>
      <c r="F69" s="2496" t="s">
        <v>750</v>
      </c>
      <c r="G69" s="2496" t="s">
        <v>2440</v>
      </c>
      <c r="H69" s="2496" t="s">
        <v>1779</v>
      </c>
      <c r="I69" s="2496" t="s">
        <v>4123</v>
      </c>
      <c r="J69" s="2496" t="s">
        <v>745</v>
      </c>
      <c r="K69" s="2496" t="s">
        <v>2030</v>
      </c>
      <c r="L69" s="2496" t="s">
        <v>745</v>
      </c>
      <c r="M69" s="2496" t="s">
        <v>2440</v>
      </c>
      <c r="N69" s="2497">
        <v>10</v>
      </c>
      <c r="O69" s="2452"/>
    </row>
    <row r="70" spans="1:15" ht="15" customHeight="1">
      <c r="A70" s="2462">
        <v>6</v>
      </c>
      <c r="B70" s="2496" t="s">
        <v>2439</v>
      </c>
      <c r="C70" s="2496" t="s">
        <v>2440</v>
      </c>
      <c r="D70" s="2496" t="s">
        <v>4454</v>
      </c>
      <c r="E70" s="2496">
        <v>2</v>
      </c>
      <c r="F70" s="2496" t="s">
        <v>750</v>
      </c>
      <c r="G70" s="2496" t="s">
        <v>2440</v>
      </c>
      <c r="H70" s="2496" t="s">
        <v>1779</v>
      </c>
      <c r="I70" s="2496" t="s">
        <v>4123</v>
      </c>
      <c r="J70" s="2496" t="s">
        <v>745</v>
      </c>
      <c r="K70" s="2496" t="s">
        <v>2030</v>
      </c>
      <c r="L70" s="2496" t="s">
        <v>745</v>
      </c>
      <c r="M70" s="2496" t="s">
        <v>2440</v>
      </c>
      <c r="N70" s="2497">
        <v>20</v>
      </c>
      <c r="O70" s="2452"/>
    </row>
    <row r="71" spans="1:15" ht="15" customHeight="1">
      <c r="A71" s="2462">
        <v>7</v>
      </c>
      <c r="B71" s="2496" t="s">
        <v>2439</v>
      </c>
      <c r="C71" s="2496" t="s">
        <v>2440</v>
      </c>
      <c r="D71" s="2496" t="s">
        <v>4455</v>
      </c>
      <c r="E71" s="2496">
        <v>1</v>
      </c>
      <c r="F71" s="2496" t="s">
        <v>750</v>
      </c>
      <c r="G71" s="2496" t="s">
        <v>2440</v>
      </c>
      <c r="H71" s="2496" t="s">
        <v>1779</v>
      </c>
      <c r="I71" s="2496" t="s">
        <v>4123</v>
      </c>
      <c r="J71" s="2496" t="s">
        <v>745</v>
      </c>
      <c r="K71" s="2496" t="s">
        <v>2030</v>
      </c>
      <c r="L71" s="2496" t="s">
        <v>745</v>
      </c>
      <c r="M71" s="2496" t="s">
        <v>2440</v>
      </c>
      <c r="N71" s="2497">
        <v>10</v>
      </c>
      <c r="O71" s="2452"/>
    </row>
    <row r="72" spans="1:15" ht="15" customHeight="1">
      <c r="A72" s="2462">
        <v>8</v>
      </c>
      <c r="B72" s="2496" t="s">
        <v>2439</v>
      </c>
      <c r="C72" s="2496" t="s">
        <v>2440</v>
      </c>
      <c r="D72" s="2496" t="s">
        <v>4456</v>
      </c>
      <c r="E72" s="2496">
        <v>5</v>
      </c>
      <c r="F72" s="2496" t="s">
        <v>750</v>
      </c>
      <c r="G72" s="2496" t="s">
        <v>2440</v>
      </c>
      <c r="H72" s="2496" t="s">
        <v>1779</v>
      </c>
      <c r="I72" s="2496" t="s">
        <v>2703</v>
      </c>
      <c r="J72" s="2496" t="s">
        <v>745</v>
      </c>
      <c r="K72" s="2496" t="s">
        <v>2030</v>
      </c>
      <c r="L72" s="2496" t="s">
        <v>745</v>
      </c>
      <c r="M72" s="2496" t="s">
        <v>2440</v>
      </c>
      <c r="N72" s="2497">
        <v>50</v>
      </c>
      <c r="O72" s="2452"/>
    </row>
    <row r="73" spans="1:15" ht="15" customHeight="1">
      <c r="A73" s="2462">
        <v>9</v>
      </c>
      <c r="B73" s="2496" t="s">
        <v>2439</v>
      </c>
      <c r="C73" s="2496" t="s">
        <v>2440</v>
      </c>
      <c r="D73" s="2496" t="s">
        <v>4457</v>
      </c>
      <c r="E73" s="2496">
        <v>4</v>
      </c>
      <c r="F73" s="2496" t="s">
        <v>4123</v>
      </c>
      <c r="G73" s="2496" t="s">
        <v>2440</v>
      </c>
      <c r="H73" s="2496" t="s">
        <v>4458</v>
      </c>
      <c r="I73" s="2496" t="s">
        <v>2706</v>
      </c>
      <c r="J73" s="2496" t="s">
        <v>745</v>
      </c>
      <c r="K73" s="2496" t="s">
        <v>2030</v>
      </c>
      <c r="L73" s="2496" t="s">
        <v>745</v>
      </c>
      <c r="M73" s="2496" t="s">
        <v>2440</v>
      </c>
      <c r="N73" s="2497">
        <v>40</v>
      </c>
      <c r="O73" s="2452"/>
    </row>
    <row r="74" spans="1:15" ht="15" customHeight="1">
      <c r="A74" s="2462">
        <v>10</v>
      </c>
      <c r="B74" s="2498" t="s">
        <v>4592</v>
      </c>
      <c r="C74" s="2496" t="s">
        <v>3422</v>
      </c>
      <c r="D74" s="2496" t="s">
        <v>4459</v>
      </c>
      <c r="E74" s="2496">
        <v>1</v>
      </c>
      <c r="F74" s="2496" t="s">
        <v>1772</v>
      </c>
      <c r="G74" s="2496" t="s">
        <v>2440</v>
      </c>
      <c r="H74" s="2496" t="s">
        <v>2446</v>
      </c>
      <c r="I74" s="2496" t="s">
        <v>2027</v>
      </c>
      <c r="J74" s="2496" t="s">
        <v>2025</v>
      </c>
      <c r="K74" s="2496" t="s">
        <v>1777</v>
      </c>
      <c r="L74" s="2496" t="s">
        <v>4435</v>
      </c>
      <c r="M74" s="2496" t="s">
        <v>1288</v>
      </c>
      <c r="N74" s="2497">
        <v>1600</v>
      </c>
      <c r="O74" s="2452"/>
    </row>
    <row r="75" spans="1:15" ht="15" customHeight="1">
      <c r="A75" s="2462">
        <v>11</v>
      </c>
      <c r="B75" s="2498" t="s">
        <v>4593</v>
      </c>
      <c r="C75" s="2496" t="s">
        <v>2440</v>
      </c>
      <c r="D75" s="2496">
        <v>1967</v>
      </c>
      <c r="E75" s="2496">
        <v>1</v>
      </c>
      <c r="F75" s="2496" t="s">
        <v>751</v>
      </c>
      <c r="G75" s="2496" t="s">
        <v>2440</v>
      </c>
      <c r="H75" s="2496">
        <v>625</v>
      </c>
      <c r="I75" s="2496" t="s">
        <v>2027</v>
      </c>
      <c r="J75" s="2496" t="s">
        <v>2030</v>
      </c>
      <c r="K75" s="2496" t="s">
        <v>1793</v>
      </c>
      <c r="L75" s="2496" t="s">
        <v>3102</v>
      </c>
      <c r="M75" s="2496" t="s">
        <v>2440</v>
      </c>
      <c r="N75" s="2497">
        <v>1700</v>
      </c>
      <c r="O75" s="2452"/>
    </row>
    <row r="76" spans="1:15" ht="15" customHeight="1">
      <c r="A76" s="2462">
        <v>12</v>
      </c>
      <c r="B76" s="2498" t="s">
        <v>4594</v>
      </c>
      <c r="C76" s="2496" t="s">
        <v>2440</v>
      </c>
      <c r="D76" s="2496">
        <v>1953</v>
      </c>
      <c r="E76" s="2496">
        <v>1</v>
      </c>
      <c r="F76" s="2496" t="s">
        <v>751</v>
      </c>
      <c r="G76" s="2496" t="s">
        <v>2440</v>
      </c>
      <c r="H76" s="2496">
        <v>624</v>
      </c>
      <c r="I76" s="2496" t="s">
        <v>2027</v>
      </c>
      <c r="J76" s="2496" t="s">
        <v>2029</v>
      </c>
      <c r="K76" s="2496" t="s">
        <v>1795</v>
      </c>
      <c r="L76" s="2496" t="s">
        <v>3103</v>
      </c>
      <c r="M76" s="2496" t="s">
        <v>2440</v>
      </c>
      <c r="N76" s="2497">
        <v>2000</v>
      </c>
      <c r="O76" s="2452"/>
    </row>
    <row r="77" spans="1:15" ht="15" customHeight="1">
      <c r="A77" s="2462">
        <v>13</v>
      </c>
      <c r="B77" s="2498" t="s">
        <v>4595</v>
      </c>
      <c r="C77" s="2496" t="s">
        <v>2440</v>
      </c>
      <c r="D77" s="2496">
        <v>1955</v>
      </c>
      <c r="E77" s="2496">
        <v>1</v>
      </c>
      <c r="F77" s="2496" t="s">
        <v>1786</v>
      </c>
      <c r="G77" s="2496" t="s">
        <v>2440</v>
      </c>
      <c r="H77" s="2496">
        <v>328</v>
      </c>
      <c r="I77" s="2496">
        <v>12</v>
      </c>
      <c r="J77" s="2496" t="s">
        <v>1774</v>
      </c>
      <c r="K77" s="2496" t="s">
        <v>1793</v>
      </c>
      <c r="L77" s="2496" t="s">
        <v>2438</v>
      </c>
      <c r="M77" s="2496" t="s">
        <v>2440</v>
      </c>
      <c r="N77" s="2497">
        <v>2000</v>
      </c>
      <c r="O77" s="2452"/>
    </row>
    <row r="78" spans="1:15" ht="15" customHeight="1">
      <c r="A78" s="2462">
        <v>14</v>
      </c>
      <c r="B78" s="2498" t="s">
        <v>4596</v>
      </c>
      <c r="C78" s="2496" t="s">
        <v>2440</v>
      </c>
      <c r="D78" s="2496">
        <v>1965</v>
      </c>
      <c r="E78" s="2496">
        <v>1</v>
      </c>
      <c r="F78" s="2496" t="s">
        <v>1772</v>
      </c>
      <c r="G78" s="2496" t="s">
        <v>2440</v>
      </c>
      <c r="H78" s="2496">
        <v>590</v>
      </c>
      <c r="I78" s="2496">
        <v>12</v>
      </c>
      <c r="J78" s="2496" t="s">
        <v>4121</v>
      </c>
      <c r="K78" s="2496" t="s">
        <v>1774</v>
      </c>
      <c r="L78" s="2496" t="s">
        <v>3105</v>
      </c>
      <c r="M78" s="2496" t="s">
        <v>2440</v>
      </c>
      <c r="N78" s="2497">
        <v>2000</v>
      </c>
      <c r="O78" s="2452"/>
    </row>
    <row r="79" spans="1:15" ht="15" customHeight="1">
      <c r="A79" s="2462">
        <v>15</v>
      </c>
      <c r="B79" s="2498"/>
      <c r="C79" s="2496"/>
      <c r="D79" s="2496"/>
      <c r="E79" s="2496"/>
      <c r="F79" s="2496"/>
      <c r="G79" s="2496"/>
      <c r="H79" s="2496"/>
      <c r="I79" s="2496"/>
      <c r="J79" s="2496"/>
      <c r="K79" s="2496"/>
      <c r="L79" s="2496"/>
      <c r="M79" s="2496"/>
      <c r="N79" s="2497"/>
      <c r="O79" s="2452"/>
    </row>
    <row r="80" spans="1:15" ht="15" customHeight="1">
      <c r="A80" s="2462">
        <v>16</v>
      </c>
      <c r="B80" s="2498" t="s">
        <v>3106</v>
      </c>
      <c r="C80" s="2496"/>
      <c r="D80" s="2496"/>
      <c r="E80" s="2496"/>
      <c r="F80" s="2496"/>
      <c r="G80" s="2496"/>
      <c r="H80" s="2496"/>
      <c r="I80" s="2496"/>
      <c r="J80" s="2496"/>
      <c r="K80" s="2496"/>
      <c r="L80" s="2496"/>
      <c r="M80" s="2496"/>
      <c r="N80" s="2497"/>
      <c r="O80" s="2452"/>
    </row>
    <row r="81" spans="1:15" ht="15" customHeight="1">
      <c r="A81" s="2462">
        <v>17</v>
      </c>
      <c r="B81" s="2498" t="s">
        <v>4597</v>
      </c>
      <c r="C81" s="2496" t="s">
        <v>3422</v>
      </c>
      <c r="D81" s="2496">
        <v>2012</v>
      </c>
      <c r="E81" s="2496">
        <v>1</v>
      </c>
      <c r="F81" s="2496" t="s">
        <v>3107</v>
      </c>
      <c r="G81" s="2496" t="s">
        <v>1285</v>
      </c>
      <c r="H81" s="2496">
        <v>498</v>
      </c>
      <c r="I81" s="2496">
        <v>12</v>
      </c>
      <c r="J81" s="2496">
        <v>19</v>
      </c>
      <c r="K81" s="2496">
        <v>41</v>
      </c>
      <c r="L81" s="2496" t="s">
        <v>4435</v>
      </c>
      <c r="M81" s="2496" t="s">
        <v>1288</v>
      </c>
      <c r="N81" s="2497">
        <v>1600</v>
      </c>
      <c r="O81" s="2452"/>
    </row>
    <row r="82" spans="1:15" ht="15" customHeight="1">
      <c r="A82" s="2462">
        <v>18</v>
      </c>
      <c r="B82" s="2498" t="s">
        <v>4598</v>
      </c>
      <c r="C82" s="2496" t="s">
        <v>2440</v>
      </c>
      <c r="D82" s="2496" t="s">
        <v>3108</v>
      </c>
      <c r="E82" s="2496">
        <v>1</v>
      </c>
      <c r="F82" s="2496" t="s">
        <v>1777</v>
      </c>
      <c r="G82" s="2496" t="s">
        <v>2440</v>
      </c>
      <c r="H82" s="2496" t="s">
        <v>3109</v>
      </c>
      <c r="I82" s="2496" t="s">
        <v>2027</v>
      </c>
      <c r="J82" s="2496" t="s">
        <v>4122</v>
      </c>
      <c r="K82" s="2496" t="s">
        <v>3110</v>
      </c>
      <c r="L82" s="2496" t="s">
        <v>4435</v>
      </c>
      <c r="M82" s="2496" t="s">
        <v>2440</v>
      </c>
      <c r="N82" s="2497">
        <v>1600</v>
      </c>
      <c r="O82" s="2452"/>
    </row>
    <row r="83" spans="1:15" ht="15" customHeight="1">
      <c r="A83" s="2462">
        <v>19</v>
      </c>
      <c r="B83" s="2498" t="s">
        <v>4599</v>
      </c>
      <c r="C83" s="2496" t="s">
        <v>2440</v>
      </c>
      <c r="D83" s="2496" t="s">
        <v>3111</v>
      </c>
      <c r="E83" s="2496">
        <v>1</v>
      </c>
      <c r="F83" s="2496" t="s">
        <v>1777</v>
      </c>
      <c r="G83" s="2496" t="s">
        <v>3112</v>
      </c>
      <c r="H83" s="2496" t="s">
        <v>3113</v>
      </c>
      <c r="I83" s="2496" t="s">
        <v>2027</v>
      </c>
      <c r="J83" s="2496" t="s">
        <v>2030</v>
      </c>
      <c r="K83" s="2496" t="s">
        <v>3114</v>
      </c>
      <c r="L83" s="2496" t="s">
        <v>3115</v>
      </c>
      <c r="M83" s="2496" t="s">
        <v>2440</v>
      </c>
      <c r="N83" s="2497">
        <v>1080</v>
      </c>
      <c r="O83" s="2452"/>
    </row>
    <row r="84" spans="1:15" ht="15" customHeight="1">
      <c r="A84" s="2462">
        <v>20</v>
      </c>
      <c r="B84" s="2498" t="s">
        <v>4600</v>
      </c>
      <c r="C84" s="2496" t="s">
        <v>2440</v>
      </c>
      <c r="D84" s="2496" t="s">
        <v>3116</v>
      </c>
      <c r="E84" s="2496">
        <v>1</v>
      </c>
      <c r="F84" s="2496" t="s">
        <v>2029</v>
      </c>
      <c r="G84" s="2496" t="s">
        <v>1285</v>
      </c>
      <c r="H84" s="2496" t="s">
        <v>3117</v>
      </c>
      <c r="I84" s="2496" t="s">
        <v>2027</v>
      </c>
      <c r="J84" s="2496" t="s">
        <v>2705</v>
      </c>
      <c r="K84" s="2496" t="s">
        <v>3118</v>
      </c>
      <c r="L84" s="2496" t="s">
        <v>2438</v>
      </c>
      <c r="M84" s="2496" t="s">
        <v>2440</v>
      </c>
      <c r="N84" s="2497">
        <v>2000</v>
      </c>
      <c r="O84" s="2452"/>
    </row>
    <row r="85" spans="1:15" ht="15" customHeight="1">
      <c r="A85" s="2462">
        <v>21</v>
      </c>
      <c r="B85" s="2498" t="s">
        <v>4601</v>
      </c>
      <c r="C85" s="2496" t="s">
        <v>2440</v>
      </c>
      <c r="D85" s="2496" t="s">
        <v>3123</v>
      </c>
      <c r="E85" s="2496">
        <v>1</v>
      </c>
      <c r="F85" s="2496" t="s">
        <v>2029</v>
      </c>
      <c r="G85" s="2496" t="s">
        <v>2440</v>
      </c>
      <c r="H85" s="2496" t="s">
        <v>3124</v>
      </c>
      <c r="I85" s="2496" t="s">
        <v>2027</v>
      </c>
      <c r="J85" s="2496" t="s">
        <v>2705</v>
      </c>
      <c r="K85" s="2496" t="s">
        <v>1779</v>
      </c>
      <c r="L85" s="2496" t="s">
        <v>2438</v>
      </c>
      <c r="M85" s="2496" t="s">
        <v>2440</v>
      </c>
      <c r="N85" s="2497">
        <v>2000</v>
      </c>
      <c r="O85" s="2452"/>
    </row>
    <row r="86" spans="1:15" ht="15" customHeight="1">
      <c r="A86" s="2462">
        <v>22</v>
      </c>
      <c r="B86" s="2498" t="s">
        <v>4602</v>
      </c>
      <c r="C86" s="2496" t="s">
        <v>2440</v>
      </c>
      <c r="D86" s="2496" t="s">
        <v>3119</v>
      </c>
      <c r="E86" s="2496">
        <v>1</v>
      </c>
      <c r="F86" s="2496" t="s">
        <v>3120</v>
      </c>
      <c r="G86" s="2496" t="s">
        <v>2440</v>
      </c>
      <c r="H86" s="2496" t="s">
        <v>3121</v>
      </c>
      <c r="I86" s="2496" t="s">
        <v>2027</v>
      </c>
      <c r="J86" s="2496" t="s">
        <v>750</v>
      </c>
      <c r="K86" s="2496" t="s">
        <v>3122</v>
      </c>
      <c r="L86" s="2496" t="s">
        <v>2438</v>
      </c>
      <c r="M86" s="2496" t="s">
        <v>2440</v>
      </c>
      <c r="N86" s="2497">
        <v>1700</v>
      </c>
      <c r="O86" s="2452"/>
    </row>
    <row r="87" spans="1:15" ht="15" customHeight="1">
      <c r="A87" s="2462">
        <v>23</v>
      </c>
      <c r="B87" s="2498" t="s">
        <v>4603</v>
      </c>
      <c r="C87" s="2496" t="s">
        <v>2440</v>
      </c>
      <c r="D87" s="2496" t="s">
        <v>3123</v>
      </c>
      <c r="E87" s="2496">
        <v>1</v>
      </c>
      <c r="F87" s="2496" t="s">
        <v>1772</v>
      </c>
      <c r="G87" s="2496" t="s">
        <v>2440</v>
      </c>
      <c r="H87" s="2496" t="s">
        <v>3125</v>
      </c>
      <c r="I87" s="2496" t="s">
        <v>2027</v>
      </c>
      <c r="J87" s="2496" t="s">
        <v>2030</v>
      </c>
      <c r="K87" s="2496" t="s">
        <v>1784</v>
      </c>
      <c r="L87" s="2496" t="s">
        <v>2438</v>
      </c>
      <c r="M87" s="2496" t="s">
        <v>2440</v>
      </c>
      <c r="N87" s="2497">
        <v>2000</v>
      </c>
      <c r="O87" s="2452"/>
    </row>
    <row r="88" spans="1:15" ht="15" customHeight="1">
      <c r="A88" s="2462">
        <v>24</v>
      </c>
      <c r="B88" s="2498"/>
      <c r="C88" s="2496"/>
      <c r="D88" s="2496"/>
      <c r="E88" s="2496"/>
      <c r="F88" s="2496"/>
      <c r="G88" s="2496"/>
      <c r="H88" s="2496"/>
      <c r="I88" s="2496"/>
      <c r="J88" s="2496"/>
      <c r="K88" s="2496"/>
      <c r="L88" s="2496"/>
      <c r="M88" s="2496"/>
      <c r="N88" s="2497"/>
      <c r="O88" s="2452"/>
    </row>
    <row r="89" spans="1:15" ht="15" customHeight="1">
      <c r="A89" s="2462">
        <v>25</v>
      </c>
      <c r="B89" s="2463"/>
      <c r="C89" s="2496"/>
      <c r="D89" s="2496"/>
      <c r="E89" s="2496"/>
      <c r="F89" s="2496"/>
      <c r="G89" s="2463"/>
      <c r="H89" s="2463"/>
      <c r="I89" s="2463"/>
      <c r="J89" s="2463"/>
      <c r="K89" s="2463"/>
      <c r="L89" s="2463"/>
      <c r="M89" s="2463"/>
      <c r="N89" s="2461"/>
      <c r="O89" s="2452"/>
    </row>
    <row r="90" spans="1:15" ht="15" customHeight="1" thickBot="1">
      <c r="A90" s="2499">
        <v>26</v>
      </c>
      <c r="B90" s="2503"/>
      <c r="C90" s="2503"/>
      <c r="D90" s="2503"/>
      <c r="E90" s="2503"/>
      <c r="F90" s="2503"/>
      <c r="G90" s="2503"/>
      <c r="H90" s="2503"/>
      <c r="I90" s="2503"/>
      <c r="J90" s="2503"/>
      <c r="K90" s="2503"/>
      <c r="L90" s="2503"/>
      <c r="M90" s="2503"/>
      <c r="N90" s="2504"/>
      <c r="O90" s="2452"/>
    </row>
    <row r="91" spans="1:15" ht="15" customHeight="1">
      <c r="A91" s="2449" t="s">
        <v>3184</v>
      </c>
      <c r="B91" s="2449"/>
      <c r="C91" s="2449"/>
      <c r="D91" s="2449"/>
      <c r="E91" s="2449"/>
      <c r="F91" s="2449"/>
      <c r="G91" s="2449"/>
      <c r="H91" s="2449"/>
      <c r="I91" s="2449"/>
      <c r="J91" s="2449"/>
      <c r="K91" s="2449"/>
      <c r="L91" s="2449"/>
      <c r="M91" s="2449"/>
      <c r="N91" s="2449"/>
    </row>
    <row r="92" spans="1:15" ht="15" customHeight="1">
      <c r="A92" s="2489" t="s">
        <v>5276</v>
      </c>
      <c r="B92" s="2489"/>
      <c r="C92" s="2489"/>
      <c r="D92" s="2489"/>
      <c r="E92" s="2489"/>
      <c r="F92" s="2489"/>
      <c r="G92" s="2489"/>
      <c r="H92" s="2489"/>
      <c r="I92" s="2489"/>
      <c r="J92" s="2489"/>
      <c r="K92" s="2489"/>
      <c r="L92" s="2489"/>
      <c r="M92" s="2489"/>
      <c r="N92" s="2489"/>
    </row>
    <row r="93" spans="1:15" ht="15" customHeight="1" thickBot="1">
      <c r="A93" s="2444" t="str">
        <f>+A1</f>
        <v>Annual Report of New York American Water Company, Inc. (f/k/a Long Island Water Corp)                                   Year Ended  December 31, 2013</v>
      </c>
    </row>
    <row r="94" spans="1:15" ht="15.95" customHeight="1">
      <c r="A94" s="2448"/>
      <c r="B94" s="2449"/>
      <c r="C94" s="2449"/>
      <c r="D94" s="2449"/>
      <c r="E94" s="2449"/>
      <c r="F94" s="2449"/>
      <c r="G94" s="2449"/>
      <c r="H94" s="2449"/>
      <c r="I94" s="2449"/>
      <c r="J94" s="2449"/>
      <c r="K94" s="2449"/>
      <c r="L94" s="2449"/>
      <c r="M94" s="2449"/>
      <c r="N94" s="2450"/>
      <c r="O94" s="2452"/>
    </row>
    <row r="95" spans="1:15" ht="15.95" customHeight="1">
      <c r="A95" s="2490" t="s">
        <v>4013</v>
      </c>
      <c r="B95" s="2460"/>
      <c r="C95" s="2460"/>
      <c r="D95" s="2460"/>
      <c r="E95" s="2460"/>
      <c r="F95" s="2460"/>
      <c r="G95" s="2460"/>
      <c r="H95" s="2460"/>
      <c r="I95" s="2460"/>
      <c r="J95" s="2460"/>
      <c r="K95" s="2460"/>
      <c r="L95" s="2460"/>
      <c r="M95" s="2460"/>
      <c r="N95" s="2491"/>
      <c r="O95" s="2452"/>
    </row>
    <row r="96" spans="1:15" ht="15.95" customHeight="1">
      <c r="A96" s="2452"/>
      <c r="B96" s="2451"/>
      <c r="C96" s="2451"/>
      <c r="D96" s="2451"/>
      <c r="E96" s="2451"/>
      <c r="F96" s="2451"/>
      <c r="G96" s="2451"/>
      <c r="H96" s="2451"/>
      <c r="I96" s="2451"/>
      <c r="J96" s="2451"/>
      <c r="K96" s="2451"/>
      <c r="L96" s="2451"/>
      <c r="M96" s="2451"/>
      <c r="N96" s="2453"/>
      <c r="O96" s="2452"/>
    </row>
    <row r="97" spans="1:15" ht="15.95" customHeight="1">
      <c r="A97" s="2454"/>
      <c r="B97" s="2445"/>
      <c r="C97" s="2445"/>
      <c r="D97" s="2445"/>
      <c r="E97" s="2445"/>
      <c r="F97" s="2445"/>
      <c r="G97" s="2445"/>
      <c r="H97" s="2445"/>
      <c r="I97" s="2445"/>
      <c r="J97" s="2445"/>
      <c r="K97" s="2445"/>
      <c r="L97" s="2445"/>
      <c r="M97" s="2445"/>
      <c r="N97" s="2455"/>
      <c r="O97" s="2452"/>
    </row>
    <row r="98" spans="1:15" ht="15.95" customHeight="1">
      <c r="A98" s="2452"/>
      <c r="B98" s="2451" t="s">
        <v>1854</v>
      </c>
      <c r="C98" s="2451"/>
      <c r="D98" s="2451"/>
      <c r="E98" s="2451"/>
      <c r="F98" s="2451"/>
      <c r="G98" s="2451"/>
      <c r="H98" s="2451"/>
      <c r="I98" s="2451" t="s">
        <v>4216</v>
      </c>
      <c r="J98" s="2451"/>
      <c r="K98" s="2451"/>
      <c r="L98" s="2451"/>
      <c r="M98" s="2451"/>
      <c r="N98" s="2453"/>
      <c r="O98" s="2452"/>
    </row>
    <row r="99" spans="1:15" ht="15.95" customHeight="1">
      <c r="A99" s="2452"/>
      <c r="B99" s="2451" t="s">
        <v>4217</v>
      </c>
      <c r="C99" s="2451"/>
      <c r="D99" s="2451"/>
      <c r="E99" s="2451"/>
      <c r="F99" s="2451"/>
      <c r="G99" s="2451"/>
      <c r="H99" s="2451"/>
      <c r="I99" s="2451" t="s">
        <v>4218</v>
      </c>
      <c r="J99" s="2451"/>
      <c r="K99" s="2451"/>
      <c r="L99" s="2451"/>
      <c r="M99" s="2451"/>
      <c r="N99" s="2453"/>
      <c r="O99" s="2452"/>
    </row>
    <row r="100" spans="1:15" ht="15.95" customHeight="1">
      <c r="A100" s="2452"/>
      <c r="B100" s="2451" t="s">
        <v>4219</v>
      </c>
      <c r="C100" s="2451"/>
      <c r="D100" s="2451"/>
      <c r="E100" s="2451"/>
      <c r="F100" s="2451"/>
      <c r="G100" s="2451"/>
      <c r="H100" s="2451"/>
      <c r="I100" s="2451"/>
      <c r="J100" s="2451"/>
      <c r="K100" s="2451"/>
      <c r="L100" s="2451"/>
      <c r="M100" s="2451"/>
      <c r="N100" s="2453"/>
      <c r="O100" s="2452"/>
    </row>
    <row r="101" spans="1:15" ht="15.95" customHeight="1">
      <c r="A101" s="2452"/>
      <c r="B101" s="2451"/>
      <c r="C101" s="2451"/>
      <c r="D101" s="2451"/>
      <c r="E101" s="2451"/>
      <c r="F101" s="2451"/>
      <c r="G101" s="2451"/>
      <c r="H101" s="2451"/>
      <c r="I101" s="2451"/>
      <c r="J101" s="2451"/>
      <c r="K101" s="2451"/>
      <c r="L101" s="2451"/>
      <c r="M101" s="2451"/>
      <c r="N101" s="2453"/>
      <c r="O101" s="2452"/>
    </row>
    <row r="102" spans="1:15" ht="15.95" customHeight="1">
      <c r="A102" s="2452"/>
      <c r="B102" s="2451" t="s">
        <v>1183</v>
      </c>
      <c r="C102" s="2451"/>
      <c r="D102" s="2451"/>
      <c r="E102" s="2451"/>
      <c r="F102" s="2451"/>
      <c r="G102" s="2451"/>
      <c r="H102" s="2451"/>
      <c r="I102" s="2451"/>
      <c r="J102" s="2451"/>
      <c r="K102" s="2451"/>
      <c r="L102" s="2451"/>
      <c r="M102" s="2451"/>
      <c r="N102" s="2453"/>
      <c r="O102" s="2452"/>
    </row>
    <row r="103" spans="1:15" ht="15.95" customHeight="1">
      <c r="A103" s="2452"/>
      <c r="B103" s="2451" t="s">
        <v>3981</v>
      </c>
      <c r="C103" s="2451"/>
      <c r="D103" s="2451"/>
      <c r="E103" s="2451"/>
      <c r="F103" s="2451"/>
      <c r="G103" s="2451"/>
      <c r="H103" s="2451"/>
      <c r="I103" s="2451"/>
      <c r="J103" s="2451"/>
      <c r="K103" s="2451"/>
      <c r="L103" s="2451"/>
      <c r="M103" s="2451"/>
      <c r="N103" s="2453"/>
      <c r="O103" s="2452"/>
    </row>
    <row r="104" spans="1:15" ht="15.95" customHeight="1">
      <c r="A104" s="2452"/>
      <c r="B104" s="2451"/>
      <c r="C104" s="2451"/>
      <c r="D104" s="2451"/>
      <c r="E104" s="2451"/>
      <c r="F104" s="2451"/>
      <c r="G104" s="2451"/>
      <c r="H104" s="2451"/>
      <c r="I104" s="2451"/>
      <c r="J104" s="2451"/>
      <c r="K104" s="2451"/>
      <c r="L104" s="2451"/>
      <c r="M104" s="2451"/>
      <c r="N104" s="2453"/>
      <c r="O104" s="2452"/>
    </row>
    <row r="105" spans="1:15" ht="15" customHeight="1">
      <c r="A105" s="2492"/>
      <c r="B105" s="2464"/>
      <c r="C105" s="2464"/>
      <c r="D105" s="2464"/>
      <c r="E105" s="2464"/>
      <c r="F105" s="2464"/>
      <c r="G105" s="2456" t="s">
        <v>4220</v>
      </c>
      <c r="H105" s="2457"/>
      <c r="I105" s="2457"/>
      <c r="J105" s="2457"/>
      <c r="K105" s="2457"/>
      <c r="L105" s="2457"/>
      <c r="M105" s="2457"/>
      <c r="N105" s="2458"/>
      <c r="O105" s="2452"/>
    </row>
    <row r="106" spans="1:15" ht="15" customHeight="1">
      <c r="A106" s="2462"/>
      <c r="B106" s="2463" t="s">
        <v>3026</v>
      </c>
      <c r="C106" s="2463" t="s">
        <v>4221</v>
      </c>
      <c r="D106" s="2463" t="s">
        <v>3968</v>
      </c>
      <c r="E106" s="2463" t="s">
        <v>4222</v>
      </c>
      <c r="F106" s="2463" t="s">
        <v>4223</v>
      </c>
      <c r="G106" s="2464" t="s">
        <v>94</v>
      </c>
      <c r="H106" s="2464"/>
      <c r="I106" s="2464" t="s">
        <v>3973</v>
      </c>
      <c r="J106" s="2464" t="s">
        <v>4224</v>
      </c>
      <c r="K106" s="2464" t="s">
        <v>4225</v>
      </c>
      <c r="L106" s="2464"/>
      <c r="M106" s="2464"/>
      <c r="N106" s="2461" t="s">
        <v>2989</v>
      </c>
      <c r="O106" s="2452"/>
    </row>
    <row r="107" spans="1:15" ht="15" customHeight="1">
      <c r="A107" s="2462" t="s">
        <v>1939</v>
      </c>
      <c r="B107" s="2463" t="s">
        <v>4226</v>
      </c>
      <c r="C107" s="2463" t="s">
        <v>4227</v>
      </c>
      <c r="D107" s="2463" t="s">
        <v>3974</v>
      </c>
      <c r="E107" s="2463" t="s">
        <v>2593</v>
      </c>
      <c r="F107" s="2463" t="s">
        <v>4228</v>
      </c>
      <c r="G107" s="2463" t="s">
        <v>4229</v>
      </c>
      <c r="H107" s="2463" t="s">
        <v>3024</v>
      </c>
      <c r="I107" s="2463" t="s">
        <v>344</v>
      </c>
      <c r="J107" s="2463" t="s">
        <v>3034</v>
      </c>
      <c r="K107" s="2463" t="s">
        <v>3336</v>
      </c>
      <c r="L107" s="2463" t="s">
        <v>4465</v>
      </c>
      <c r="M107" s="2463" t="s">
        <v>3337</v>
      </c>
      <c r="N107" s="2461" t="s">
        <v>254</v>
      </c>
      <c r="O107" s="2452"/>
    </row>
    <row r="108" spans="1:15" ht="15" customHeight="1">
      <c r="A108" s="2462"/>
      <c r="B108" s="2463" t="s">
        <v>255</v>
      </c>
      <c r="C108" s="2463" t="s">
        <v>256</v>
      </c>
      <c r="D108" s="2463" t="s">
        <v>257</v>
      </c>
      <c r="E108" s="2463" t="s">
        <v>258</v>
      </c>
      <c r="F108" s="2463" t="s">
        <v>259</v>
      </c>
      <c r="G108" s="2463" t="s">
        <v>260</v>
      </c>
      <c r="H108" s="2463" t="s">
        <v>3039</v>
      </c>
      <c r="I108" s="2463" t="s">
        <v>261</v>
      </c>
      <c r="J108" s="2463" t="s">
        <v>262</v>
      </c>
      <c r="K108" s="2463" t="s">
        <v>263</v>
      </c>
      <c r="L108" s="2463" t="s">
        <v>264</v>
      </c>
      <c r="M108" s="2463" t="s">
        <v>2600</v>
      </c>
      <c r="N108" s="2461" t="s">
        <v>1989</v>
      </c>
      <c r="O108" s="2452"/>
    </row>
    <row r="109" spans="1:15" ht="15" customHeight="1">
      <c r="A109" s="2462" t="s">
        <v>1941</v>
      </c>
      <c r="B109" s="2463" t="s">
        <v>1990</v>
      </c>
      <c r="C109" s="2463"/>
      <c r="D109" s="2463"/>
      <c r="E109" s="2463" t="s">
        <v>1991</v>
      </c>
      <c r="F109" s="2463" t="s">
        <v>1992</v>
      </c>
      <c r="G109" s="2463" t="s">
        <v>1993</v>
      </c>
      <c r="H109" s="2463"/>
      <c r="I109" s="2463" t="s">
        <v>1748</v>
      </c>
      <c r="J109" s="2463" t="s">
        <v>1994</v>
      </c>
      <c r="K109" s="2463" t="s">
        <v>3039</v>
      </c>
      <c r="L109" s="2463"/>
      <c r="M109" s="2463"/>
      <c r="N109" s="2461" t="s">
        <v>3835</v>
      </c>
      <c r="O109" s="2452"/>
    </row>
    <row r="110" spans="1:15" ht="15" customHeight="1">
      <c r="A110" s="2462"/>
      <c r="B110" s="2463" t="s">
        <v>932</v>
      </c>
      <c r="C110" s="2463" t="s">
        <v>933</v>
      </c>
      <c r="D110" s="2463" t="s">
        <v>934</v>
      </c>
      <c r="E110" s="2463" t="s">
        <v>935</v>
      </c>
      <c r="F110" s="2463" t="s">
        <v>936</v>
      </c>
      <c r="G110" s="2463" t="s">
        <v>937</v>
      </c>
      <c r="H110" s="2463" t="s">
        <v>938</v>
      </c>
      <c r="I110" s="2463" t="s">
        <v>939</v>
      </c>
      <c r="J110" s="2463" t="s">
        <v>4484</v>
      </c>
      <c r="K110" s="2463" t="s">
        <v>4485</v>
      </c>
      <c r="L110" s="2463" t="s">
        <v>4486</v>
      </c>
      <c r="M110" s="2463" t="s">
        <v>4487</v>
      </c>
      <c r="N110" s="2461" t="s">
        <v>4488</v>
      </c>
      <c r="O110" s="2452"/>
    </row>
    <row r="111" spans="1:15" ht="15" customHeight="1">
      <c r="A111" s="2492">
        <v>1</v>
      </c>
      <c r="B111" s="2494" t="s">
        <v>3126</v>
      </c>
      <c r="C111" s="2494"/>
      <c r="D111" s="2494"/>
      <c r="E111" s="2494"/>
      <c r="F111" s="2494"/>
      <c r="G111" s="2494"/>
      <c r="H111" s="2494"/>
      <c r="I111" s="2494"/>
      <c r="J111" s="2494"/>
      <c r="K111" s="2494"/>
      <c r="L111" s="2494"/>
      <c r="M111" s="2494"/>
      <c r="N111" s="2495"/>
      <c r="O111" s="2452"/>
    </row>
    <row r="112" spans="1:15" ht="15" customHeight="1">
      <c r="A112" s="2462">
        <v>2</v>
      </c>
      <c r="B112" s="2496" t="s">
        <v>2439</v>
      </c>
      <c r="C112" s="2496" t="s">
        <v>4449</v>
      </c>
      <c r="D112" s="2496" t="s">
        <v>4460</v>
      </c>
      <c r="E112" s="2496">
        <v>2</v>
      </c>
      <c r="F112" s="2496" t="s">
        <v>2706</v>
      </c>
      <c r="G112" s="2496" t="s">
        <v>1285</v>
      </c>
      <c r="H112" s="2496" t="s">
        <v>3127</v>
      </c>
      <c r="I112" s="2496" t="s">
        <v>2704</v>
      </c>
      <c r="J112" s="2496" t="s">
        <v>745</v>
      </c>
      <c r="K112" s="2496" t="s">
        <v>2030</v>
      </c>
      <c r="L112" s="2496" t="s">
        <v>745</v>
      </c>
      <c r="M112" s="2496" t="s">
        <v>4451</v>
      </c>
      <c r="N112" s="2497" t="s">
        <v>987</v>
      </c>
      <c r="O112" s="2452"/>
    </row>
    <row r="113" spans="1:15" ht="15" customHeight="1">
      <c r="A113" s="2462">
        <v>3</v>
      </c>
      <c r="B113" s="2496" t="s">
        <v>2439</v>
      </c>
      <c r="C113" s="2496" t="s">
        <v>2440</v>
      </c>
      <c r="D113" s="2496" t="s">
        <v>3128</v>
      </c>
      <c r="E113" s="2496">
        <v>5</v>
      </c>
      <c r="F113" s="2496" t="s">
        <v>2706</v>
      </c>
      <c r="G113" s="2496" t="s">
        <v>2440</v>
      </c>
      <c r="H113" s="2496" t="s">
        <v>3129</v>
      </c>
      <c r="I113" s="2496" t="s">
        <v>2706</v>
      </c>
      <c r="J113" s="2496" t="s">
        <v>745</v>
      </c>
      <c r="K113" s="2496" t="s">
        <v>2030</v>
      </c>
      <c r="L113" s="2496" t="s">
        <v>745</v>
      </c>
      <c r="M113" s="2496" t="s">
        <v>2440</v>
      </c>
      <c r="N113" s="2497" t="s">
        <v>987</v>
      </c>
      <c r="O113" s="2452"/>
    </row>
    <row r="114" spans="1:15" ht="15" customHeight="1">
      <c r="A114" s="2462">
        <v>4</v>
      </c>
      <c r="B114" s="2496" t="s">
        <v>2439</v>
      </c>
      <c r="C114" s="2496" t="s">
        <v>2440</v>
      </c>
      <c r="D114" s="2496" t="s">
        <v>3123</v>
      </c>
      <c r="E114" s="2496">
        <v>11</v>
      </c>
      <c r="F114" s="2496" t="s">
        <v>2706</v>
      </c>
      <c r="G114" s="2496" t="s">
        <v>2440</v>
      </c>
      <c r="H114" s="2496" t="s">
        <v>3130</v>
      </c>
      <c r="I114" s="2496" t="s">
        <v>2706</v>
      </c>
      <c r="J114" s="2496" t="s">
        <v>745</v>
      </c>
      <c r="K114" s="2496" t="s">
        <v>2030</v>
      </c>
      <c r="L114" s="2496" t="s">
        <v>745</v>
      </c>
      <c r="M114" s="2496" t="s">
        <v>2440</v>
      </c>
      <c r="N114" s="2497" t="s">
        <v>987</v>
      </c>
      <c r="O114" s="2452"/>
    </row>
    <row r="115" spans="1:15" ht="15" customHeight="1">
      <c r="A115" s="2462">
        <v>5</v>
      </c>
      <c r="B115" s="2496" t="s">
        <v>2439</v>
      </c>
      <c r="C115" s="2496" t="s">
        <v>2440</v>
      </c>
      <c r="D115" s="2496" t="s">
        <v>4427</v>
      </c>
      <c r="E115" s="2496">
        <v>6</v>
      </c>
      <c r="F115" s="2496" t="s">
        <v>2706</v>
      </c>
      <c r="G115" s="2496" t="s">
        <v>2440</v>
      </c>
      <c r="H115" s="2496" t="s">
        <v>3131</v>
      </c>
      <c r="I115" s="2496" t="s">
        <v>2706</v>
      </c>
      <c r="J115" s="2496" t="s">
        <v>745</v>
      </c>
      <c r="K115" s="2496" t="s">
        <v>2030</v>
      </c>
      <c r="L115" s="2496" t="s">
        <v>745</v>
      </c>
      <c r="M115" s="2496" t="s">
        <v>2440</v>
      </c>
      <c r="N115" s="2497" t="s">
        <v>987</v>
      </c>
      <c r="O115" s="2452"/>
    </row>
    <row r="116" spans="1:15" ht="15" customHeight="1">
      <c r="A116" s="2462">
        <v>6</v>
      </c>
      <c r="B116" s="2496" t="s">
        <v>2439</v>
      </c>
      <c r="C116" s="2496" t="s">
        <v>2440</v>
      </c>
      <c r="D116" s="2496" t="s">
        <v>3132</v>
      </c>
      <c r="E116" s="2496">
        <v>16</v>
      </c>
      <c r="F116" s="2496" t="s">
        <v>2706</v>
      </c>
      <c r="G116" s="2496" t="s">
        <v>2440</v>
      </c>
      <c r="H116" s="2496" t="s">
        <v>3133</v>
      </c>
      <c r="I116" s="2496" t="s">
        <v>2706</v>
      </c>
      <c r="J116" s="2496" t="s">
        <v>745</v>
      </c>
      <c r="K116" s="2496" t="s">
        <v>2030</v>
      </c>
      <c r="L116" s="2496" t="s">
        <v>745</v>
      </c>
      <c r="M116" s="2496" t="s">
        <v>2440</v>
      </c>
      <c r="N116" s="2497" t="s">
        <v>987</v>
      </c>
      <c r="O116" s="2452"/>
    </row>
    <row r="117" spans="1:15" ht="15" customHeight="1">
      <c r="A117" s="2462">
        <v>7</v>
      </c>
      <c r="B117" s="2496" t="s">
        <v>2439</v>
      </c>
      <c r="C117" s="2496" t="s">
        <v>2440</v>
      </c>
      <c r="D117" s="2496" t="s">
        <v>3134</v>
      </c>
      <c r="E117" s="2496">
        <v>8</v>
      </c>
      <c r="F117" s="2496" t="s">
        <v>2706</v>
      </c>
      <c r="G117" s="2496" t="s">
        <v>2440</v>
      </c>
      <c r="H117" s="2496" t="s">
        <v>2728</v>
      </c>
      <c r="I117" s="2496" t="s">
        <v>2706</v>
      </c>
      <c r="J117" s="2496" t="s">
        <v>745</v>
      </c>
      <c r="K117" s="2496" t="s">
        <v>2030</v>
      </c>
      <c r="L117" s="2496" t="s">
        <v>745</v>
      </c>
      <c r="M117" s="2496" t="s">
        <v>2440</v>
      </c>
      <c r="N117" s="2497" t="s">
        <v>987</v>
      </c>
      <c r="O117" s="2452"/>
    </row>
    <row r="118" spans="1:15" ht="15" customHeight="1">
      <c r="A118" s="2462">
        <v>8</v>
      </c>
      <c r="B118" s="2496" t="s">
        <v>2439</v>
      </c>
      <c r="C118" s="2496" t="s">
        <v>2440</v>
      </c>
      <c r="D118" s="2496" t="s">
        <v>2729</v>
      </c>
      <c r="E118" s="2496">
        <v>6</v>
      </c>
      <c r="F118" s="2496" t="s">
        <v>2706</v>
      </c>
      <c r="G118" s="2496" t="s">
        <v>2440</v>
      </c>
      <c r="H118" s="2496" t="s">
        <v>2730</v>
      </c>
      <c r="I118" s="2496" t="s">
        <v>2706</v>
      </c>
      <c r="J118" s="2496" t="s">
        <v>745</v>
      </c>
      <c r="K118" s="2496" t="s">
        <v>2030</v>
      </c>
      <c r="L118" s="2496" t="s">
        <v>745</v>
      </c>
      <c r="M118" s="2496" t="s">
        <v>2440</v>
      </c>
      <c r="N118" s="2497" t="s">
        <v>987</v>
      </c>
      <c r="O118" s="2452"/>
    </row>
    <row r="119" spans="1:15" ht="15" customHeight="1">
      <c r="A119" s="2462">
        <v>9</v>
      </c>
      <c r="B119" s="2496" t="s">
        <v>2439</v>
      </c>
      <c r="C119" s="2496" t="s">
        <v>2440</v>
      </c>
      <c r="D119" s="2496" t="s">
        <v>868</v>
      </c>
      <c r="E119" s="2496">
        <v>3</v>
      </c>
      <c r="F119" s="2496" t="s">
        <v>2706</v>
      </c>
      <c r="G119" s="2496" t="s">
        <v>2440</v>
      </c>
      <c r="H119" s="2496" t="s">
        <v>869</v>
      </c>
      <c r="I119" s="2496" t="s">
        <v>2706</v>
      </c>
      <c r="J119" s="2496" t="s">
        <v>745</v>
      </c>
      <c r="K119" s="2496" t="s">
        <v>2030</v>
      </c>
      <c r="L119" s="2496" t="s">
        <v>745</v>
      </c>
      <c r="M119" s="2496" t="s">
        <v>2440</v>
      </c>
      <c r="N119" s="2497" t="s">
        <v>987</v>
      </c>
      <c r="O119" s="2452"/>
    </row>
    <row r="120" spans="1:15" ht="15" customHeight="1">
      <c r="A120" s="2462">
        <v>10</v>
      </c>
      <c r="B120" s="2496" t="s">
        <v>2439</v>
      </c>
      <c r="C120" s="2496" t="s">
        <v>984</v>
      </c>
      <c r="D120" s="2496" t="s">
        <v>985</v>
      </c>
      <c r="E120" s="2496">
        <v>1</v>
      </c>
      <c r="F120" s="2496" t="s">
        <v>2706</v>
      </c>
      <c r="G120" s="2496" t="s">
        <v>2440</v>
      </c>
      <c r="H120" s="2496" t="s">
        <v>986</v>
      </c>
      <c r="I120" s="2496" t="s">
        <v>2706</v>
      </c>
      <c r="J120" s="2496" t="s">
        <v>745</v>
      </c>
      <c r="K120" s="2496" t="s">
        <v>2030</v>
      </c>
      <c r="L120" s="2496" t="s">
        <v>745</v>
      </c>
      <c r="M120" s="2496" t="s">
        <v>987</v>
      </c>
      <c r="N120" s="2497"/>
      <c r="O120" s="2452"/>
    </row>
    <row r="121" spans="1:15" ht="15" customHeight="1">
      <c r="A121" s="2462">
        <v>11</v>
      </c>
      <c r="B121" s="2496" t="s">
        <v>2439</v>
      </c>
      <c r="C121" s="2496" t="s">
        <v>2440</v>
      </c>
      <c r="D121" s="2496" t="s">
        <v>2441</v>
      </c>
      <c r="E121" s="2496">
        <v>1</v>
      </c>
      <c r="F121" s="2496" t="s">
        <v>2706</v>
      </c>
      <c r="G121" s="2496" t="s">
        <v>2440</v>
      </c>
      <c r="H121" s="2496" t="s">
        <v>988</v>
      </c>
      <c r="I121" s="2496" t="s">
        <v>2706</v>
      </c>
      <c r="J121" s="2496" t="s">
        <v>745</v>
      </c>
      <c r="K121" s="2496" t="s">
        <v>989</v>
      </c>
      <c r="L121" s="2496" t="s">
        <v>745</v>
      </c>
      <c r="M121" s="2496" t="s">
        <v>987</v>
      </c>
      <c r="N121" s="2497"/>
      <c r="O121" s="2452"/>
    </row>
    <row r="122" spans="1:15" ht="15" customHeight="1">
      <c r="A122" s="2462">
        <v>12</v>
      </c>
      <c r="B122" s="2496" t="s">
        <v>2439</v>
      </c>
      <c r="C122" s="2496" t="s">
        <v>2440</v>
      </c>
      <c r="D122" s="2496" t="s">
        <v>3119</v>
      </c>
      <c r="E122" s="2496">
        <v>1</v>
      </c>
      <c r="F122" s="2496" t="s">
        <v>2706</v>
      </c>
      <c r="G122" s="2496" t="s">
        <v>2440</v>
      </c>
      <c r="H122" s="2496" t="s">
        <v>990</v>
      </c>
      <c r="I122" s="2496" t="s">
        <v>2706</v>
      </c>
      <c r="J122" s="2496" t="s">
        <v>745</v>
      </c>
      <c r="K122" s="2496" t="s">
        <v>989</v>
      </c>
      <c r="L122" s="2496" t="s">
        <v>745</v>
      </c>
      <c r="M122" s="2496" t="s">
        <v>987</v>
      </c>
      <c r="N122" s="2497"/>
      <c r="O122" s="2452"/>
    </row>
    <row r="123" spans="1:15" ht="15" customHeight="1">
      <c r="A123" s="2462">
        <v>13</v>
      </c>
      <c r="B123" s="2498" t="s">
        <v>5227</v>
      </c>
      <c r="C123" s="2496" t="s">
        <v>3422</v>
      </c>
      <c r="D123" s="2496">
        <v>2011</v>
      </c>
      <c r="E123" s="2496">
        <v>1</v>
      </c>
      <c r="F123" s="2496">
        <v>8</v>
      </c>
      <c r="G123" s="2496" t="s">
        <v>2440</v>
      </c>
      <c r="H123" s="2496">
        <v>157</v>
      </c>
      <c r="I123" s="2496">
        <v>8</v>
      </c>
      <c r="J123" s="2496" t="s">
        <v>745</v>
      </c>
      <c r="K123" s="2496">
        <v>15</v>
      </c>
      <c r="L123" s="2496" t="s">
        <v>745</v>
      </c>
      <c r="M123" s="2496" t="s">
        <v>4451</v>
      </c>
      <c r="N123" s="2497">
        <v>200</v>
      </c>
      <c r="O123" s="2452"/>
    </row>
    <row r="124" spans="1:15" ht="15" customHeight="1">
      <c r="A124" s="2462">
        <v>14</v>
      </c>
      <c r="B124" s="2498" t="s">
        <v>5228</v>
      </c>
      <c r="C124" s="2496" t="s">
        <v>2440</v>
      </c>
      <c r="D124" s="2496">
        <v>2011</v>
      </c>
      <c r="E124" s="2496">
        <v>1</v>
      </c>
      <c r="F124" s="2496">
        <v>8</v>
      </c>
      <c r="G124" s="2496" t="s">
        <v>2440</v>
      </c>
      <c r="H124" s="2496">
        <v>156</v>
      </c>
      <c r="I124" s="2496">
        <v>8</v>
      </c>
      <c r="J124" s="2496" t="s">
        <v>745</v>
      </c>
      <c r="K124" s="2496">
        <v>15</v>
      </c>
      <c r="L124" s="2496" t="s">
        <v>745</v>
      </c>
      <c r="M124" s="2496" t="s">
        <v>2440</v>
      </c>
      <c r="N124" s="2497">
        <v>200</v>
      </c>
      <c r="O124" s="2452"/>
    </row>
    <row r="125" spans="1:15" ht="15" customHeight="1">
      <c r="A125" s="2462">
        <v>15</v>
      </c>
      <c r="B125" s="2498" t="s">
        <v>5229</v>
      </c>
      <c r="C125" s="2496" t="s">
        <v>2440</v>
      </c>
      <c r="D125" s="2496">
        <v>2011</v>
      </c>
      <c r="E125" s="2496">
        <v>1</v>
      </c>
      <c r="F125" s="2496">
        <v>8</v>
      </c>
      <c r="G125" s="2496" t="s">
        <v>2440</v>
      </c>
      <c r="H125" s="2496">
        <v>145</v>
      </c>
      <c r="I125" s="2496">
        <v>8</v>
      </c>
      <c r="J125" s="2496" t="s">
        <v>745</v>
      </c>
      <c r="K125" s="2496">
        <v>15</v>
      </c>
      <c r="L125" s="2496" t="s">
        <v>745</v>
      </c>
      <c r="M125" s="2496" t="s">
        <v>2440</v>
      </c>
      <c r="N125" s="2497">
        <v>200</v>
      </c>
      <c r="O125" s="2452"/>
    </row>
    <row r="126" spans="1:15" ht="15" customHeight="1">
      <c r="A126" s="2462">
        <v>16</v>
      </c>
      <c r="B126" s="2498" t="s">
        <v>5230</v>
      </c>
      <c r="C126" s="2496" t="s">
        <v>2440</v>
      </c>
      <c r="D126" s="2496">
        <v>1998</v>
      </c>
      <c r="E126" s="2496">
        <v>1</v>
      </c>
      <c r="F126" s="2496">
        <v>8</v>
      </c>
      <c r="G126" s="2496" t="s">
        <v>2440</v>
      </c>
      <c r="H126" s="2496">
        <v>153</v>
      </c>
      <c r="I126" s="2496">
        <v>8</v>
      </c>
      <c r="J126" s="2496" t="s">
        <v>745</v>
      </c>
      <c r="K126" s="2496">
        <v>15</v>
      </c>
      <c r="L126" s="2496" t="s">
        <v>745</v>
      </c>
      <c r="M126" s="2496" t="s">
        <v>2440</v>
      </c>
      <c r="N126" s="2497">
        <v>200</v>
      </c>
      <c r="O126" s="2452"/>
    </row>
    <row r="127" spans="1:15" ht="15" customHeight="1">
      <c r="A127" s="2462">
        <v>17</v>
      </c>
      <c r="B127" s="2498" t="s">
        <v>5231</v>
      </c>
      <c r="C127" s="2496" t="s">
        <v>2440</v>
      </c>
      <c r="D127" s="2496">
        <v>2010</v>
      </c>
      <c r="E127" s="2496">
        <v>1</v>
      </c>
      <c r="F127" s="2496">
        <v>8</v>
      </c>
      <c r="G127" s="2496" t="s">
        <v>2440</v>
      </c>
      <c r="H127" s="2496">
        <v>151</v>
      </c>
      <c r="I127" s="2496">
        <v>8</v>
      </c>
      <c r="J127" s="2496" t="s">
        <v>745</v>
      </c>
      <c r="K127" s="2496">
        <v>15</v>
      </c>
      <c r="L127" s="2496" t="s">
        <v>745</v>
      </c>
      <c r="M127" s="2496" t="s">
        <v>2440</v>
      </c>
      <c r="N127" s="2497">
        <v>200</v>
      </c>
      <c r="O127" s="2452"/>
    </row>
    <row r="128" spans="1:15" ht="15" customHeight="1">
      <c r="A128" s="2462">
        <v>18</v>
      </c>
      <c r="B128" s="2498" t="s">
        <v>5232</v>
      </c>
      <c r="C128" s="2496" t="s">
        <v>2440</v>
      </c>
      <c r="D128" s="2496">
        <v>2011</v>
      </c>
      <c r="E128" s="2496">
        <v>1</v>
      </c>
      <c r="F128" s="2496">
        <v>8</v>
      </c>
      <c r="G128" s="2496" t="s">
        <v>2440</v>
      </c>
      <c r="H128" s="2496">
        <v>150</v>
      </c>
      <c r="I128" s="2496">
        <v>8</v>
      </c>
      <c r="J128" s="2496" t="s">
        <v>745</v>
      </c>
      <c r="K128" s="2496">
        <v>15</v>
      </c>
      <c r="L128" s="2496" t="s">
        <v>745</v>
      </c>
      <c r="M128" s="2496" t="s">
        <v>2440</v>
      </c>
      <c r="N128" s="2497">
        <v>200</v>
      </c>
      <c r="O128" s="2452"/>
    </row>
    <row r="129" spans="1:15" ht="15" customHeight="1">
      <c r="A129" s="2462">
        <v>19</v>
      </c>
      <c r="B129" s="2498" t="s">
        <v>5233</v>
      </c>
      <c r="C129" s="2496" t="s">
        <v>2440</v>
      </c>
      <c r="D129" s="2496">
        <v>2010</v>
      </c>
      <c r="E129" s="2496">
        <v>1</v>
      </c>
      <c r="F129" s="2496">
        <v>8</v>
      </c>
      <c r="G129" s="2496" t="s">
        <v>2440</v>
      </c>
      <c r="H129" s="2496">
        <v>157</v>
      </c>
      <c r="I129" s="2496">
        <v>8</v>
      </c>
      <c r="J129" s="2496" t="s">
        <v>745</v>
      </c>
      <c r="K129" s="2496">
        <v>15</v>
      </c>
      <c r="L129" s="2496" t="s">
        <v>745</v>
      </c>
      <c r="M129" s="2496" t="s">
        <v>2440</v>
      </c>
      <c r="N129" s="2497">
        <v>200</v>
      </c>
      <c r="O129" s="2452"/>
    </row>
    <row r="130" spans="1:15" ht="15" customHeight="1">
      <c r="A130" s="2462">
        <v>20</v>
      </c>
      <c r="B130" s="2498" t="s">
        <v>5234</v>
      </c>
      <c r="C130" s="2496" t="s">
        <v>2440</v>
      </c>
      <c r="D130" s="2496">
        <v>2001</v>
      </c>
      <c r="E130" s="2496">
        <v>1</v>
      </c>
      <c r="F130" s="2496">
        <v>8</v>
      </c>
      <c r="G130" s="2496" t="s">
        <v>2440</v>
      </c>
      <c r="H130" s="2496">
        <v>147</v>
      </c>
      <c r="I130" s="2496">
        <v>8</v>
      </c>
      <c r="J130" s="2496" t="s">
        <v>745</v>
      </c>
      <c r="K130" s="2496">
        <v>15</v>
      </c>
      <c r="L130" s="2496" t="s">
        <v>745</v>
      </c>
      <c r="M130" s="2496" t="s">
        <v>2440</v>
      </c>
      <c r="N130" s="2497">
        <v>200</v>
      </c>
      <c r="O130" s="2452"/>
    </row>
    <row r="131" spans="1:15" ht="15" customHeight="1">
      <c r="A131" s="2462">
        <v>21</v>
      </c>
      <c r="B131" s="2498" t="s">
        <v>5235</v>
      </c>
      <c r="C131" s="2496" t="s">
        <v>2440</v>
      </c>
      <c r="D131" s="2496">
        <v>1992</v>
      </c>
      <c r="E131" s="2496">
        <v>1</v>
      </c>
      <c r="F131" s="2496">
        <v>8</v>
      </c>
      <c r="G131" s="2496" t="s">
        <v>2440</v>
      </c>
      <c r="H131" s="2496">
        <v>146</v>
      </c>
      <c r="I131" s="2496">
        <v>8</v>
      </c>
      <c r="J131" s="2496" t="s">
        <v>745</v>
      </c>
      <c r="K131" s="2496">
        <v>15</v>
      </c>
      <c r="L131" s="2496" t="s">
        <v>745</v>
      </c>
      <c r="M131" s="2496" t="s">
        <v>2440</v>
      </c>
      <c r="N131" s="2497">
        <v>200</v>
      </c>
      <c r="O131" s="2452"/>
    </row>
    <row r="132" spans="1:15" ht="15" customHeight="1">
      <c r="A132" s="2462">
        <v>22</v>
      </c>
      <c r="B132" s="2498" t="s">
        <v>5236</v>
      </c>
      <c r="C132" s="2496" t="s">
        <v>2440</v>
      </c>
      <c r="D132" s="2496">
        <v>1992</v>
      </c>
      <c r="E132" s="2496">
        <v>1</v>
      </c>
      <c r="F132" s="2496">
        <v>8</v>
      </c>
      <c r="G132" s="2496" t="s">
        <v>2440</v>
      </c>
      <c r="H132" s="2496">
        <v>147</v>
      </c>
      <c r="I132" s="2496">
        <v>8</v>
      </c>
      <c r="J132" s="2496" t="s">
        <v>745</v>
      </c>
      <c r="K132" s="2496">
        <v>15</v>
      </c>
      <c r="L132" s="2496" t="s">
        <v>745</v>
      </c>
      <c r="M132" s="2496" t="s">
        <v>2440</v>
      </c>
      <c r="N132" s="2497">
        <v>200</v>
      </c>
      <c r="O132" s="2452"/>
    </row>
    <row r="133" spans="1:15" ht="15" customHeight="1">
      <c r="A133" s="2462">
        <v>23</v>
      </c>
      <c r="B133" s="2498" t="s">
        <v>5237</v>
      </c>
      <c r="C133" s="2496" t="s">
        <v>2440</v>
      </c>
      <c r="D133" s="2496">
        <v>1987</v>
      </c>
      <c r="E133" s="2496">
        <v>1</v>
      </c>
      <c r="F133" s="2496">
        <v>8</v>
      </c>
      <c r="G133" s="2496" t="s">
        <v>2440</v>
      </c>
      <c r="H133" s="2496">
        <v>140</v>
      </c>
      <c r="I133" s="2496">
        <v>8</v>
      </c>
      <c r="J133" s="2496" t="s">
        <v>745</v>
      </c>
      <c r="K133" s="2496">
        <v>15</v>
      </c>
      <c r="L133" s="2496" t="s">
        <v>745</v>
      </c>
      <c r="M133" s="2496" t="s">
        <v>2440</v>
      </c>
      <c r="N133" s="2497">
        <v>200</v>
      </c>
      <c r="O133" s="2452"/>
    </row>
    <row r="134" spans="1:15" ht="15" customHeight="1">
      <c r="A134" s="2462">
        <v>24</v>
      </c>
      <c r="B134" s="2498" t="s">
        <v>5238</v>
      </c>
      <c r="C134" s="2496" t="s">
        <v>2440</v>
      </c>
      <c r="D134" s="2496">
        <v>1987</v>
      </c>
      <c r="E134" s="2496">
        <v>1</v>
      </c>
      <c r="F134" s="2496">
        <v>8</v>
      </c>
      <c r="G134" s="2496" t="s">
        <v>2440</v>
      </c>
      <c r="H134" s="2496">
        <v>135</v>
      </c>
      <c r="I134" s="2496">
        <v>8</v>
      </c>
      <c r="J134" s="2496" t="s">
        <v>745</v>
      </c>
      <c r="K134" s="2496">
        <v>15</v>
      </c>
      <c r="L134" s="2496" t="s">
        <v>745</v>
      </c>
      <c r="M134" s="2496" t="s">
        <v>2440</v>
      </c>
      <c r="N134" s="2497">
        <v>200</v>
      </c>
      <c r="O134" s="2452"/>
    </row>
    <row r="135" spans="1:15" ht="15" customHeight="1">
      <c r="A135" s="2462">
        <v>25</v>
      </c>
      <c r="B135" s="2498" t="s">
        <v>5239</v>
      </c>
      <c r="C135" s="2496" t="s">
        <v>2440</v>
      </c>
      <c r="D135" s="2496">
        <v>1983</v>
      </c>
      <c r="E135" s="2496">
        <v>1</v>
      </c>
      <c r="F135" s="2496">
        <v>8</v>
      </c>
      <c r="G135" s="2496" t="s">
        <v>2440</v>
      </c>
      <c r="H135" s="2496">
        <v>139</v>
      </c>
      <c r="I135" s="2496">
        <v>8</v>
      </c>
      <c r="J135" s="2496" t="s">
        <v>745</v>
      </c>
      <c r="K135" s="2496">
        <v>15</v>
      </c>
      <c r="L135" s="2496" t="s">
        <v>745</v>
      </c>
      <c r="M135" s="2496" t="s">
        <v>2440</v>
      </c>
      <c r="N135" s="2497">
        <v>200</v>
      </c>
      <c r="O135" s="2452"/>
    </row>
    <row r="136" spans="1:15" ht="15" customHeight="1" thickBot="1">
      <c r="A136" s="2499">
        <v>26</v>
      </c>
      <c r="B136" s="2959" t="s">
        <v>5240</v>
      </c>
      <c r="C136" s="2496" t="s">
        <v>2440</v>
      </c>
      <c r="D136" s="2960">
        <v>2001</v>
      </c>
      <c r="E136" s="2960">
        <v>1</v>
      </c>
      <c r="F136" s="2960">
        <v>8</v>
      </c>
      <c r="G136" s="2960" t="s">
        <v>2440</v>
      </c>
      <c r="H136" s="2960">
        <v>146</v>
      </c>
      <c r="I136" s="2960">
        <v>8</v>
      </c>
      <c r="J136" s="2960" t="s">
        <v>745</v>
      </c>
      <c r="K136" s="2960">
        <v>15</v>
      </c>
      <c r="L136" s="2960" t="s">
        <v>745</v>
      </c>
      <c r="M136" s="2960" t="s">
        <v>2440</v>
      </c>
      <c r="N136" s="2961">
        <v>200</v>
      </c>
      <c r="O136" s="2452"/>
    </row>
    <row r="137" spans="1:15" ht="15" customHeight="1">
      <c r="A137" s="2449" t="s">
        <v>3184</v>
      </c>
      <c r="B137" s="2449"/>
      <c r="C137" s="2449"/>
      <c r="D137" s="2449"/>
      <c r="E137" s="2449"/>
      <c r="F137" s="2449"/>
      <c r="G137" s="2449"/>
      <c r="H137" s="2449"/>
      <c r="I137" s="2449"/>
      <c r="J137" s="2449"/>
      <c r="K137" s="2449"/>
      <c r="L137" s="2449"/>
      <c r="M137" s="2449"/>
      <c r="N137" s="2449"/>
    </row>
    <row r="138" spans="1:15" ht="15" customHeight="1">
      <c r="A138" s="2489" t="s">
        <v>5275</v>
      </c>
      <c r="B138" s="2489"/>
      <c r="C138" s="2489"/>
      <c r="D138" s="2489"/>
      <c r="E138" s="2489"/>
      <c r="F138" s="2489"/>
      <c r="G138" s="2489"/>
      <c r="H138" s="2489"/>
      <c r="I138" s="2489"/>
      <c r="J138" s="2489"/>
      <c r="K138" s="2489"/>
      <c r="L138" s="2489"/>
      <c r="M138" s="2489"/>
      <c r="N138" s="2489"/>
    </row>
    <row r="139" spans="1:15" ht="15" customHeight="1" thickBot="1">
      <c r="A139" s="2444" t="str">
        <f>+'401'!A1</f>
        <v>Annual Report of New York American Water Company, Inc. (f/k/a Long Island Water Corp)                                    Year Ended  December 31, 2013</v>
      </c>
    </row>
    <row r="140" spans="1:15" ht="15.95" customHeight="1">
      <c r="A140" s="2448"/>
      <c r="B140" s="2449"/>
      <c r="C140" s="2449"/>
      <c r="D140" s="2449"/>
      <c r="E140" s="2449"/>
      <c r="F140" s="2449"/>
      <c r="G140" s="2449"/>
      <c r="H140" s="2449"/>
      <c r="I140" s="2449"/>
      <c r="J140" s="2449"/>
      <c r="K140" s="2449"/>
      <c r="L140" s="2449"/>
      <c r="M140" s="2449"/>
      <c r="N140" s="2450"/>
      <c r="O140" s="2452"/>
    </row>
    <row r="141" spans="1:15" ht="15.95" customHeight="1">
      <c r="A141" s="2490" t="s">
        <v>4013</v>
      </c>
      <c r="B141" s="2460"/>
      <c r="C141" s="2460"/>
      <c r="D141" s="2460"/>
      <c r="E141" s="2460"/>
      <c r="F141" s="2460"/>
      <c r="G141" s="2460"/>
      <c r="H141" s="2460"/>
      <c r="I141" s="2460"/>
      <c r="J141" s="2460"/>
      <c r="K141" s="2460"/>
      <c r="L141" s="2460"/>
      <c r="M141" s="2460"/>
      <c r="N141" s="2491"/>
      <c r="O141" s="2452"/>
    </row>
    <row r="142" spans="1:15" ht="15.95" customHeight="1">
      <c r="A142" s="2452"/>
      <c r="B142" s="2451"/>
      <c r="C142" s="2451"/>
      <c r="D142" s="2451"/>
      <c r="E142" s="2451"/>
      <c r="F142" s="2451"/>
      <c r="G142" s="2451"/>
      <c r="H142" s="2451"/>
      <c r="I142" s="2451"/>
      <c r="J142" s="2451"/>
      <c r="K142" s="2451"/>
      <c r="L142" s="2451"/>
      <c r="M142" s="2451"/>
      <c r="N142" s="2453"/>
      <c r="O142" s="2452"/>
    </row>
    <row r="143" spans="1:15" ht="15.95" customHeight="1">
      <c r="A143" s="2454"/>
      <c r="B143" s="2445"/>
      <c r="C143" s="2445"/>
      <c r="D143" s="2445"/>
      <c r="E143" s="2445"/>
      <c r="F143" s="2445"/>
      <c r="G143" s="2445"/>
      <c r="H143" s="2445"/>
      <c r="I143" s="2445"/>
      <c r="J143" s="2445"/>
      <c r="K143" s="2445"/>
      <c r="L143" s="2445"/>
      <c r="M143" s="2445"/>
      <c r="N143" s="2455"/>
      <c r="O143" s="2452"/>
    </row>
    <row r="144" spans="1:15" ht="15.95" customHeight="1">
      <c r="A144" s="2452"/>
      <c r="B144" s="2451" t="s">
        <v>1854</v>
      </c>
      <c r="C144" s="2451"/>
      <c r="D144" s="2451"/>
      <c r="E144" s="2451"/>
      <c r="F144" s="2451"/>
      <c r="G144" s="2451"/>
      <c r="H144" s="2451"/>
      <c r="I144" s="2451" t="s">
        <v>4216</v>
      </c>
      <c r="J144" s="2451"/>
      <c r="K144" s="2451"/>
      <c r="L144" s="2451"/>
      <c r="M144" s="2451"/>
      <c r="N144" s="2453"/>
      <c r="O144" s="2452"/>
    </row>
    <row r="145" spans="1:15" ht="15.95" customHeight="1">
      <c r="A145" s="2452"/>
      <c r="B145" s="2451" t="s">
        <v>4217</v>
      </c>
      <c r="C145" s="2451"/>
      <c r="D145" s="2451"/>
      <c r="E145" s="2451"/>
      <c r="F145" s="2451"/>
      <c r="G145" s="2451"/>
      <c r="H145" s="2451"/>
      <c r="I145" s="2451" t="s">
        <v>4218</v>
      </c>
      <c r="J145" s="2451"/>
      <c r="K145" s="2451"/>
      <c r="L145" s="2451"/>
      <c r="M145" s="2451"/>
      <c r="N145" s="2453"/>
      <c r="O145" s="2452"/>
    </row>
    <row r="146" spans="1:15" ht="15.95" customHeight="1">
      <c r="A146" s="2452"/>
      <c r="B146" s="2451" t="s">
        <v>4219</v>
      </c>
      <c r="C146" s="2451"/>
      <c r="D146" s="2451"/>
      <c r="E146" s="2451"/>
      <c r="F146" s="2451"/>
      <c r="G146" s="2451"/>
      <c r="H146" s="2451"/>
      <c r="I146" s="2451"/>
      <c r="J146" s="2451"/>
      <c r="K146" s="2451"/>
      <c r="L146" s="2451"/>
      <c r="M146" s="2451"/>
      <c r="N146" s="2453"/>
      <c r="O146" s="2452"/>
    </row>
    <row r="147" spans="1:15" ht="15.95" customHeight="1">
      <c r="A147" s="2452"/>
      <c r="B147" s="2451"/>
      <c r="C147" s="2451"/>
      <c r="D147" s="2451"/>
      <c r="E147" s="2451"/>
      <c r="F147" s="2451"/>
      <c r="G147" s="2451"/>
      <c r="H147" s="2451"/>
      <c r="I147" s="2451"/>
      <c r="J147" s="2451"/>
      <c r="K147" s="2451"/>
      <c r="L147" s="2451"/>
      <c r="M147" s="2451"/>
      <c r="N147" s="2453"/>
      <c r="O147" s="2452"/>
    </row>
    <row r="148" spans="1:15" ht="15.95" customHeight="1">
      <c r="A148" s="2452"/>
      <c r="B148" s="2451" t="s">
        <v>1183</v>
      </c>
      <c r="C148" s="2451"/>
      <c r="D148" s="2451"/>
      <c r="E148" s="2451"/>
      <c r="F148" s="2451"/>
      <c r="G148" s="2451"/>
      <c r="H148" s="2451"/>
      <c r="I148" s="2451"/>
      <c r="J148" s="2451"/>
      <c r="K148" s="2451"/>
      <c r="L148" s="2451"/>
      <c r="M148" s="2451"/>
      <c r="N148" s="2453"/>
      <c r="O148" s="2452"/>
    </row>
    <row r="149" spans="1:15" ht="15.95" customHeight="1">
      <c r="A149" s="2452"/>
      <c r="B149" s="2451" t="s">
        <v>3981</v>
      </c>
      <c r="C149" s="2451"/>
      <c r="D149" s="2451"/>
      <c r="E149" s="2451"/>
      <c r="F149" s="2451"/>
      <c r="G149" s="2451"/>
      <c r="H149" s="2451"/>
      <c r="I149" s="2451"/>
      <c r="J149" s="2451"/>
      <c r="K149" s="2451"/>
      <c r="L149" s="2451"/>
      <c r="M149" s="2451"/>
      <c r="N149" s="2453"/>
      <c r="O149" s="2452"/>
    </row>
    <row r="150" spans="1:15" ht="15.95" customHeight="1">
      <c r="A150" s="2452"/>
      <c r="B150" s="2451"/>
      <c r="C150" s="2451"/>
      <c r="D150" s="2451"/>
      <c r="E150" s="2451"/>
      <c r="F150" s="2451"/>
      <c r="G150" s="2451"/>
      <c r="H150" s="2451"/>
      <c r="I150" s="2451"/>
      <c r="J150" s="2451"/>
      <c r="K150" s="2451"/>
      <c r="L150" s="2451"/>
      <c r="M150" s="2451"/>
      <c r="N150" s="2453"/>
      <c r="O150" s="2452"/>
    </row>
    <row r="151" spans="1:15" ht="15" customHeight="1">
      <c r="A151" s="2492"/>
      <c r="B151" s="2464"/>
      <c r="C151" s="2464"/>
      <c r="D151" s="2464"/>
      <c r="E151" s="2464"/>
      <c r="F151" s="2464"/>
      <c r="G151" s="2456" t="s">
        <v>4220</v>
      </c>
      <c r="H151" s="2457"/>
      <c r="I151" s="2457"/>
      <c r="J151" s="2457"/>
      <c r="K151" s="2457"/>
      <c r="L151" s="2457"/>
      <c r="M151" s="2457"/>
      <c r="N151" s="2458"/>
      <c r="O151" s="2452"/>
    </row>
    <row r="152" spans="1:15" ht="15" customHeight="1">
      <c r="A152" s="2462"/>
      <c r="B152" s="2463" t="s">
        <v>3026</v>
      </c>
      <c r="C152" s="2463" t="s">
        <v>4221</v>
      </c>
      <c r="D152" s="2463" t="s">
        <v>3968</v>
      </c>
      <c r="E152" s="2463" t="s">
        <v>4222</v>
      </c>
      <c r="F152" s="2463" t="s">
        <v>4223</v>
      </c>
      <c r="G152" s="2464" t="s">
        <v>94</v>
      </c>
      <c r="H152" s="2464"/>
      <c r="I152" s="2464" t="s">
        <v>3973</v>
      </c>
      <c r="J152" s="2464" t="s">
        <v>4224</v>
      </c>
      <c r="K152" s="2464" t="s">
        <v>4225</v>
      </c>
      <c r="L152" s="2464"/>
      <c r="M152" s="2464"/>
      <c r="N152" s="2461" t="s">
        <v>2989</v>
      </c>
      <c r="O152" s="2452"/>
    </row>
    <row r="153" spans="1:15" ht="15" customHeight="1">
      <c r="A153" s="2462" t="s">
        <v>1939</v>
      </c>
      <c r="B153" s="2463" t="s">
        <v>4226</v>
      </c>
      <c r="C153" s="2463" t="s">
        <v>4227</v>
      </c>
      <c r="D153" s="2463" t="s">
        <v>3974</v>
      </c>
      <c r="E153" s="2463" t="s">
        <v>2593</v>
      </c>
      <c r="F153" s="2463" t="s">
        <v>4228</v>
      </c>
      <c r="G153" s="2463" t="s">
        <v>4229</v>
      </c>
      <c r="H153" s="2463" t="s">
        <v>3024</v>
      </c>
      <c r="I153" s="2463" t="s">
        <v>344</v>
      </c>
      <c r="J153" s="2463" t="s">
        <v>3034</v>
      </c>
      <c r="K153" s="2463" t="s">
        <v>3336</v>
      </c>
      <c r="L153" s="2463" t="s">
        <v>4465</v>
      </c>
      <c r="M153" s="2463" t="s">
        <v>3337</v>
      </c>
      <c r="N153" s="2461" t="s">
        <v>254</v>
      </c>
      <c r="O153" s="2452"/>
    </row>
    <row r="154" spans="1:15" ht="15" customHeight="1">
      <c r="A154" s="2462"/>
      <c r="B154" s="2463" t="s">
        <v>255</v>
      </c>
      <c r="C154" s="2463" t="s">
        <v>256</v>
      </c>
      <c r="D154" s="2463" t="s">
        <v>257</v>
      </c>
      <c r="E154" s="2463" t="s">
        <v>258</v>
      </c>
      <c r="F154" s="2463" t="s">
        <v>259</v>
      </c>
      <c r="G154" s="2463" t="s">
        <v>260</v>
      </c>
      <c r="H154" s="2463" t="s">
        <v>3039</v>
      </c>
      <c r="I154" s="2463" t="s">
        <v>261</v>
      </c>
      <c r="J154" s="2463" t="s">
        <v>262</v>
      </c>
      <c r="K154" s="2463" t="s">
        <v>263</v>
      </c>
      <c r="L154" s="2463" t="s">
        <v>264</v>
      </c>
      <c r="M154" s="2463" t="s">
        <v>2600</v>
      </c>
      <c r="N154" s="2461" t="s">
        <v>1989</v>
      </c>
      <c r="O154" s="2452"/>
    </row>
    <row r="155" spans="1:15" ht="15" customHeight="1">
      <c r="A155" s="2462" t="s">
        <v>1941</v>
      </c>
      <c r="B155" s="2463" t="s">
        <v>1990</v>
      </c>
      <c r="C155" s="2463"/>
      <c r="D155" s="2463"/>
      <c r="E155" s="2463" t="s">
        <v>1991</v>
      </c>
      <c r="F155" s="2463" t="s">
        <v>1992</v>
      </c>
      <c r="G155" s="2463" t="s">
        <v>1993</v>
      </c>
      <c r="H155" s="2463"/>
      <c r="I155" s="2463" t="s">
        <v>1748</v>
      </c>
      <c r="J155" s="2463" t="s">
        <v>1994</v>
      </c>
      <c r="K155" s="2463" t="s">
        <v>3039</v>
      </c>
      <c r="L155" s="2463"/>
      <c r="M155" s="2463"/>
      <c r="N155" s="2461" t="s">
        <v>3835</v>
      </c>
      <c r="O155" s="2452"/>
    </row>
    <row r="156" spans="1:15" ht="15" customHeight="1">
      <c r="A156" s="2462"/>
      <c r="B156" s="2463" t="s">
        <v>932</v>
      </c>
      <c r="C156" s="2463" t="s">
        <v>933</v>
      </c>
      <c r="D156" s="2463" t="s">
        <v>934</v>
      </c>
      <c r="E156" s="2463" t="s">
        <v>935</v>
      </c>
      <c r="F156" s="2463" t="s">
        <v>936</v>
      </c>
      <c r="G156" s="2463" t="s">
        <v>937</v>
      </c>
      <c r="H156" s="2463" t="s">
        <v>938</v>
      </c>
      <c r="I156" s="2463" t="s">
        <v>939</v>
      </c>
      <c r="J156" s="2463" t="s">
        <v>4484</v>
      </c>
      <c r="K156" s="2463" t="s">
        <v>4485</v>
      </c>
      <c r="L156" s="2463" t="s">
        <v>4486</v>
      </c>
      <c r="M156" s="2463" t="s">
        <v>4487</v>
      </c>
      <c r="N156" s="2461" t="s">
        <v>4488</v>
      </c>
      <c r="O156" s="2452"/>
    </row>
    <row r="157" spans="1:15" ht="15" customHeight="1">
      <c r="A157" s="2492">
        <v>1</v>
      </c>
      <c r="B157" s="2494" t="s">
        <v>5241</v>
      </c>
      <c r="C157" s="2494"/>
      <c r="D157" s="2494"/>
      <c r="E157" s="2494"/>
      <c r="F157" s="2494"/>
      <c r="G157" s="2494"/>
      <c r="H157" s="2494"/>
      <c r="I157" s="2494"/>
      <c r="J157" s="2494"/>
      <c r="K157" s="2494"/>
      <c r="L157" s="2494"/>
      <c r="M157" s="2494"/>
      <c r="N157" s="2495"/>
      <c r="O157" s="2452"/>
    </row>
    <row r="158" spans="1:15" ht="15" customHeight="1">
      <c r="A158" s="2462">
        <v>2</v>
      </c>
      <c r="B158" s="2498" t="s">
        <v>5242</v>
      </c>
      <c r="C158" s="2496" t="s">
        <v>3422</v>
      </c>
      <c r="D158" s="2496">
        <v>1998</v>
      </c>
      <c r="E158" s="2496">
        <v>1</v>
      </c>
      <c r="F158" s="2496">
        <v>8</v>
      </c>
      <c r="G158" s="2496" t="s">
        <v>1285</v>
      </c>
      <c r="H158" s="2496">
        <v>141</v>
      </c>
      <c r="I158" s="2496">
        <v>8</v>
      </c>
      <c r="J158" s="2496" t="s">
        <v>745</v>
      </c>
      <c r="K158" s="2496">
        <v>15</v>
      </c>
      <c r="L158" s="2496" t="s">
        <v>745</v>
      </c>
      <c r="M158" s="2496" t="s">
        <v>4451</v>
      </c>
      <c r="N158" s="2497">
        <v>200</v>
      </c>
      <c r="O158" s="2452"/>
    </row>
    <row r="159" spans="1:15" ht="15" customHeight="1">
      <c r="A159" s="2462">
        <v>3</v>
      </c>
      <c r="B159" s="2498" t="s">
        <v>5243</v>
      </c>
      <c r="C159" s="2496" t="s">
        <v>2440</v>
      </c>
      <c r="D159" s="2496">
        <v>2001</v>
      </c>
      <c r="E159" s="2496">
        <v>1</v>
      </c>
      <c r="F159" s="2496">
        <v>8</v>
      </c>
      <c r="G159" s="2496" t="s">
        <v>2440</v>
      </c>
      <c r="H159" s="2496">
        <v>147</v>
      </c>
      <c r="I159" s="2496">
        <v>8</v>
      </c>
      <c r="J159" s="2496" t="s">
        <v>745</v>
      </c>
      <c r="K159" s="2496">
        <v>15</v>
      </c>
      <c r="L159" s="2496" t="s">
        <v>745</v>
      </c>
      <c r="M159" s="2496" t="s">
        <v>2440</v>
      </c>
      <c r="N159" s="2497">
        <v>200</v>
      </c>
      <c r="O159" s="2452"/>
    </row>
    <row r="160" spans="1:15" ht="15" customHeight="1">
      <c r="A160" s="2462">
        <v>4</v>
      </c>
      <c r="B160" s="2498" t="s">
        <v>5244</v>
      </c>
      <c r="C160" s="2496" t="s">
        <v>2440</v>
      </c>
      <c r="D160" s="2496">
        <v>1995</v>
      </c>
      <c r="E160" s="2496">
        <v>1</v>
      </c>
      <c r="F160" s="2496">
        <v>8</v>
      </c>
      <c r="G160" s="2496" t="s">
        <v>2440</v>
      </c>
      <c r="H160" s="2496">
        <v>141</v>
      </c>
      <c r="I160" s="2496">
        <v>8</v>
      </c>
      <c r="J160" s="2496" t="s">
        <v>745</v>
      </c>
      <c r="K160" s="2496">
        <v>15</v>
      </c>
      <c r="L160" s="2496" t="s">
        <v>745</v>
      </c>
      <c r="M160" s="2496" t="s">
        <v>2440</v>
      </c>
      <c r="N160" s="2497">
        <v>200</v>
      </c>
      <c r="O160" s="2452"/>
    </row>
    <row r="161" spans="1:15" ht="15" customHeight="1">
      <c r="A161" s="2462">
        <v>5</v>
      </c>
      <c r="B161" s="2498" t="s">
        <v>5245</v>
      </c>
      <c r="C161" s="2496" t="s">
        <v>2440</v>
      </c>
      <c r="D161" s="2496">
        <v>1987</v>
      </c>
      <c r="E161" s="2496">
        <v>1</v>
      </c>
      <c r="F161" s="2496">
        <v>8</v>
      </c>
      <c r="G161" s="2496" t="s">
        <v>2440</v>
      </c>
      <c r="H161" s="2496">
        <v>156</v>
      </c>
      <c r="I161" s="2496">
        <v>8</v>
      </c>
      <c r="J161" s="2496" t="s">
        <v>745</v>
      </c>
      <c r="K161" s="2496">
        <v>15</v>
      </c>
      <c r="L161" s="2496" t="s">
        <v>745</v>
      </c>
      <c r="M161" s="2496" t="s">
        <v>2440</v>
      </c>
      <c r="N161" s="2497">
        <v>200</v>
      </c>
      <c r="O161" s="2452"/>
    </row>
    <row r="162" spans="1:15" ht="15" customHeight="1">
      <c r="A162" s="2462">
        <v>6</v>
      </c>
      <c r="B162" s="2498" t="s">
        <v>5246</v>
      </c>
      <c r="C162" s="2496" t="s">
        <v>2440</v>
      </c>
      <c r="D162" s="2496">
        <v>1995</v>
      </c>
      <c r="E162" s="2496">
        <v>1</v>
      </c>
      <c r="F162" s="2496">
        <v>8</v>
      </c>
      <c r="G162" s="2496" t="s">
        <v>2440</v>
      </c>
      <c r="H162" s="2496">
        <v>141</v>
      </c>
      <c r="I162" s="2496">
        <v>8</v>
      </c>
      <c r="J162" s="2496" t="s">
        <v>745</v>
      </c>
      <c r="K162" s="2496">
        <v>15</v>
      </c>
      <c r="L162" s="2496" t="s">
        <v>745</v>
      </c>
      <c r="M162" s="2496" t="s">
        <v>2440</v>
      </c>
      <c r="N162" s="2497">
        <v>200</v>
      </c>
      <c r="O162" s="2452"/>
    </row>
    <row r="163" spans="1:15" ht="15" customHeight="1">
      <c r="A163" s="2462">
        <v>7</v>
      </c>
      <c r="B163" s="2498" t="s">
        <v>5247</v>
      </c>
      <c r="C163" s="2496" t="s">
        <v>2440</v>
      </c>
      <c r="D163" s="2496">
        <v>1998</v>
      </c>
      <c r="E163" s="2496">
        <v>1</v>
      </c>
      <c r="F163" s="2496">
        <v>8</v>
      </c>
      <c r="G163" s="2496" t="s">
        <v>2440</v>
      </c>
      <c r="H163" s="2496">
        <v>143</v>
      </c>
      <c r="I163" s="2496">
        <v>8</v>
      </c>
      <c r="J163" s="2496" t="s">
        <v>745</v>
      </c>
      <c r="K163" s="2496">
        <v>15</v>
      </c>
      <c r="L163" s="2496" t="s">
        <v>745</v>
      </c>
      <c r="M163" s="2496" t="s">
        <v>2440</v>
      </c>
      <c r="N163" s="2497">
        <v>200</v>
      </c>
      <c r="O163" s="2452"/>
    </row>
    <row r="164" spans="1:15" ht="15" customHeight="1">
      <c r="A164" s="2462">
        <v>8</v>
      </c>
      <c r="B164" s="2498" t="s">
        <v>5248</v>
      </c>
      <c r="C164" s="2496" t="s">
        <v>2440</v>
      </c>
      <c r="D164" s="2496">
        <v>1995</v>
      </c>
      <c r="E164" s="2496">
        <v>1</v>
      </c>
      <c r="F164" s="2496">
        <v>8</v>
      </c>
      <c r="G164" s="2496" t="s">
        <v>2440</v>
      </c>
      <c r="H164" s="2496">
        <v>158</v>
      </c>
      <c r="I164" s="2496">
        <v>8</v>
      </c>
      <c r="J164" s="2496" t="s">
        <v>745</v>
      </c>
      <c r="K164" s="2496">
        <v>15</v>
      </c>
      <c r="L164" s="2496" t="s">
        <v>745</v>
      </c>
      <c r="M164" s="2496" t="s">
        <v>2440</v>
      </c>
      <c r="N164" s="2497">
        <v>200</v>
      </c>
      <c r="O164" s="2452"/>
    </row>
    <row r="165" spans="1:15" ht="15" customHeight="1">
      <c r="A165" s="2462">
        <v>9</v>
      </c>
      <c r="B165" s="2498" t="s">
        <v>5249</v>
      </c>
      <c r="C165" s="2496" t="s">
        <v>2440</v>
      </c>
      <c r="D165" s="2496">
        <v>1983</v>
      </c>
      <c r="E165" s="2496">
        <v>1</v>
      </c>
      <c r="F165" s="2496">
        <v>8</v>
      </c>
      <c r="G165" s="2496" t="s">
        <v>2440</v>
      </c>
      <c r="H165" s="2496">
        <v>153</v>
      </c>
      <c r="I165" s="2496">
        <v>8</v>
      </c>
      <c r="J165" s="2496" t="s">
        <v>745</v>
      </c>
      <c r="K165" s="2496">
        <v>15</v>
      </c>
      <c r="L165" s="2496" t="s">
        <v>745</v>
      </c>
      <c r="M165" s="2496" t="s">
        <v>2440</v>
      </c>
      <c r="N165" s="2497">
        <v>200</v>
      </c>
      <c r="O165" s="2452"/>
    </row>
    <row r="166" spans="1:15" ht="15" customHeight="1">
      <c r="A166" s="2462">
        <v>10</v>
      </c>
      <c r="B166" s="2498" t="s">
        <v>5250</v>
      </c>
      <c r="C166" s="2496" t="s">
        <v>2440</v>
      </c>
      <c r="D166" s="2496">
        <v>2001</v>
      </c>
      <c r="E166" s="2496">
        <v>1</v>
      </c>
      <c r="F166" s="2496">
        <v>8</v>
      </c>
      <c r="G166" s="2496" t="s">
        <v>2440</v>
      </c>
      <c r="H166" s="2496">
        <v>150</v>
      </c>
      <c r="I166" s="2496">
        <v>8</v>
      </c>
      <c r="J166" s="2496" t="s">
        <v>745</v>
      </c>
      <c r="K166" s="2496">
        <v>15</v>
      </c>
      <c r="L166" s="2496" t="s">
        <v>745</v>
      </c>
      <c r="M166" s="2496" t="s">
        <v>2440</v>
      </c>
      <c r="N166" s="2497">
        <v>200</v>
      </c>
      <c r="O166" s="2452"/>
    </row>
    <row r="167" spans="1:15" ht="15" customHeight="1">
      <c r="A167" s="2462">
        <v>11</v>
      </c>
      <c r="B167" s="2498" t="s">
        <v>5251</v>
      </c>
      <c r="C167" s="2496" t="s">
        <v>2440</v>
      </c>
      <c r="D167" s="2496">
        <v>1987</v>
      </c>
      <c r="E167" s="2496">
        <v>1</v>
      </c>
      <c r="F167" s="2496">
        <v>8</v>
      </c>
      <c r="G167" s="2496" t="s">
        <v>2440</v>
      </c>
      <c r="H167" s="2496">
        <v>148</v>
      </c>
      <c r="I167" s="2496">
        <v>8</v>
      </c>
      <c r="J167" s="2496" t="s">
        <v>745</v>
      </c>
      <c r="K167" s="2496">
        <v>15</v>
      </c>
      <c r="L167" s="2496" t="s">
        <v>745</v>
      </c>
      <c r="M167" s="2496" t="s">
        <v>2440</v>
      </c>
      <c r="N167" s="2497">
        <v>200</v>
      </c>
      <c r="O167" s="2452"/>
    </row>
    <row r="168" spans="1:15" ht="15" customHeight="1">
      <c r="A168" s="2462">
        <v>12</v>
      </c>
      <c r="B168" s="2498" t="s">
        <v>5252</v>
      </c>
      <c r="C168" s="2496" t="s">
        <v>2440</v>
      </c>
      <c r="D168" s="2496">
        <v>1983</v>
      </c>
      <c r="E168" s="2496">
        <v>1</v>
      </c>
      <c r="F168" s="2496">
        <v>8</v>
      </c>
      <c r="G168" s="2496" t="s">
        <v>2440</v>
      </c>
      <c r="H168" s="2496">
        <v>156</v>
      </c>
      <c r="I168" s="2496">
        <v>8</v>
      </c>
      <c r="J168" s="2496" t="s">
        <v>745</v>
      </c>
      <c r="K168" s="2496">
        <v>15</v>
      </c>
      <c r="L168" s="2496" t="s">
        <v>745</v>
      </c>
      <c r="M168" s="2496" t="s">
        <v>2440</v>
      </c>
      <c r="N168" s="2497">
        <v>200</v>
      </c>
      <c r="O168" s="2452"/>
    </row>
    <row r="169" spans="1:15" ht="15" customHeight="1">
      <c r="A169" s="2462">
        <v>13</v>
      </c>
      <c r="B169" s="2498" t="s">
        <v>5253</v>
      </c>
      <c r="C169" s="2496" t="s">
        <v>2440</v>
      </c>
      <c r="D169" s="2496">
        <v>1998</v>
      </c>
      <c r="E169" s="2496">
        <v>1</v>
      </c>
      <c r="F169" s="2496">
        <v>8</v>
      </c>
      <c r="G169" s="2496" t="s">
        <v>2440</v>
      </c>
      <c r="H169" s="2496">
        <v>148</v>
      </c>
      <c r="I169" s="2496">
        <v>8</v>
      </c>
      <c r="J169" s="2496" t="s">
        <v>745</v>
      </c>
      <c r="K169" s="2496">
        <v>15</v>
      </c>
      <c r="L169" s="2496" t="s">
        <v>745</v>
      </c>
      <c r="M169" s="2496" t="s">
        <v>2440</v>
      </c>
      <c r="N169" s="2497">
        <v>200</v>
      </c>
      <c r="O169" s="2452"/>
    </row>
    <row r="170" spans="1:15" ht="15" customHeight="1">
      <c r="A170" s="2462">
        <v>14</v>
      </c>
      <c r="B170" s="2498" t="s">
        <v>5254</v>
      </c>
      <c r="C170" s="2496" t="s">
        <v>2440</v>
      </c>
      <c r="D170" s="2496">
        <v>1998</v>
      </c>
      <c r="E170" s="2496">
        <v>1</v>
      </c>
      <c r="F170" s="2496">
        <v>8</v>
      </c>
      <c r="G170" s="2496" t="s">
        <v>2440</v>
      </c>
      <c r="H170" s="2496">
        <v>154</v>
      </c>
      <c r="I170" s="2496">
        <v>8</v>
      </c>
      <c r="J170" s="2496" t="s">
        <v>745</v>
      </c>
      <c r="K170" s="2496">
        <v>15</v>
      </c>
      <c r="L170" s="2496" t="s">
        <v>745</v>
      </c>
      <c r="M170" s="2496" t="s">
        <v>2440</v>
      </c>
      <c r="N170" s="2497">
        <v>200</v>
      </c>
      <c r="O170" s="2452"/>
    </row>
    <row r="171" spans="1:15" ht="15" customHeight="1">
      <c r="A171" s="2462">
        <v>15</v>
      </c>
      <c r="B171" s="2498" t="s">
        <v>5255</v>
      </c>
      <c r="C171" s="2496" t="s">
        <v>2440</v>
      </c>
      <c r="D171" s="2496">
        <v>1983</v>
      </c>
      <c r="E171" s="2496">
        <v>1</v>
      </c>
      <c r="F171" s="2496">
        <v>8</v>
      </c>
      <c r="G171" s="2496" t="s">
        <v>2440</v>
      </c>
      <c r="H171" s="2496">
        <v>133</v>
      </c>
      <c r="I171" s="2496">
        <v>8</v>
      </c>
      <c r="J171" s="2496" t="s">
        <v>745</v>
      </c>
      <c r="K171" s="2496">
        <v>15</v>
      </c>
      <c r="L171" s="2496" t="s">
        <v>745</v>
      </c>
      <c r="M171" s="2496" t="s">
        <v>2440</v>
      </c>
      <c r="N171" s="2497">
        <v>200</v>
      </c>
      <c r="O171" s="2452"/>
    </row>
    <row r="172" spans="1:15" ht="15" customHeight="1">
      <c r="A172" s="2462">
        <v>16</v>
      </c>
      <c r="B172" s="2498" t="s">
        <v>5256</v>
      </c>
      <c r="C172" s="2496" t="s">
        <v>2440</v>
      </c>
      <c r="D172" s="2496">
        <v>2001</v>
      </c>
      <c r="E172" s="2496">
        <v>1</v>
      </c>
      <c r="F172" s="2496">
        <v>8</v>
      </c>
      <c r="G172" s="2496" t="s">
        <v>2440</v>
      </c>
      <c r="H172" s="2496">
        <v>153</v>
      </c>
      <c r="I172" s="2496">
        <v>8</v>
      </c>
      <c r="J172" s="2496" t="s">
        <v>745</v>
      </c>
      <c r="K172" s="2496">
        <v>15</v>
      </c>
      <c r="L172" s="2496" t="s">
        <v>745</v>
      </c>
      <c r="M172" s="2496" t="s">
        <v>2440</v>
      </c>
      <c r="N172" s="2497">
        <v>200</v>
      </c>
      <c r="O172" s="2452"/>
    </row>
    <row r="173" spans="1:15" ht="15" customHeight="1">
      <c r="A173" s="2462">
        <v>17</v>
      </c>
      <c r="B173" s="2498" t="s">
        <v>5257</v>
      </c>
      <c r="C173" s="2496" t="s">
        <v>2440</v>
      </c>
      <c r="D173" s="2496">
        <v>1996</v>
      </c>
      <c r="E173" s="2496">
        <v>1</v>
      </c>
      <c r="F173" s="2496">
        <v>8</v>
      </c>
      <c r="G173" s="2496" t="s">
        <v>2440</v>
      </c>
      <c r="H173" s="2496">
        <v>141</v>
      </c>
      <c r="I173" s="2496">
        <v>8</v>
      </c>
      <c r="J173" s="2496" t="s">
        <v>745</v>
      </c>
      <c r="K173" s="2496">
        <v>15</v>
      </c>
      <c r="L173" s="2496" t="s">
        <v>745</v>
      </c>
      <c r="M173" s="2496" t="s">
        <v>2440</v>
      </c>
      <c r="N173" s="2497">
        <v>200</v>
      </c>
      <c r="O173" s="2452"/>
    </row>
    <row r="174" spans="1:15" ht="15" customHeight="1">
      <c r="A174" s="2462">
        <v>18</v>
      </c>
      <c r="B174" s="2498" t="s">
        <v>5258</v>
      </c>
      <c r="C174" s="2496" t="s">
        <v>2440</v>
      </c>
      <c r="D174" s="2496">
        <v>2001</v>
      </c>
      <c r="E174" s="2496">
        <v>1</v>
      </c>
      <c r="F174" s="2496">
        <v>8</v>
      </c>
      <c r="G174" s="2496" t="s">
        <v>2440</v>
      </c>
      <c r="H174" s="2496">
        <v>151</v>
      </c>
      <c r="I174" s="2496">
        <v>8</v>
      </c>
      <c r="J174" s="2496" t="s">
        <v>745</v>
      </c>
      <c r="K174" s="2496">
        <v>15</v>
      </c>
      <c r="L174" s="2496" t="s">
        <v>745</v>
      </c>
      <c r="M174" s="2496" t="s">
        <v>2440</v>
      </c>
      <c r="N174" s="2497">
        <v>200</v>
      </c>
      <c r="O174" s="2452"/>
    </row>
    <row r="175" spans="1:15" ht="15" customHeight="1">
      <c r="A175" s="2462">
        <v>19</v>
      </c>
      <c r="B175" s="2498" t="s">
        <v>5259</v>
      </c>
      <c r="C175" s="2496" t="s">
        <v>2440</v>
      </c>
      <c r="D175" s="2496">
        <v>1992</v>
      </c>
      <c r="E175" s="2496">
        <v>1</v>
      </c>
      <c r="F175" s="2496">
        <v>8</v>
      </c>
      <c r="G175" s="2496" t="s">
        <v>2440</v>
      </c>
      <c r="H175" s="2496">
        <v>143</v>
      </c>
      <c r="I175" s="2496">
        <v>8</v>
      </c>
      <c r="J175" s="2496" t="s">
        <v>745</v>
      </c>
      <c r="K175" s="2496">
        <v>15</v>
      </c>
      <c r="L175" s="2496" t="s">
        <v>745</v>
      </c>
      <c r="M175" s="2496" t="s">
        <v>2440</v>
      </c>
      <c r="N175" s="2497">
        <v>200</v>
      </c>
      <c r="O175" s="2452"/>
    </row>
    <row r="176" spans="1:15" ht="15" customHeight="1">
      <c r="A176" s="2462">
        <v>20</v>
      </c>
      <c r="B176" s="2498" t="s">
        <v>5260</v>
      </c>
      <c r="C176" s="2496" t="s">
        <v>2440</v>
      </c>
      <c r="D176" s="2496">
        <v>1973</v>
      </c>
      <c r="E176" s="2496">
        <v>1</v>
      </c>
      <c r="F176" s="2496">
        <v>8</v>
      </c>
      <c r="G176" s="2496" t="s">
        <v>2440</v>
      </c>
      <c r="H176" s="2496">
        <v>145</v>
      </c>
      <c r="I176" s="2496">
        <v>8</v>
      </c>
      <c r="J176" s="2496" t="s">
        <v>745</v>
      </c>
      <c r="K176" s="2496">
        <v>15</v>
      </c>
      <c r="L176" s="2496" t="s">
        <v>745</v>
      </c>
      <c r="M176" s="2496" t="s">
        <v>2440</v>
      </c>
      <c r="N176" s="2497">
        <v>200</v>
      </c>
      <c r="O176" s="2452"/>
    </row>
    <row r="177" spans="1:15" ht="15" customHeight="1">
      <c r="A177" s="2462">
        <v>21</v>
      </c>
      <c r="B177" s="2498" t="s">
        <v>5261</v>
      </c>
      <c r="C177" s="2496" t="s">
        <v>2440</v>
      </c>
      <c r="D177" s="2496">
        <v>1992</v>
      </c>
      <c r="E177" s="2496">
        <v>1</v>
      </c>
      <c r="F177" s="2496">
        <v>8</v>
      </c>
      <c r="G177" s="2496" t="s">
        <v>2440</v>
      </c>
      <c r="H177" s="2496">
        <v>145</v>
      </c>
      <c r="I177" s="2496">
        <v>8</v>
      </c>
      <c r="J177" s="2496" t="s">
        <v>745</v>
      </c>
      <c r="K177" s="2496">
        <v>15</v>
      </c>
      <c r="L177" s="2496" t="s">
        <v>745</v>
      </c>
      <c r="M177" s="2496" t="s">
        <v>2440</v>
      </c>
      <c r="N177" s="2497">
        <v>200</v>
      </c>
      <c r="O177" s="2452"/>
    </row>
    <row r="178" spans="1:15" ht="15" customHeight="1">
      <c r="A178" s="2462">
        <v>22</v>
      </c>
      <c r="B178" s="2498" t="s">
        <v>5262</v>
      </c>
      <c r="C178" s="2496" t="s">
        <v>2440</v>
      </c>
      <c r="D178" s="2496">
        <v>2001</v>
      </c>
      <c r="E178" s="2496">
        <v>1</v>
      </c>
      <c r="F178" s="2496">
        <v>8</v>
      </c>
      <c r="G178" s="2496" t="s">
        <v>2440</v>
      </c>
      <c r="H178" s="2496">
        <v>139</v>
      </c>
      <c r="I178" s="2496">
        <v>8</v>
      </c>
      <c r="J178" s="2496" t="s">
        <v>745</v>
      </c>
      <c r="K178" s="2496">
        <v>15</v>
      </c>
      <c r="L178" s="2496" t="s">
        <v>745</v>
      </c>
      <c r="M178" s="2496" t="s">
        <v>2440</v>
      </c>
      <c r="N178" s="2497">
        <v>200</v>
      </c>
      <c r="O178" s="2452"/>
    </row>
    <row r="179" spans="1:15" ht="15" customHeight="1">
      <c r="A179" s="2462">
        <v>23</v>
      </c>
      <c r="B179" s="2498" t="s">
        <v>5263</v>
      </c>
      <c r="C179" s="2496" t="s">
        <v>2440</v>
      </c>
      <c r="D179" s="2496">
        <v>1987</v>
      </c>
      <c r="E179" s="2496">
        <v>1</v>
      </c>
      <c r="F179" s="2496">
        <v>8</v>
      </c>
      <c r="G179" s="2496" t="s">
        <v>2440</v>
      </c>
      <c r="H179" s="2496">
        <v>142</v>
      </c>
      <c r="I179" s="2496">
        <v>8</v>
      </c>
      <c r="J179" s="2496" t="s">
        <v>745</v>
      </c>
      <c r="K179" s="2496">
        <v>15</v>
      </c>
      <c r="L179" s="2496" t="s">
        <v>745</v>
      </c>
      <c r="M179" s="2496" t="s">
        <v>2440</v>
      </c>
      <c r="N179" s="2497">
        <v>200</v>
      </c>
      <c r="O179" s="2452"/>
    </row>
    <row r="180" spans="1:15" ht="15" customHeight="1">
      <c r="A180" s="2462">
        <v>24</v>
      </c>
      <c r="B180" s="2498" t="s">
        <v>5264</v>
      </c>
      <c r="C180" s="2496" t="s">
        <v>2440</v>
      </c>
      <c r="D180" s="2496">
        <v>1996</v>
      </c>
      <c r="E180" s="2496">
        <v>1</v>
      </c>
      <c r="F180" s="2496">
        <v>8</v>
      </c>
      <c r="G180" s="2496" t="s">
        <v>2440</v>
      </c>
      <c r="H180" s="2496">
        <v>142</v>
      </c>
      <c r="I180" s="2496">
        <v>8</v>
      </c>
      <c r="J180" s="2496" t="s">
        <v>745</v>
      </c>
      <c r="K180" s="2496">
        <v>15</v>
      </c>
      <c r="L180" s="2496" t="s">
        <v>745</v>
      </c>
      <c r="M180" s="2496" t="s">
        <v>2440</v>
      </c>
      <c r="N180" s="2497">
        <v>200</v>
      </c>
      <c r="O180" s="2452"/>
    </row>
    <row r="181" spans="1:15" ht="15" customHeight="1">
      <c r="A181" s="2462">
        <v>25</v>
      </c>
      <c r="B181" s="2498" t="s">
        <v>5265</v>
      </c>
      <c r="C181" s="2496" t="s">
        <v>2440</v>
      </c>
      <c r="D181" s="2496">
        <v>1981</v>
      </c>
      <c r="E181" s="2496">
        <v>1</v>
      </c>
      <c r="F181" s="2496">
        <v>8</v>
      </c>
      <c r="G181" s="2496" t="s">
        <v>2440</v>
      </c>
      <c r="H181" s="2496">
        <v>148</v>
      </c>
      <c r="I181" s="2496">
        <v>8</v>
      </c>
      <c r="J181" s="2496" t="s">
        <v>745</v>
      </c>
      <c r="K181" s="2496">
        <v>15</v>
      </c>
      <c r="L181" s="2496" t="s">
        <v>745</v>
      </c>
      <c r="M181" s="2496" t="s">
        <v>2440</v>
      </c>
      <c r="N181" s="2497">
        <v>200</v>
      </c>
      <c r="O181" s="2452"/>
    </row>
    <row r="182" spans="1:15" ht="15" customHeight="1" thickBot="1">
      <c r="A182" s="2499">
        <v>26</v>
      </c>
      <c r="B182" s="2959" t="s">
        <v>5266</v>
      </c>
      <c r="C182" s="2496" t="s">
        <v>2440</v>
      </c>
      <c r="D182" s="2960">
        <v>1992</v>
      </c>
      <c r="E182" s="2960">
        <v>1</v>
      </c>
      <c r="F182" s="2960">
        <v>8</v>
      </c>
      <c r="G182" s="2960" t="s">
        <v>2440</v>
      </c>
      <c r="H182" s="2960">
        <v>128</v>
      </c>
      <c r="I182" s="2960">
        <v>8</v>
      </c>
      <c r="J182" s="2960" t="s">
        <v>745</v>
      </c>
      <c r="K182" s="2960">
        <v>15</v>
      </c>
      <c r="L182" s="2960" t="s">
        <v>745</v>
      </c>
      <c r="M182" s="2960" t="s">
        <v>2440</v>
      </c>
      <c r="N182" s="2497">
        <v>200</v>
      </c>
      <c r="O182" s="2452"/>
    </row>
    <row r="183" spans="1:15" ht="15" customHeight="1">
      <c r="A183" s="2449" t="s">
        <v>3184</v>
      </c>
      <c r="B183" s="2449"/>
      <c r="C183" s="2449"/>
      <c r="D183" s="2449"/>
      <c r="E183" s="2449"/>
      <c r="F183" s="2449"/>
      <c r="G183" s="2449"/>
      <c r="H183" s="2449"/>
      <c r="I183" s="2449"/>
      <c r="J183" s="2449"/>
      <c r="K183" s="2449"/>
      <c r="L183" s="2449"/>
      <c r="M183" s="2449"/>
      <c r="N183" s="2449"/>
    </row>
    <row r="184" spans="1:15" ht="15" customHeight="1">
      <c r="A184" s="2489" t="s">
        <v>5274</v>
      </c>
      <c r="B184" s="2489"/>
      <c r="C184" s="2489"/>
      <c r="D184" s="2489"/>
      <c r="E184" s="2489"/>
      <c r="F184" s="2489"/>
      <c r="G184" s="2489"/>
      <c r="H184" s="2489"/>
      <c r="I184" s="2489"/>
      <c r="J184" s="2489"/>
      <c r="K184" s="2489"/>
      <c r="L184" s="2489"/>
      <c r="M184" s="2489"/>
      <c r="N184" s="2489"/>
    </row>
    <row r="185" spans="1:15" ht="15" customHeight="1"/>
    <row r="186" spans="1:15" ht="15" customHeight="1" thickBot="1">
      <c r="A186" s="2444" t="s">
        <v>5267</v>
      </c>
    </row>
    <row r="187" spans="1:15" ht="15" customHeight="1">
      <c r="A187" s="2448"/>
      <c r="B187" s="2962"/>
      <c r="C187" s="2449"/>
      <c r="D187" s="2449"/>
      <c r="E187" s="2449"/>
      <c r="F187" s="2449"/>
      <c r="G187" s="2449"/>
      <c r="H187" s="2449"/>
      <c r="I187" s="2449"/>
      <c r="J187" s="2449"/>
      <c r="K187" s="2449"/>
      <c r="L187" s="2449"/>
      <c r="M187" s="2449"/>
      <c r="N187" s="2450"/>
    </row>
    <row r="188" spans="1:15" ht="15" customHeight="1">
      <c r="A188" s="2490" t="s">
        <v>4013</v>
      </c>
      <c r="B188" s="2460"/>
      <c r="C188" s="2460"/>
      <c r="D188" s="2460"/>
      <c r="E188" s="2460"/>
      <c r="F188" s="2460"/>
      <c r="G188" s="2460"/>
      <c r="H188" s="2460"/>
      <c r="I188" s="2460"/>
      <c r="J188" s="2460"/>
      <c r="K188" s="2460"/>
      <c r="L188" s="2460"/>
      <c r="M188" s="2460"/>
      <c r="N188" s="2491"/>
    </row>
    <row r="189" spans="1:15" ht="15" customHeight="1">
      <c r="A189" s="2452"/>
      <c r="B189" s="2451"/>
      <c r="C189" s="2451"/>
      <c r="D189" s="2451"/>
      <c r="E189" s="2451"/>
      <c r="F189" s="2451"/>
      <c r="G189" s="2451"/>
      <c r="H189" s="2451"/>
      <c r="I189" s="2451"/>
      <c r="J189" s="2451"/>
      <c r="K189" s="2451"/>
      <c r="L189" s="2451"/>
      <c r="M189" s="2451"/>
      <c r="N189" s="2453"/>
    </row>
    <row r="190" spans="1:15" ht="15" customHeight="1">
      <c r="A190" s="2454"/>
      <c r="B190" s="2445"/>
      <c r="C190" s="2445"/>
      <c r="D190" s="2445"/>
      <c r="E190" s="2445"/>
      <c r="F190" s="2445"/>
      <c r="G190" s="2445"/>
      <c r="H190" s="2445"/>
      <c r="I190" s="2445"/>
      <c r="J190" s="2445"/>
      <c r="K190" s="2445"/>
      <c r="L190" s="2445"/>
      <c r="M190" s="2445"/>
      <c r="N190" s="2455"/>
    </row>
    <row r="191" spans="1:15" ht="15" customHeight="1">
      <c r="A191" s="2452"/>
      <c r="B191" s="2451" t="s">
        <v>1854</v>
      </c>
      <c r="C191" s="2451"/>
      <c r="D191" s="2451"/>
      <c r="E191" s="2451"/>
      <c r="F191" s="2451"/>
      <c r="G191" s="2451"/>
      <c r="H191" s="2451"/>
      <c r="I191" s="2451" t="s">
        <v>4216</v>
      </c>
      <c r="J191" s="2451"/>
      <c r="K191" s="2451"/>
      <c r="L191" s="2451"/>
      <c r="M191" s="2451"/>
      <c r="N191" s="2453"/>
    </row>
    <row r="192" spans="1:15" ht="15" customHeight="1">
      <c r="A192" s="2452"/>
      <c r="B192" s="2451" t="s">
        <v>4217</v>
      </c>
      <c r="C192" s="2451"/>
      <c r="D192" s="2451"/>
      <c r="E192" s="2451"/>
      <c r="F192" s="2451"/>
      <c r="G192" s="2451"/>
      <c r="H192" s="2451"/>
      <c r="I192" s="2451" t="s">
        <v>4218</v>
      </c>
      <c r="J192" s="2451"/>
      <c r="K192" s="2451"/>
      <c r="L192" s="2451"/>
      <c r="M192" s="2451"/>
      <c r="N192" s="2453"/>
    </row>
    <row r="193" spans="1:14" ht="15" customHeight="1">
      <c r="A193" s="2452"/>
      <c r="B193" s="2451" t="s">
        <v>4219</v>
      </c>
      <c r="C193" s="2451"/>
      <c r="D193" s="2451"/>
      <c r="E193" s="2451"/>
      <c r="F193" s="2451"/>
      <c r="G193" s="2451"/>
      <c r="H193" s="2451"/>
      <c r="I193" s="2451"/>
      <c r="J193" s="2451"/>
      <c r="K193" s="2451"/>
      <c r="L193" s="2451"/>
      <c r="M193" s="2451"/>
      <c r="N193" s="2453"/>
    </row>
    <row r="194" spans="1:14" ht="15" customHeight="1">
      <c r="A194" s="2452"/>
      <c r="B194" s="2451"/>
      <c r="C194" s="2451"/>
      <c r="D194" s="2451"/>
      <c r="E194" s="2451"/>
      <c r="F194" s="2451"/>
      <c r="G194" s="2451"/>
      <c r="H194" s="2451"/>
      <c r="I194" s="2451"/>
      <c r="J194" s="2451"/>
      <c r="K194" s="2451"/>
      <c r="L194" s="2451"/>
      <c r="M194" s="2451"/>
      <c r="N194" s="2453"/>
    </row>
    <row r="195" spans="1:14" ht="15" customHeight="1">
      <c r="A195" s="2452"/>
      <c r="B195" s="2451" t="s">
        <v>1183</v>
      </c>
      <c r="C195" s="2451"/>
      <c r="D195" s="2451"/>
      <c r="E195" s="2451"/>
      <c r="F195" s="2451"/>
      <c r="G195" s="2451"/>
      <c r="H195" s="2451"/>
      <c r="I195" s="2451"/>
      <c r="J195" s="2451"/>
      <c r="K195" s="2451"/>
      <c r="L195" s="2451"/>
      <c r="M195" s="2451"/>
      <c r="N195" s="2453"/>
    </row>
    <row r="196" spans="1:14" ht="15" customHeight="1">
      <c r="A196" s="2452"/>
      <c r="B196" s="2451" t="s">
        <v>3981</v>
      </c>
      <c r="C196" s="2451"/>
      <c r="D196" s="2451"/>
      <c r="E196" s="2451"/>
      <c r="F196" s="2451"/>
      <c r="G196" s="2451"/>
      <c r="H196" s="2451"/>
      <c r="I196" s="2451"/>
      <c r="J196" s="2451"/>
      <c r="K196" s="2451"/>
      <c r="L196" s="2451"/>
      <c r="M196" s="2451"/>
      <c r="N196" s="2453"/>
    </row>
    <row r="197" spans="1:14" ht="15" customHeight="1">
      <c r="A197" s="2452"/>
      <c r="B197" s="2451"/>
      <c r="C197" s="2451"/>
      <c r="D197" s="2451"/>
      <c r="E197" s="2451"/>
      <c r="F197" s="2451"/>
      <c r="G197" s="2451"/>
      <c r="H197" s="2451"/>
      <c r="I197" s="2451"/>
      <c r="J197" s="2451"/>
      <c r="K197" s="2451"/>
      <c r="L197" s="2451"/>
      <c r="M197" s="2451"/>
      <c r="N197" s="2453"/>
    </row>
    <row r="198" spans="1:14" ht="15" customHeight="1">
      <c r="A198" s="2492"/>
      <c r="B198" s="2464"/>
      <c r="C198" s="2464"/>
      <c r="D198" s="2464"/>
      <c r="E198" s="2464"/>
      <c r="F198" s="2464"/>
      <c r="G198" s="2456" t="s">
        <v>4220</v>
      </c>
      <c r="H198" s="2457"/>
      <c r="I198" s="2457"/>
      <c r="J198" s="2457"/>
      <c r="K198" s="2457"/>
      <c r="L198" s="2457"/>
      <c r="M198" s="2457"/>
      <c r="N198" s="2458"/>
    </row>
    <row r="199" spans="1:14" ht="15" customHeight="1">
      <c r="A199" s="2462"/>
      <c r="B199" s="2463" t="s">
        <v>3026</v>
      </c>
      <c r="C199" s="2463" t="s">
        <v>4221</v>
      </c>
      <c r="D199" s="2463" t="s">
        <v>3968</v>
      </c>
      <c r="E199" s="2463" t="s">
        <v>4222</v>
      </c>
      <c r="F199" s="2463" t="s">
        <v>4223</v>
      </c>
      <c r="G199" s="2464" t="s">
        <v>94</v>
      </c>
      <c r="H199" s="2464"/>
      <c r="I199" s="2464" t="s">
        <v>3973</v>
      </c>
      <c r="J199" s="2464" t="s">
        <v>4224</v>
      </c>
      <c r="K199" s="2464" t="s">
        <v>4225</v>
      </c>
      <c r="L199" s="2464"/>
      <c r="M199" s="2464"/>
      <c r="N199" s="2461" t="s">
        <v>2989</v>
      </c>
    </row>
    <row r="200" spans="1:14" ht="15" customHeight="1">
      <c r="A200" s="2462" t="s">
        <v>1939</v>
      </c>
      <c r="B200" s="2463" t="s">
        <v>4226</v>
      </c>
      <c r="C200" s="2463" t="s">
        <v>4227</v>
      </c>
      <c r="D200" s="2463" t="s">
        <v>3974</v>
      </c>
      <c r="E200" s="2463" t="s">
        <v>2593</v>
      </c>
      <c r="F200" s="2463" t="s">
        <v>4228</v>
      </c>
      <c r="G200" s="2463" t="s">
        <v>4229</v>
      </c>
      <c r="H200" s="2463" t="s">
        <v>3024</v>
      </c>
      <c r="I200" s="2463" t="s">
        <v>344</v>
      </c>
      <c r="J200" s="2463" t="s">
        <v>3034</v>
      </c>
      <c r="K200" s="2463" t="s">
        <v>3336</v>
      </c>
      <c r="L200" s="2463" t="s">
        <v>4465</v>
      </c>
      <c r="M200" s="2463" t="s">
        <v>3337</v>
      </c>
      <c r="N200" s="2461" t="s">
        <v>254</v>
      </c>
    </row>
    <row r="201" spans="1:14" ht="15" customHeight="1">
      <c r="A201" s="2462"/>
      <c r="B201" s="2463" t="s">
        <v>255</v>
      </c>
      <c r="C201" s="2463" t="s">
        <v>256</v>
      </c>
      <c r="D201" s="2463" t="s">
        <v>257</v>
      </c>
      <c r="E201" s="2463" t="s">
        <v>258</v>
      </c>
      <c r="F201" s="2463" t="s">
        <v>259</v>
      </c>
      <c r="G201" s="2463" t="s">
        <v>260</v>
      </c>
      <c r="H201" s="2463" t="s">
        <v>3039</v>
      </c>
      <c r="I201" s="2463" t="s">
        <v>261</v>
      </c>
      <c r="J201" s="2463" t="s">
        <v>262</v>
      </c>
      <c r="K201" s="2463" t="s">
        <v>263</v>
      </c>
      <c r="L201" s="2463" t="s">
        <v>264</v>
      </c>
      <c r="M201" s="2463" t="s">
        <v>2600</v>
      </c>
      <c r="N201" s="2461" t="s">
        <v>1989</v>
      </c>
    </row>
    <row r="202" spans="1:14" ht="15" customHeight="1">
      <c r="A202" s="2462" t="s">
        <v>1941</v>
      </c>
      <c r="B202" s="2463" t="s">
        <v>1990</v>
      </c>
      <c r="C202" s="2463"/>
      <c r="D202" s="2463"/>
      <c r="E202" s="2463" t="s">
        <v>1991</v>
      </c>
      <c r="F202" s="2463" t="s">
        <v>1992</v>
      </c>
      <c r="G202" s="2463" t="s">
        <v>1993</v>
      </c>
      <c r="H202" s="2463"/>
      <c r="I202" s="2463" t="s">
        <v>1748</v>
      </c>
      <c r="J202" s="2463" t="s">
        <v>1994</v>
      </c>
      <c r="K202" s="2463" t="s">
        <v>3039</v>
      </c>
      <c r="L202" s="2463"/>
      <c r="M202" s="2463"/>
      <c r="N202" s="2461" t="s">
        <v>3835</v>
      </c>
    </row>
    <row r="203" spans="1:14" ht="15" customHeight="1">
      <c r="A203" s="2462"/>
      <c r="B203" s="2463" t="s">
        <v>932</v>
      </c>
      <c r="C203" s="2463" t="s">
        <v>933</v>
      </c>
      <c r="D203" s="2463" t="s">
        <v>934</v>
      </c>
      <c r="E203" s="2463" t="s">
        <v>935</v>
      </c>
      <c r="F203" s="2463" t="s">
        <v>936</v>
      </c>
      <c r="G203" s="2463" t="s">
        <v>937</v>
      </c>
      <c r="H203" s="2463" t="s">
        <v>938</v>
      </c>
      <c r="I203" s="2463" t="s">
        <v>939</v>
      </c>
      <c r="J203" s="2463" t="s">
        <v>4484</v>
      </c>
      <c r="K203" s="2463" t="s">
        <v>4485</v>
      </c>
      <c r="L203" s="2463" t="s">
        <v>4486</v>
      </c>
      <c r="M203" s="2463" t="s">
        <v>4487</v>
      </c>
      <c r="N203" s="2461" t="s">
        <v>4488</v>
      </c>
    </row>
    <row r="204" spans="1:14" ht="15" customHeight="1">
      <c r="A204" s="2492">
        <v>1</v>
      </c>
      <c r="B204" s="2494" t="s">
        <v>5241</v>
      </c>
      <c r="C204" s="2494"/>
      <c r="D204" s="2494"/>
      <c r="E204" s="2494"/>
      <c r="F204" s="2494"/>
      <c r="G204" s="2494"/>
      <c r="H204" s="2494"/>
      <c r="I204" s="2494"/>
      <c r="J204" s="2494"/>
      <c r="K204" s="2494"/>
      <c r="L204" s="2494"/>
      <c r="M204" s="2494"/>
      <c r="N204" s="2495"/>
    </row>
    <row r="205" spans="1:14" ht="15" customHeight="1">
      <c r="A205" s="2462">
        <v>2</v>
      </c>
      <c r="B205" s="2498" t="s">
        <v>5268</v>
      </c>
      <c r="C205" s="2496" t="s">
        <v>3422</v>
      </c>
      <c r="D205" s="2496">
        <v>1983</v>
      </c>
      <c r="E205" s="2496">
        <v>1</v>
      </c>
      <c r="F205" s="2496">
        <v>8</v>
      </c>
      <c r="G205" s="2496" t="s">
        <v>1285</v>
      </c>
      <c r="H205" s="2496">
        <v>138</v>
      </c>
      <c r="I205" s="2496">
        <v>8</v>
      </c>
      <c r="J205" s="2496" t="s">
        <v>745</v>
      </c>
      <c r="K205" s="2496">
        <v>15</v>
      </c>
      <c r="L205" s="2496" t="s">
        <v>745</v>
      </c>
      <c r="M205" s="2496" t="s">
        <v>4451</v>
      </c>
      <c r="N205" s="2497">
        <v>200</v>
      </c>
    </row>
    <row r="206" spans="1:14" ht="15" customHeight="1">
      <c r="A206" s="2462">
        <v>3</v>
      </c>
      <c r="B206" s="2498" t="s">
        <v>5269</v>
      </c>
      <c r="C206" s="2496" t="s">
        <v>2440</v>
      </c>
      <c r="D206" s="2496">
        <v>1992</v>
      </c>
      <c r="E206" s="2496">
        <v>1</v>
      </c>
      <c r="F206" s="2496">
        <v>8</v>
      </c>
      <c r="G206" s="2496" t="s">
        <v>2440</v>
      </c>
      <c r="H206" s="2496">
        <v>138</v>
      </c>
      <c r="I206" s="2496">
        <v>8</v>
      </c>
      <c r="J206" s="2496" t="s">
        <v>745</v>
      </c>
      <c r="K206" s="2496">
        <v>15</v>
      </c>
      <c r="L206" s="2496" t="s">
        <v>745</v>
      </c>
      <c r="M206" s="2496" t="s">
        <v>2440</v>
      </c>
      <c r="N206" s="2497">
        <v>200</v>
      </c>
    </row>
    <row r="207" spans="1:14" ht="15" customHeight="1">
      <c r="A207" s="2462">
        <v>4</v>
      </c>
      <c r="B207" s="2498" t="s">
        <v>5270</v>
      </c>
      <c r="C207" s="2496" t="s">
        <v>984</v>
      </c>
      <c r="D207" s="2496">
        <v>1946</v>
      </c>
      <c r="E207" s="2496">
        <v>1</v>
      </c>
      <c r="F207" s="2496">
        <v>8</v>
      </c>
      <c r="G207" s="2496" t="s">
        <v>2440</v>
      </c>
      <c r="H207" s="2496">
        <v>151</v>
      </c>
      <c r="I207" s="2496">
        <v>8</v>
      </c>
      <c r="J207" s="2496" t="s">
        <v>745</v>
      </c>
      <c r="K207" s="2496">
        <v>15</v>
      </c>
      <c r="L207" s="2496" t="s">
        <v>745</v>
      </c>
      <c r="M207" s="2496" t="s">
        <v>987</v>
      </c>
      <c r="N207" s="2497" t="s">
        <v>987</v>
      </c>
    </row>
    <row r="208" spans="1:14" ht="15" customHeight="1">
      <c r="A208" s="2462">
        <v>5</v>
      </c>
      <c r="B208" s="2498" t="s">
        <v>5271</v>
      </c>
      <c r="C208" s="2496" t="s">
        <v>3422</v>
      </c>
      <c r="D208" s="2496">
        <v>2001</v>
      </c>
      <c r="E208" s="2496">
        <v>1</v>
      </c>
      <c r="F208" s="2496">
        <v>8</v>
      </c>
      <c r="G208" s="2496" t="s">
        <v>2440</v>
      </c>
      <c r="H208" s="2496">
        <v>138</v>
      </c>
      <c r="I208" s="2496">
        <v>8</v>
      </c>
      <c r="J208" s="2496" t="s">
        <v>745</v>
      </c>
      <c r="K208" s="2496">
        <v>15</v>
      </c>
      <c r="L208" s="2496" t="s">
        <v>745</v>
      </c>
      <c r="M208" s="2496" t="s">
        <v>4451</v>
      </c>
      <c r="N208" s="2497">
        <v>200</v>
      </c>
    </row>
    <row r="209" spans="1:14" ht="15" customHeight="1">
      <c r="A209" s="2462">
        <v>6</v>
      </c>
      <c r="B209" s="2498" t="s">
        <v>5272</v>
      </c>
      <c r="C209" s="2496" t="s">
        <v>2440</v>
      </c>
      <c r="D209" s="2496">
        <v>1995</v>
      </c>
      <c r="E209" s="2496">
        <v>1</v>
      </c>
      <c r="F209" s="2496">
        <v>8</v>
      </c>
      <c r="G209" s="2496" t="s">
        <v>2440</v>
      </c>
      <c r="H209" s="2496">
        <v>149</v>
      </c>
      <c r="I209" s="2496">
        <v>8</v>
      </c>
      <c r="J209" s="2496" t="s">
        <v>745</v>
      </c>
      <c r="K209" s="2496">
        <v>15</v>
      </c>
      <c r="L209" s="2496" t="s">
        <v>745</v>
      </c>
      <c r="M209" s="2496" t="s">
        <v>2440</v>
      </c>
      <c r="N209" s="2497">
        <v>200</v>
      </c>
    </row>
    <row r="210" spans="1:14" ht="15" customHeight="1">
      <c r="A210" s="2462">
        <v>7</v>
      </c>
      <c r="B210" s="2498"/>
      <c r="C210" s="2496"/>
      <c r="D210" s="2496"/>
      <c r="E210" s="2496"/>
      <c r="F210" s="2496"/>
      <c r="G210" s="2496"/>
      <c r="H210" s="2496"/>
      <c r="I210" s="2496"/>
      <c r="J210" s="2496"/>
      <c r="K210" s="2496"/>
      <c r="L210" s="2496"/>
      <c r="M210" s="2496"/>
      <c r="N210" s="2497"/>
    </row>
    <row r="211" spans="1:14" ht="15" customHeight="1">
      <c r="A211" s="2462">
        <v>8</v>
      </c>
      <c r="B211" s="2498" t="s">
        <v>4138</v>
      </c>
      <c r="C211" s="2496"/>
      <c r="D211" s="2496"/>
      <c r="E211" s="2496"/>
      <c r="F211" s="2496"/>
      <c r="G211" s="2496"/>
      <c r="H211" s="2496"/>
      <c r="I211" s="2496"/>
      <c r="J211" s="2496"/>
      <c r="K211" s="2496"/>
      <c r="L211" s="2496"/>
      <c r="M211" s="2496"/>
      <c r="N211" s="2497"/>
    </row>
    <row r="212" spans="1:14" ht="15" customHeight="1">
      <c r="A212" s="2462">
        <v>9</v>
      </c>
      <c r="B212" s="2498" t="s">
        <v>2439</v>
      </c>
      <c r="C212" s="2496" t="s">
        <v>4449</v>
      </c>
      <c r="D212" s="2496" t="s">
        <v>4148</v>
      </c>
      <c r="E212" s="2496">
        <v>1</v>
      </c>
      <c r="F212" s="2496" t="s">
        <v>1785</v>
      </c>
      <c r="G212" s="2496" t="s">
        <v>3112</v>
      </c>
      <c r="H212" s="2496" t="s">
        <v>4149</v>
      </c>
      <c r="I212" s="2496" t="s">
        <v>2027</v>
      </c>
      <c r="J212" s="2496" t="s">
        <v>721</v>
      </c>
      <c r="K212" s="2496" t="s">
        <v>1794</v>
      </c>
      <c r="L212" s="2496" t="s">
        <v>3115</v>
      </c>
      <c r="M212" s="2496" t="s">
        <v>2440</v>
      </c>
      <c r="N212" s="2497">
        <v>1000</v>
      </c>
    </row>
    <row r="213" spans="1:14" ht="15" customHeight="1">
      <c r="A213" s="2462">
        <v>10</v>
      </c>
      <c r="B213" s="2498" t="s">
        <v>2439</v>
      </c>
      <c r="C213" s="2496" t="s">
        <v>2440</v>
      </c>
      <c r="D213" s="2496" t="s">
        <v>4148</v>
      </c>
      <c r="E213" s="2496">
        <v>1</v>
      </c>
      <c r="F213" s="2496" t="s">
        <v>1785</v>
      </c>
      <c r="G213" s="2496" t="s">
        <v>1285</v>
      </c>
      <c r="H213" s="2496" t="s">
        <v>4150</v>
      </c>
      <c r="I213" s="2496" t="s">
        <v>2027</v>
      </c>
      <c r="J213" s="2496" t="s">
        <v>721</v>
      </c>
      <c r="K213" s="2496" t="s">
        <v>1785</v>
      </c>
      <c r="L213" s="2496" t="s">
        <v>3302</v>
      </c>
      <c r="M213" s="2496" t="s">
        <v>2440</v>
      </c>
      <c r="N213" s="2497">
        <v>950</v>
      </c>
    </row>
    <row r="214" spans="1:14" ht="15" customHeight="1">
      <c r="A214" s="2462">
        <v>11</v>
      </c>
      <c r="B214" s="2498" t="s">
        <v>2439</v>
      </c>
      <c r="C214" s="2496" t="s">
        <v>984</v>
      </c>
      <c r="D214" s="2496" t="s">
        <v>4148</v>
      </c>
      <c r="E214" s="2496">
        <v>1</v>
      </c>
      <c r="F214" s="2496" t="s">
        <v>1786</v>
      </c>
      <c r="G214" s="2496" t="s">
        <v>2440</v>
      </c>
      <c r="H214" s="2496" t="s">
        <v>3110</v>
      </c>
      <c r="I214" s="2496" t="s">
        <v>2027</v>
      </c>
      <c r="J214" s="2496" t="s">
        <v>722</v>
      </c>
      <c r="K214" s="2496" t="s">
        <v>2430</v>
      </c>
      <c r="L214" s="2496" t="s">
        <v>987</v>
      </c>
      <c r="M214" s="2496" t="s">
        <v>987</v>
      </c>
      <c r="N214" s="2497" t="s">
        <v>987</v>
      </c>
    </row>
    <row r="215" spans="1:14" ht="15" customHeight="1">
      <c r="A215" s="2462">
        <v>12</v>
      </c>
      <c r="B215" s="2498" t="s">
        <v>4604</v>
      </c>
      <c r="C215" s="2496" t="s">
        <v>3422</v>
      </c>
      <c r="D215" s="2496" t="s">
        <v>4139</v>
      </c>
      <c r="E215" s="2496">
        <v>1</v>
      </c>
      <c r="F215" s="2496" t="s">
        <v>4140</v>
      </c>
      <c r="G215" s="2496" t="s">
        <v>2440</v>
      </c>
      <c r="H215" s="2496" t="s">
        <v>3101</v>
      </c>
      <c r="I215" s="2496" t="s">
        <v>2027</v>
      </c>
      <c r="J215" s="2496" t="s">
        <v>750</v>
      </c>
      <c r="K215" s="2496" t="s">
        <v>1786</v>
      </c>
      <c r="L215" s="2496" t="s">
        <v>4435</v>
      </c>
      <c r="M215" s="2496" t="s">
        <v>1288</v>
      </c>
      <c r="N215" s="2497">
        <v>1750</v>
      </c>
    </row>
    <row r="216" spans="1:14" ht="15" customHeight="1">
      <c r="A216" s="2462">
        <v>13</v>
      </c>
      <c r="B216" s="2498" t="s">
        <v>4605</v>
      </c>
      <c r="C216" s="2496" t="s">
        <v>2440</v>
      </c>
      <c r="D216" s="2496" t="s">
        <v>4141</v>
      </c>
      <c r="E216" s="2496">
        <v>1</v>
      </c>
      <c r="F216" s="2496" t="s">
        <v>1781</v>
      </c>
      <c r="G216" s="2496" t="s">
        <v>2440</v>
      </c>
      <c r="H216" s="2496" t="s">
        <v>4142</v>
      </c>
      <c r="I216" s="2496" t="s">
        <v>2027</v>
      </c>
      <c r="J216" s="2496" t="s">
        <v>751</v>
      </c>
      <c r="K216" s="2496" t="s">
        <v>4441</v>
      </c>
      <c r="L216" s="2496" t="s">
        <v>2438</v>
      </c>
      <c r="M216" s="2496" t="s">
        <v>2440</v>
      </c>
      <c r="N216" s="2497">
        <v>1900</v>
      </c>
    </row>
    <row r="217" spans="1:14" ht="15" customHeight="1">
      <c r="A217" s="2462">
        <v>14</v>
      </c>
      <c r="B217" s="2498" t="s">
        <v>4606</v>
      </c>
      <c r="C217" s="2496" t="s">
        <v>2440</v>
      </c>
      <c r="D217" s="2496" t="s">
        <v>4143</v>
      </c>
      <c r="E217" s="2496">
        <v>1</v>
      </c>
      <c r="F217" s="2496" t="s">
        <v>1785</v>
      </c>
      <c r="G217" s="2496" t="s">
        <v>2440</v>
      </c>
      <c r="H217" s="2496" t="s">
        <v>4144</v>
      </c>
      <c r="I217" s="2496" t="s">
        <v>2027</v>
      </c>
      <c r="J217" s="2496" t="s">
        <v>751</v>
      </c>
      <c r="K217" s="2496" t="s">
        <v>4145</v>
      </c>
      <c r="L217" s="2496" t="s">
        <v>4146</v>
      </c>
      <c r="M217" s="2496" t="s">
        <v>2440</v>
      </c>
      <c r="N217" s="2497">
        <v>2000</v>
      </c>
    </row>
    <row r="218" spans="1:14" ht="15" customHeight="1">
      <c r="A218" s="2462">
        <v>15</v>
      </c>
      <c r="B218" s="2498" t="s">
        <v>4607</v>
      </c>
      <c r="C218" s="2496" t="s">
        <v>2440</v>
      </c>
      <c r="D218" s="2496" t="s">
        <v>4147</v>
      </c>
      <c r="E218" s="2496">
        <v>1</v>
      </c>
      <c r="F218" s="2496" t="s">
        <v>1784</v>
      </c>
      <c r="G218" s="2496" t="s">
        <v>2440</v>
      </c>
      <c r="H218" s="2496" t="s">
        <v>3117</v>
      </c>
      <c r="I218" s="2496" t="s">
        <v>2027</v>
      </c>
      <c r="J218" s="2496" t="s">
        <v>1774</v>
      </c>
      <c r="K218" s="2496" t="s">
        <v>1782</v>
      </c>
      <c r="L218" s="2496" t="s">
        <v>2438</v>
      </c>
      <c r="M218" s="2496" t="s">
        <v>2440</v>
      </c>
      <c r="N218" s="2497">
        <v>1900</v>
      </c>
    </row>
    <row r="219" spans="1:14" ht="15" customHeight="1">
      <c r="A219" s="2462">
        <v>16</v>
      </c>
      <c r="B219" s="2498"/>
      <c r="C219" s="2496"/>
      <c r="D219" s="2496"/>
      <c r="E219" s="2496"/>
      <c r="F219" s="2496"/>
      <c r="G219" s="2496"/>
      <c r="H219" s="2496"/>
      <c r="I219" s="2496"/>
      <c r="J219" s="2496"/>
      <c r="K219" s="2496"/>
      <c r="L219" s="2496"/>
      <c r="M219" s="2496"/>
      <c r="N219" s="2497"/>
    </row>
    <row r="220" spans="1:14" ht="15" customHeight="1">
      <c r="A220" s="2462">
        <v>17</v>
      </c>
      <c r="B220" s="2498" t="s">
        <v>3303</v>
      </c>
      <c r="C220" s="2496"/>
      <c r="D220" s="2496"/>
      <c r="E220" s="2496"/>
      <c r="F220" s="2496"/>
      <c r="G220" s="2496"/>
      <c r="H220" s="2496"/>
      <c r="I220" s="2496"/>
      <c r="J220" s="2496"/>
      <c r="K220" s="2496"/>
      <c r="L220" s="2496"/>
      <c r="M220" s="2496"/>
      <c r="N220" s="2497"/>
    </row>
    <row r="221" spans="1:14" ht="15" customHeight="1">
      <c r="A221" s="2462">
        <v>18</v>
      </c>
      <c r="B221" s="2498" t="s">
        <v>4608</v>
      </c>
      <c r="C221" s="2496" t="s">
        <v>3422</v>
      </c>
      <c r="D221" s="2496" t="s">
        <v>3304</v>
      </c>
      <c r="E221" s="2496">
        <v>1</v>
      </c>
      <c r="F221" s="2496" t="s">
        <v>3305</v>
      </c>
      <c r="G221" s="2496" t="s">
        <v>1285</v>
      </c>
      <c r="H221" s="2496" t="s">
        <v>3306</v>
      </c>
      <c r="I221" s="2496" t="s">
        <v>2027</v>
      </c>
      <c r="J221" s="2496" t="s">
        <v>1772</v>
      </c>
      <c r="K221" s="2496" t="s">
        <v>1780</v>
      </c>
      <c r="L221" s="2496" t="s">
        <v>2438</v>
      </c>
      <c r="M221" s="2496" t="s">
        <v>1288</v>
      </c>
      <c r="N221" s="2497">
        <v>1800</v>
      </c>
    </row>
    <row r="222" spans="1:14" ht="15" customHeight="1">
      <c r="A222" s="2462">
        <v>19</v>
      </c>
      <c r="B222" s="2498" t="s">
        <v>4609</v>
      </c>
      <c r="C222" s="2496" t="s">
        <v>2440</v>
      </c>
      <c r="D222" s="2496" t="s">
        <v>2445</v>
      </c>
      <c r="E222" s="2496">
        <v>1</v>
      </c>
      <c r="F222" s="2496" t="s">
        <v>1791</v>
      </c>
      <c r="G222" s="2496" t="s">
        <v>2440</v>
      </c>
      <c r="H222" s="2496" t="s">
        <v>4437</v>
      </c>
      <c r="I222" s="2496" t="s">
        <v>2027</v>
      </c>
      <c r="J222" s="2496" t="s">
        <v>723</v>
      </c>
      <c r="K222" s="2496" t="s">
        <v>1115</v>
      </c>
      <c r="L222" s="2496" t="s">
        <v>2438</v>
      </c>
      <c r="M222" s="2496" t="s">
        <v>2440</v>
      </c>
      <c r="N222" s="2497">
        <v>1750</v>
      </c>
    </row>
    <row r="223" spans="1:14" ht="15" customHeight="1">
      <c r="A223" s="2462">
        <v>20</v>
      </c>
      <c r="B223" s="2498"/>
      <c r="C223" s="2496"/>
      <c r="D223" s="2496"/>
      <c r="E223" s="2496"/>
      <c r="F223" s="2496"/>
      <c r="G223" s="2496"/>
      <c r="H223" s="2496"/>
      <c r="I223" s="2496"/>
      <c r="J223" s="2496"/>
      <c r="K223" s="2496"/>
      <c r="L223" s="2496"/>
      <c r="M223" s="2496"/>
      <c r="N223" s="2497"/>
    </row>
    <row r="224" spans="1:14" ht="15" customHeight="1">
      <c r="A224" s="2462">
        <v>21</v>
      </c>
      <c r="B224" s="2498" t="s">
        <v>1050</v>
      </c>
      <c r="C224" s="2496"/>
      <c r="D224" s="2496"/>
      <c r="E224" s="2496">
        <v>157</v>
      </c>
      <c r="F224" s="2496"/>
      <c r="G224" s="2496"/>
      <c r="H224" s="2496"/>
      <c r="I224" s="2496"/>
      <c r="J224" s="2496"/>
      <c r="K224" s="2496"/>
      <c r="L224" s="2496"/>
      <c r="M224" s="2496"/>
      <c r="N224" s="2497">
        <v>73380</v>
      </c>
    </row>
    <row r="225" spans="1:14" ht="15" customHeight="1">
      <c r="A225" s="2462">
        <v>22</v>
      </c>
      <c r="B225" s="2498"/>
      <c r="C225" s="2496"/>
      <c r="D225" s="2496"/>
      <c r="E225" s="2496"/>
      <c r="F225" s="2496"/>
      <c r="G225" s="2496"/>
      <c r="H225" s="2496"/>
      <c r="I225" s="2496"/>
      <c r="J225" s="2496"/>
      <c r="K225" s="2496"/>
      <c r="L225" s="2496"/>
      <c r="M225" s="2496"/>
      <c r="N225" s="2497"/>
    </row>
    <row r="226" spans="1:14" ht="15" customHeight="1">
      <c r="A226" s="2462">
        <v>23</v>
      </c>
      <c r="B226" s="2498"/>
      <c r="C226" s="2496"/>
      <c r="D226" s="2496"/>
      <c r="E226" s="2496"/>
      <c r="F226" s="2496"/>
      <c r="G226" s="2496"/>
      <c r="H226" s="2496"/>
      <c r="I226" s="2496"/>
      <c r="J226" s="2496"/>
      <c r="K226" s="2496"/>
      <c r="L226" s="2496"/>
      <c r="M226" s="2496"/>
      <c r="N226" s="2497"/>
    </row>
    <row r="227" spans="1:14" ht="15" customHeight="1">
      <c r="A227" s="2462">
        <v>24</v>
      </c>
      <c r="B227" s="2498"/>
      <c r="C227" s="2496"/>
      <c r="D227" s="2496"/>
      <c r="E227" s="2496"/>
      <c r="F227" s="2496"/>
      <c r="G227" s="2496"/>
      <c r="H227" s="2496"/>
      <c r="I227" s="2496"/>
      <c r="J227" s="2496"/>
      <c r="K227" s="2496"/>
      <c r="L227" s="2496"/>
      <c r="M227" s="2496"/>
      <c r="N227" s="2497"/>
    </row>
    <row r="228" spans="1:14" ht="15" customHeight="1">
      <c r="A228" s="2462">
        <v>25</v>
      </c>
      <c r="B228" s="2498"/>
      <c r="C228" s="2496"/>
      <c r="D228" s="2496"/>
      <c r="E228" s="2496"/>
      <c r="F228" s="2496"/>
      <c r="G228" s="2496"/>
      <c r="H228" s="2496"/>
      <c r="I228" s="2496"/>
      <c r="J228" s="2496"/>
      <c r="K228" s="2496"/>
      <c r="L228" s="2496"/>
      <c r="M228" s="2496"/>
      <c r="N228" s="2497"/>
    </row>
    <row r="229" spans="1:14" ht="15" customHeight="1" thickBot="1">
      <c r="A229" s="2499">
        <v>26</v>
      </c>
      <c r="B229" s="2959"/>
      <c r="C229" s="2496"/>
      <c r="D229" s="2960"/>
      <c r="E229" s="2960"/>
      <c r="F229" s="2960"/>
      <c r="G229" s="2960"/>
      <c r="H229" s="2960"/>
      <c r="I229" s="2960"/>
      <c r="J229" s="2960"/>
      <c r="K229" s="2960"/>
      <c r="L229" s="2960"/>
      <c r="M229" s="2960"/>
      <c r="N229" s="2497"/>
    </row>
    <row r="230" spans="1:14" ht="15" customHeight="1">
      <c r="A230" s="2449" t="s">
        <v>3184</v>
      </c>
      <c r="B230" s="2449"/>
      <c r="C230" s="2449"/>
      <c r="D230" s="2449"/>
      <c r="E230" s="2449"/>
      <c r="F230" s="2449"/>
      <c r="G230" s="2449"/>
      <c r="H230" s="2449"/>
      <c r="I230" s="2449"/>
      <c r="J230" s="2449"/>
      <c r="K230" s="2449"/>
      <c r="L230" s="2449"/>
      <c r="M230" s="2449"/>
      <c r="N230" s="2449"/>
    </row>
    <row r="231" spans="1:14" ht="15" customHeight="1">
      <c r="A231" s="2489" t="s">
        <v>5273</v>
      </c>
      <c r="B231" s="2489"/>
      <c r="C231" s="2489"/>
      <c r="D231" s="2489"/>
      <c r="E231" s="2489"/>
      <c r="F231" s="2489"/>
      <c r="G231" s="2489"/>
      <c r="H231" s="2489"/>
      <c r="I231" s="2489"/>
      <c r="J231" s="2489"/>
      <c r="K231" s="2489"/>
      <c r="L231" s="2489"/>
      <c r="M231" s="2489"/>
      <c r="N231" s="2489"/>
    </row>
    <row r="232" spans="1:14" ht="15" customHeight="1"/>
    <row r="233" spans="1:14" ht="15" customHeight="1"/>
    <row r="234" spans="1:14" ht="15" customHeight="1"/>
  </sheetData>
  <customSheetViews>
    <customSheetView guid="{1BA452AD-1A45-4D9C-9666-ADFFA6F2F567}" colorId="22" topLeftCell="A16">
      <selection activeCell="Q82" sqref="Q82"/>
      <rowBreaks count="3" manualBreakCount="3">
        <brk id="46" max="13" man="1"/>
        <brk id="92" max="13" man="1"/>
        <brk id="138" max="13" man="1"/>
      </rowBreaks>
      <colBreaks count="1" manualBreakCount="1">
        <brk id="14" max="1048575" man="1"/>
      </colBreaks>
      <pageMargins left="0.4" right="0.4" top="0.8" bottom="0.3" header="0" footer="0"/>
      <printOptions horizontalCentered="1" verticalCentered="1"/>
      <pageSetup scale="75" orientation="landscape" r:id="rId1"/>
      <headerFooter alignWithMargins="0"/>
    </customSheetView>
    <customSheetView guid="{EEF7ABD6-0F96-4791-B749-C06F707E7673}" scale="87" colorId="22" fitToPage="1" showRuler="0" topLeftCell="A196">
      <selection activeCell="K41" sqref="K41"/>
      <colBreaks count="1" manualBreakCount="1">
        <brk id="14" max="1048575" man="1"/>
      </colBreaks>
      <pageMargins left="0.4" right="0.4" top="0.8" bottom="0.3" header="0" footer="0"/>
      <printOptions horizontalCentered="1" verticalCentered="1"/>
      <pageSetup scale="54" orientation="landscape" r:id="rId2"/>
      <headerFooter alignWithMargins="0"/>
    </customSheetView>
    <customSheetView guid="{A7D7DB3C-AFE6-468E-8C6B-9531F6711497}" scale="87" colorId="22" fitToPage="1" showRuler="0">
      <selection activeCell="F28" sqref="F28"/>
      <colBreaks count="1" manualBreakCount="1">
        <brk id="14" max="1048575" man="1"/>
      </colBreaks>
      <pageMargins left="0.4" right="0.4" top="0.8" bottom="0.3" header="0" footer="0"/>
      <printOptions horizontalCentered="1" verticalCentered="1"/>
      <pageSetup scale="70" orientation="landscape" r:id="rId3"/>
      <headerFooter alignWithMargins="0"/>
    </customSheetView>
    <customSheetView guid="{4436FEB5-BFEC-4348-9286-CB706802873E}" scale="87" colorId="22" fitToPage="1" showRuler="0">
      <selection activeCell="F28" sqref="F28"/>
      <colBreaks count="1" manualBreakCount="1">
        <brk id="14" max="1048575" man="1"/>
      </colBreaks>
      <pageMargins left="0.4" right="0.4" top="0.8" bottom="0.3" header="0" footer="0"/>
      <printOptions horizontalCentered="1" verticalCentered="1"/>
      <pageSetup scale="70" orientation="landscape" r:id="rId4"/>
      <headerFooter alignWithMargins="0"/>
    </customSheetView>
    <customSheetView guid="{044CF00C-469F-44B3-B2C4-9B4049CE70CB}" scale="87" colorId="22" fitToPage="1" showRuler="0">
      <selection activeCell="M22" sqref="M22"/>
      <colBreaks count="1" manualBreakCount="1">
        <brk id="14" max="1048575" man="1"/>
      </colBreaks>
      <pageMargins left="0.4" right="0.4" top="0.8" bottom="0.3" header="0" footer="0"/>
      <printOptions horizontalCentered="1" verticalCentered="1"/>
      <pageSetup scale="70" orientation="landscape" r:id="rId5"/>
      <headerFooter alignWithMargins="0"/>
    </customSheetView>
    <customSheetView guid="{4826FCC0-BDD6-4B2C-ACC6-ACE271DDF0E3}" scale="87" colorId="22" fitToPage="1" showRuler="0" topLeftCell="A196">
      <selection activeCell="K41" sqref="K41"/>
      <colBreaks count="1" manualBreakCount="1">
        <brk id="14" max="1048575" man="1"/>
      </colBreaks>
      <pageMargins left="0.4" right="0.4" top="0.8" bottom="0.3" header="0" footer="0"/>
      <printOptions horizontalCentered="1" verticalCentered="1"/>
      <pageSetup scale="54" orientation="landscape" r:id="rId6"/>
      <headerFooter alignWithMargins="0"/>
    </customSheetView>
    <customSheetView guid="{EF376D10-23D6-4FE2-AB5B-4460D52CC93F}" scale="87" colorId="22" fitToPage="1" showRuler="0" topLeftCell="A196">
      <selection activeCell="K41" sqref="K41"/>
      <colBreaks count="1" manualBreakCount="1">
        <brk id="14" max="1048575" man="1"/>
      </colBreaks>
      <pageMargins left="0.4" right="0.4" top="0.8" bottom="0.3" header="0" footer="0"/>
      <printOptions horizontalCentered="1" verticalCentered="1"/>
      <pageSetup scale="54" orientation="landscape" r:id="rId7"/>
      <headerFooter alignWithMargins="0"/>
    </customSheetView>
    <customSheetView guid="{1C046605-15CE-44F1-BFCD-2CA8588E7ACF}" scale="87" colorId="22" fitToPage="1" showRuler="0" topLeftCell="A55">
      <selection activeCell="D206" sqref="D206"/>
      <colBreaks count="1" manualBreakCount="1">
        <brk id="14" max="1048575" man="1"/>
      </colBreaks>
      <pageMargins left="0.4" right="0.4" top="0.8" bottom="0.3" header="0" footer="0"/>
      <printOptions horizontalCentered="1" verticalCentered="1"/>
      <pageSetup scale="54" orientation="landscape" r:id="rId8"/>
      <headerFooter alignWithMargins="0"/>
    </customSheetView>
    <customSheetView guid="{3911D713-188C-46A1-A299-F21DD3B7A146}" scale="87" colorId="22" fitToPage="1" showRuler="0" topLeftCell="A55">
      <selection activeCell="D206" sqref="D206"/>
      <colBreaks count="1" manualBreakCount="1">
        <brk id="14" max="1048575" man="1"/>
      </colBreaks>
      <pageMargins left="0.4" right="0.4" top="0.8" bottom="0.3" header="0" footer="0"/>
      <printOptions horizontalCentered="1" verticalCentered="1"/>
      <pageSetup scale="54" orientation="landscape" r:id="rId9"/>
      <headerFooter alignWithMargins="0"/>
    </customSheetView>
    <customSheetView guid="{78BB1E60-60BE-4F56-9763-075185EFEFAB}" colorId="22" topLeftCell="A16">
      <selection activeCell="Q82" sqref="Q82"/>
      <rowBreaks count="3" manualBreakCount="3">
        <brk id="46" max="13" man="1"/>
        <brk id="92" max="13" man="1"/>
        <brk id="138" max="13" man="1"/>
      </rowBreaks>
      <colBreaks count="1" manualBreakCount="1">
        <brk id="14" max="1048575" man="1"/>
      </colBreaks>
      <pageMargins left="0.4" right="0.4" top="0.8" bottom="0.3" header="0" footer="0"/>
      <printOptions horizontalCentered="1" verticalCentered="1"/>
      <pageSetup scale="75" orientation="landscape" r:id="rId10"/>
      <headerFooter alignWithMargins="0"/>
    </customSheetView>
    <customSheetView guid="{9C30803E-1E2D-4850-B0A5-591CA6F246A1}" colorId="22" topLeftCell="A16">
      <selection activeCell="Q82" sqref="Q82"/>
      <rowBreaks count="3" manualBreakCount="3">
        <brk id="46" max="13" man="1"/>
        <brk id="92" max="13" man="1"/>
        <brk id="138" max="13" man="1"/>
      </rowBreaks>
      <colBreaks count="1" manualBreakCount="1">
        <brk id="14" max="1048575" man="1"/>
      </colBreaks>
      <pageMargins left="0.4" right="0.4" top="0.8" bottom="0.3" header="0" footer="0"/>
      <printOptions horizontalCentered="1" verticalCentered="1"/>
      <pageSetup scale="75" orientation="landscape" r:id="rId11"/>
      <headerFooter alignWithMargins="0"/>
    </customSheetView>
    <customSheetView guid="{3B1006FF-A2CA-49E7-9B25-DAC8815279AF}" colorId="22" topLeftCell="A16">
      <selection activeCell="Q82" sqref="Q82"/>
      <rowBreaks count="3" manualBreakCount="3">
        <brk id="46" max="13" man="1"/>
        <brk id="92" max="13" man="1"/>
        <brk id="138" max="13" man="1"/>
      </rowBreaks>
      <colBreaks count="1" manualBreakCount="1">
        <brk id="14" max="1048575" man="1"/>
      </colBreaks>
      <pageMargins left="0.4" right="0.4" top="0.8" bottom="0.3" header="0" footer="0"/>
      <printOptions horizontalCentered="1" verticalCentered="1"/>
      <pageSetup scale="75" orientation="landscape" r:id="rId12"/>
      <headerFooter alignWithMargins="0"/>
    </customSheetView>
    <customSheetView guid="{FB1A60C8-E1F9-4DF0-8E0E-1C965F86027F}" colorId="22" topLeftCell="A16">
      <selection activeCell="Q82" sqref="Q82"/>
      <rowBreaks count="3" manualBreakCount="3">
        <brk id="46" max="13" man="1"/>
        <brk id="92" max="13" man="1"/>
        <brk id="138" max="13" man="1"/>
      </rowBreaks>
      <colBreaks count="1" manualBreakCount="1">
        <brk id="14" max="1048575" man="1"/>
      </colBreaks>
      <pageMargins left="0.4" right="0.4" top="0.8" bottom="0.3" header="0" footer="0"/>
      <printOptions horizontalCentered="1" verticalCentered="1"/>
      <pageSetup scale="75" orientation="landscape" r:id="rId13"/>
      <headerFooter alignWithMargins="0"/>
    </customSheetView>
    <customSheetView guid="{C5B6D812-CBE6-46AA-99F7-02494E9802B4}" scale="70" colorId="22" topLeftCell="A4">
      <selection activeCell="C10" sqref="C10"/>
      <rowBreaks count="3" manualBreakCount="3">
        <brk id="46" max="13" man="1"/>
        <brk id="92" max="13" man="1"/>
        <brk id="138" max="13" man="1"/>
      </rowBreaks>
      <colBreaks count="1" manualBreakCount="1">
        <brk id="14" max="1048575" man="1"/>
      </colBreaks>
      <pageMargins left="0.4" right="0.4" top="0.8" bottom="0.3" header="0" footer="0"/>
      <printOptions horizontalCentered="1" verticalCentered="1"/>
      <pageSetup scale="75" orientation="landscape" r:id="rId14"/>
      <headerFooter alignWithMargins="0"/>
    </customSheetView>
  </customSheetViews>
  <phoneticPr fontId="0" type="noConversion"/>
  <printOptions horizontalCentered="1" verticalCentered="1"/>
  <pageMargins left="0.4" right="0.4" top="0.8" bottom="0.3" header="0" footer="0"/>
  <pageSetup scale="75" orientation="landscape" r:id="rId15"/>
  <headerFooter alignWithMargins="0"/>
  <rowBreaks count="3" manualBreakCount="3">
    <brk id="46" max="13" man="1"/>
    <brk id="92" max="13" man="1"/>
    <brk id="138" max="13" man="1"/>
  </rowBreaks>
  <colBreaks count="1" manualBreakCount="1">
    <brk id="14" max="1048575" man="1"/>
  </colBreaks>
  <customProperties>
    <customPr name="_pios_id" r:id="rId16"/>
  </customProperties>
</worksheet>
</file>

<file path=xl/worksheets/sheet76.xml><?xml version="1.0" encoding="utf-8"?>
<worksheet xmlns="http://schemas.openxmlformats.org/spreadsheetml/2006/main" xmlns:r="http://schemas.openxmlformats.org/officeDocument/2006/relationships">
  <dimension ref="A1:AR66"/>
  <sheetViews>
    <sheetView zoomScaleNormal="100" zoomScaleSheetLayoutView="70" workbookViewId="0"/>
  </sheetViews>
  <sheetFormatPr defaultColWidth="9.6640625" defaultRowHeight="15"/>
  <cols>
    <col min="1" max="1" width="6.6640625" style="2447" customWidth="1"/>
    <col min="2" max="2" width="34.6640625" style="2447" customWidth="1"/>
    <col min="3" max="7" width="11.6640625" style="2447" customWidth="1"/>
    <col min="8" max="8" width="6.6640625" style="2447" customWidth="1"/>
    <col min="9" max="14" width="9.6640625" style="2447" customWidth="1"/>
    <col min="15" max="15" width="11.6640625" style="2447" customWidth="1"/>
    <col min="16" max="17" width="12.6640625" style="2447" customWidth="1"/>
    <col min="18" max="18" width="6.6640625" style="2447" customWidth="1"/>
    <col min="19" max="19" width="12.6640625" style="2447" customWidth="1"/>
    <col min="20" max="21" width="10.6640625" style="2447" customWidth="1"/>
    <col min="22" max="26" width="12.6640625" style="2447" customWidth="1"/>
    <col min="27" max="27" width="6.6640625" style="2447" customWidth="1"/>
    <col min="28" max="28" width="12.6640625" style="2447" customWidth="1"/>
    <col min="29" max="35" width="11.6640625" style="2447" customWidth="1"/>
    <col min="36" max="36" width="6.6640625" style="2447" customWidth="1"/>
    <col min="37" max="37" width="12.6640625" style="2447" customWidth="1"/>
    <col min="38" max="44" width="11.6640625" style="2447" customWidth="1"/>
    <col min="45" max="16384" width="9.6640625" style="2447"/>
  </cols>
  <sheetData>
    <row r="1" spans="1:44" s="2594" customFormat="1" ht="13.5" thickBot="1">
      <c r="A1" s="2593" t="str">
        <f>+'Data sheet'!A53</f>
        <v>Annual Report of New York American Water Company, Inc. (f/k/a Long Island Water Corp)                                   Year Ended  December 31, 2013</v>
      </c>
      <c r="H1" s="2593" t="str">
        <f>+A1</f>
        <v>Annual Report of New York American Water Company, Inc. (f/k/a Long Island Water Corp)                                   Year Ended  December 31, 2013</v>
      </c>
      <c r="R1" s="2593" t="str">
        <f>+A1</f>
        <v>Annual Report of New York American Water Company, Inc. (f/k/a Long Island Water Corp)                                   Year Ended  December 31, 2013</v>
      </c>
      <c r="AA1" s="2593" t="str">
        <f>+A1</f>
        <v>Annual Report of New York American Water Company, Inc. (f/k/a Long Island Water Corp)                                   Year Ended  December 31, 2013</v>
      </c>
      <c r="AJ1" s="2593" t="str">
        <f>+A1</f>
        <v>Annual Report of New York American Water Company, Inc. (f/k/a Long Island Water Corp)                                   Year Ended  December 31, 2013</v>
      </c>
    </row>
    <row r="2" spans="1:44">
      <c r="A2" s="2448"/>
      <c r="B2" s="2449"/>
      <c r="C2" s="2449"/>
      <c r="D2" s="2449"/>
      <c r="E2" s="2449"/>
      <c r="F2" s="2449"/>
      <c r="G2" s="2450"/>
      <c r="H2" s="2448"/>
      <c r="I2" s="2449"/>
      <c r="J2" s="2449"/>
      <c r="K2" s="2449"/>
      <c r="L2" s="2449"/>
      <c r="M2" s="2449"/>
      <c r="N2" s="2449"/>
      <c r="O2" s="2449"/>
      <c r="P2" s="2449"/>
      <c r="Q2" s="2450"/>
      <c r="R2" s="2448"/>
      <c r="S2" s="2449"/>
      <c r="T2" s="2449"/>
      <c r="U2" s="2449"/>
      <c r="V2" s="2449"/>
      <c r="W2" s="2449"/>
      <c r="X2" s="2449"/>
      <c r="Y2" s="2449"/>
      <c r="Z2" s="2450"/>
      <c r="AA2" s="2448"/>
      <c r="AB2" s="2449"/>
      <c r="AC2" s="2449"/>
      <c r="AD2" s="2449"/>
      <c r="AE2" s="2449"/>
      <c r="AF2" s="2449"/>
      <c r="AG2" s="2506"/>
      <c r="AH2" s="2506"/>
      <c r="AI2" s="2450"/>
      <c r="AJ2" s="2448"/>
      <c r="AK2" s="2449"/>
      <c r="AL2" s="2449"/>
      <c r="AM2" s="2449"/>
      <c r="AN2" s="2449"/>
      <c r="AO2" s="2449"/>
      <c r="AP2" s="2506"/>
      <c r="AQ2" s="2506"/>
      <c r="AR2" s="2450"/>
    </row>
    <row r="3" spans="1:44">
      <c r="A3" s="2490" t="s">
        <v>1995</v>
      </c>
      <c r="B3" s="2460"/>
      <c r="C3" s="2460"/>
      <c r="D3" s="2460"/>
      <c r="E3" s="2460"/>
      <c r="F3" s="2460"/>
      <c r="G3" s="2491"/>
      <c r="H3" s="2490" t="s">
        <v>1530</v>
      </c>
      <c r="I3" s="2460"/>
      <c r="J3" s="2460"/>
      <c r="K3" s="2460"/>
      <c r="L3" s="2460"/>
      <c r="M3" s="2460"/>
      <c r="N3" s="2460"/>
      <c r="O3" s="2460"/>
      <c r="P3" s="2460"/>
      <c r="Q3" s="2491"/>
      <c r="R3" s="2490" t="s">
        <v>1530</v>
      </c>
      <c r="S3" s="2460"/>
      <c r="T3" s="2460"/>
      <c r="U3" s="2460"/>
      <c r="V3" s="2460"/>
      <c r="W3" s="2460"/>
      <c r="X3" s="2460"/>
      <c r="Y3" s="2460"/>
      <c r="Z3" s="2491"/>
      <c r="AA3" s="2490" t="s">
        <v>1530</v>
      </c>
      <c r="AB3" s="2460"/>
      <c r="AC3" s="2460"/>
      <c r="AD3" s="2460"/>
      <c r="AE3" s="2460"/>
      <c r="AF3" s="2460"/>
      <c r="AG3" s="2460"/>
      <c r="AH3" s="2460"/>
      <c r="AI3" s="2491"/>
      <c r="AJ3" s="2490" t="s">
        <v>1530</v>
      </c>
      <c r="AK3" s="2460"/>
      <c r="AL3" s="2460"/>
      <c r="AM3" s="2460"/>
      <c r="AN3" s="2460"/>
      <c r="AO3" s="2460"/>
      <c r="AP3" s="2460"/>
      <c r="AQ3" s="2460"/>
      <c r="AR3" s="2491"/>
    </row>
    <row r="4" spans="1:44">
      <c r="A4" s="2452"/>
      <c r="B4" s="2451"/>
      <c r="C4" s="2451"/>
      <c r="D4" s="2451"/>
      <c r="E4" s="2451"/>
      <c r="F4" s="2451"/>
      <c r="G4" s="2453"/>
      <c r="H4" s="2452"/>
      <c r="I4" s="2451"/>
      <c r="J4" s="2451"/>
      <c r="K4" s="2451"/>
      <c r="L4" s="2451"/>
      <c r="M4" s="2451"/>
      <c r="N4" s="2451"/>
      <c r="O4" s="2451"/>
      <c r="P4" s="2451"/>
      <c r="Q4" s="2453"/>
      <c r="R4" s="2452"/>
      <c r="S4" s="2451"/>
      <c r="T4" s="2451"/>
      <c r="U4" s="2451"/>
      <c r="V4" s="2451"/>
      <c r="W4" s="2451"/>
      <c r="X4" s="2451"/>
      <c r="Y4" s="2451"/>
      <c r="Z4" s="2453"/>
      <c r="AA4" s="2452"/>
      <c r="AB4" s="2451"/>
      <c r="AC4" s="2451"/>
      <c r="AD4" s="2451"/>
      <c r="AE4" s="2451"/>
      <c r="AF4" s="2451"/>
      <c r="AG4" s="2451"/>
      <c r="AH4" s="2451"/>
      <c r="AI4" s="2453"/>
      <c r="AJ4" s="2452"/>
      <c r="AK4" s="2451"/>
      <c r="AL4" s="2451"/>
      <c r="AM4" s="2451"/>
      <c r="AN4" s="2451"/>
      <c r="AO4" s="2451"/>
      <c r="AP4" s="2451"/>
      <c r="AQ4" s="2451"/>
      <c r="AR4" s="2453"/>
    </row>
    <row r="5" spans="1:44">
      <c r="A5" s="2452" t="s">
        <v>3431</v>
      </c>
      <c r="B5" s="2451"/>
      <c r="C5" s="2451"/>
      <c r="D5" s="2451" t="s">
        <v>3762</v>
      </c>
      <c r="E5" s="2451"/>
      <c r="F5" s="2451"/>
      <c r="G5" s="2453"/>
      <c r="H5" s="2452" t="s">
        <v>3763</v>
      </c>
      <c r="I5" s="2451"/>
      <c r="J5" s="2451"/>
      <c r="K5" s="2451"/>
      <c r="L5" s="2451"/>
      <c r="M5" s="2451"/>
      <c r="N5" s="2451" t="s">
        <v>3764</v>
      </c>
      <c r="O5" s="2451"/>
      <c r="P5" s="2451"/>
      <c r="Q5" s="2453"/>
      <c r="R5" s="2452"/>
      <c r="S5" s="2451"/>
      <c r="T5" s="2451"/>
      <c r="U5" s="2451"/>
      <c r="V5" s="2451"/>
      <c r="W5" s="2451"/>
      <c r="X5" s="2451"/>
      <c r="Y5" s="2451"/>
      <c r="Z5" s="2453"/>
      <c r="AA5" s="2452"/>
      <c r="AB5" s="2451"/>
      <c r="AC5" s="2451"/>
      <c r="AD5" s="2451"/>
      <c r="AE5" s="2451"/>
      <c r="AF5" s="2451"/>
      <c r="AG5" s="2451"/>
      <c r="AH5" s="2451"/>
      <c r="AI5" s="2453"/>
      <c r="AJ5" s="2452"/>
      <c r="AK5" s="2451"/>
      <c r="AL5" s="2451"/>
      <c r="AM5" s="2451"/>
      <c r="AN5" s="2451"/>
      <c r="AO5" s="2451"/>
      <c r="AP5" s="2451"/>
      <c r="AQ5" s="2451"/>
      <c r="AR5" s="2453"/>
    </row>
    <row r="6" spans="1:44">
      <c r="A6" s="2452" t="s">
        <v>2866</v>
      </c>
      <c r="B6" s="2451"/>
      <c r="C6" s="2451"/>
      <c r="D6" s="2451" t="s">
        <v>3765</v>
      </c>
      <c r="E6" s="2451"/>
      <c r="F6" s="2451"/>
      <c r="G6" s="2453"/>
      <c r="H6" s="2452" t="s">
        <v>3766</v>
      </c>
      <c r="I6" s="2451"/>
      <c r="J6" s="2451"/>
      <c r="K6" s="2451"/>
      <c r="L6" s="2451"/>
      <c r="M6" s="2451"/>
      <c r="N6" s="2451" t="s">
        <v>3767</v>
      </c>
      <c r="O6" s="2451"/>
      <c r="P6" s="2451"/>
      <c r="Q6" s="2453"/>
      <c r="R6" s="2452"/>
      <c r="S6" s="2451"/>
      <c r="T6" s="2451"/>
      <c r="U6" s="2451"/>
      <c r="V6" s="2451"/>
      <c r="W6" s="2451"/>
      <c r="X6" s="2451"/>
      <c r="Y6" s="2451"/>
      <c r="Z6" s="2453"/>
      <c r="AA6" s="2452"/>
      <c r="AB6" s="2451"/>
      <c r="AC6" s="2451"/>
      <c r="AD6" s="2451"/>
      <c r="AE6" s="2451"/>
      <c r="AF6" s="2451"/>
      <c r="AG6" s="2451"/>
      <c r="AH6" s="2451"/>
      <c r="AI6" s="2453"/>
      <c r="AJ6" s="2452"/>
      <c r="AK6" s="2451"/>
      <c r="AL6" s="2451"/>
      <c r="AM6" s="2451"/>
      <c r="AN6" s="2451"/>
      <c r="AO6" s="2451"/>
      <c r="AP6" s="2451"/>
      <c r="AQ6" s="2451"/>
      <c r="AR6" s="2453"/>
    </row>
    <row r="7" spans="1:44">
      <c r="A7" s="2452"/>
      <c r="B7" s="2451"/>
      <c r="C7" s="2451"/>
      <c r="D7" s="2451" t="s">
        <v>3768</v>
      </c>
      <c r="E7" s="2451"/>
      <c r="F7" s="2451"/>
      <c r="G7" s="2453"/>
      <c r="H7" s="2452" t="s">
        <v>3769</v>
      </c>
      <c r="I7" s="2451"/>
      <c r="J7" s="2451"/>
      <c r="K7" s="2451"/>
      <c r="L7" s="2451"/>
      <c r="M7" s="2451"/>
      <c r="N7" s="2451"/>
      <c r="O7" s="2451"/>
      <c r="P7" s="2451"/>
      <c r="Q7" s="2453"/>
      <c r="R7" s="2452"/>
      <c r="S7" s="2451"/>
      <c r="T7" s="2451"/>
      <c r="U7" s="2451"/>
      <c r="V7" s="2451"/>
      <c r="W7" s="2451"/>
      <c r="X7" s="2451"/>
      <c r="Y7" s="2451"/>
      <c r="Z7" s="2453"/>
      <c r="AA7" s="2452"/>
      <c r="AB7" s="2451"/>
      <c r="AC7" s="2451"/>
      <c r="AD7" s="2451"/>
      <c r="AE7" s="2451"/>
      <c r="AF7" s="2451"/>
      <c r="AG7" s="2451"/>
      <c r="AH7" s="2451"/>
      <c r="AI7" s="2453"/>
      <c r="AJ7" s="2452"/>
      <c r="AK7" s="2451"/>
      <c r="AL7" s="2451"/>
      <c r="AM7" s="2451"/>
      <c r="AN7" s="2451"/>
      <c r="AO7" s="2451"/>
      <c r="AP7" s="2451"/>
      <c r="AQ7" s="2451"/>
      <c r="AR7" s="2453"/>
    </row>
    <row r="8" spans="1:44">
      <c r="A8" s="2452" t="s">
        <v>618</v>
      </c>
      <c r="B8" s="2451"/>
      <c r="C8" s="2451"/>
      <c r="D8" s="2451" t="s">
        <v>3770</v>
      </c>
      <c r="E8" s="2451"/>
      <c r="F8" s="2451"/>
      <c r="G8" s="2453"/>
      <c r="H8" s="2452" t="s">
        <v>3771</v>
      </c>
      <c r="I8" s="2451"/>
      <c r="J8" s="2451"/>
      <c r="K8" s="2451"/>
      <c r="L8" s="2451"/>
      <c r="M8" s="2451"/>
      <c r="N8" s="2451"/>
      <c r="O8" s="2451"/>
      <c r="P8" s="2451"/>
      <c r="Q8" s="2453"/>
      <c r="R8" s="2452"/>
      <c r="S8" s="2451"/>
      <c r="T8" s="2451"/>
      <c r="U8" s="2451"/>
      <c r="V8" s="2451"/>
      <c r="W8" s="2451"/>
      <c r="X8" s="2451"/>
      <c r="Y8" s="2451"/>
      <c r="Z8" s="2453"/>
      <c r="AA8" s="2452"/>
      <c r="AB8" s="2451"/>
      <c r="AC8" s="2451"/>
      <c r="AD8" s="2451"/>
      <c r="AE8" s="2451"/>
      <c r="AF8" s="2451"/>
      <c r="AG8" s="2451"/>
      <c r="AH8" s="2451"/>
      <c r="AI8" s="2453"/>
      <c r="AJ8" s="2452"/>
      <c r="AK8" s="2451"/>
      <c r="AL8" s="2451"/>
      <c r="AM8" s="2451"/>
      <c r="AN8" s="2451"/>
      <c r="AO8" s="2451"/>
      <c r="AP8" s="2451"/>
      <c r="AQ8" s="2451"/>
      <c r="AR8" s="2453"/>
    </row>
    <row r="9" spans="1:44">
      <c r="A9" s="2452" t="s">
        <v>537</v>
      </c>
      <c r="B9" s="2451"/>
      <c r="C9" s="2451"/>
      <c r="D9" s="2451"/>
      <c r="E9" s="2451"/>
      <c r="F9" s="2451"/>
      <c r="G9" s="2453"/>
      <c r="H9" s="2452"/>
      <c r="I9" s="2451"/>
      <c r="J9" s="2451"/>
      <c r="K9" s="2451"/>
      <c r="L9" s="2451"/>
      <c r="M9" s="2451"/>
      <c r="N9" s="2451" t="s">
        <v>2865</v>
      </c>
      <c r="O9" s="2451"/>
      <c r="P9" s="2451"/>
      <c r="Q9" s="2453"/>
      <c r="R9" s="2452"/>
      <c r="S9" s="2451"/>
      <c r="T9" s="2451"/>
      <c r="U9" s="2451"/>
      <c r="V9" s="2451"/>
      <c r="W9" s="2451"/>
      <c r="X9" s="2451"/>
      <c r="Y9" s="2451"/>
      <c r="Z9" s="2453"/>
      <c r="AA9" s="2452"/>
      <c r="AB9" s="2451"/>
      <c r="AC9" s="2451"/>
      <c r="AD9" s="2451"/>
      <c r="AE9" s="2451"/>
      <c r="AF9" s="2451"/>
      <c r="AG9" s="2451"/>
      <c r="AH9" s="2451"/>
      <c r="AI9" s="2453"/>
      <c r="AJ9" s="2452"/>
      <c r="AK9" s="2451"/>
      <c r="AL9" s="2451"/>
      <c r="AM9" s="2451"/>
      <c r="AN9" s="2451"/>
      <c r="AO9" s="2451"/>
      <c r="AP9" s="2451"/>
      <c r="AQ9" s="2451"/>
      <c r="AR9" s="2453"/>
    </row>
    <row r="10" spans="1:44">
      <c r="A10" s="2452" t="s">
        <v>3772</v>
      </c>
      <c r="B10" s="2451"/>
      <c r="C10" s="2451"/>
      <c r="D10" s="2451"/>
      <c r="E10" s="2451"/>
      <c r="F10" s="2451"/>
      <c r="G10" s="2453"/>
      <c r="H10" s="2452"/>
      <c r="I10" s="2451"/>
      <c r="J10" s="2451"/>
      <c r="K10" s="2451"/>
      <c r="L10" s="2451"/>
      <c r="M10" s="2451"/>
      <c r="N10" s="2451" t="s">
        <v>617</v>
      </c>
      <c r="O10" s="2451"/>
      <c r="P10" s="2451"/>
      <c r="Q10" s="2453"/>
      <c r="R10" s="2452"/>
      <c r="S10" s="2451"/>
      <c r="T10" s="2451"/>
      <c r="U10" s="2451"/>
      <c r="V10" s="2451"/>
      <c r="W10" s="2451"/>
      <c r="X10" s="2451"/>
      <c r="Y10" s="2451"/>
      <c r="Z10" s="2453"/>
      <c r="AA10" s="2452"/>
      <c r="AB10" s="2451"/>
      <c r="AC10" s="2451"/>
      <c r="AD10" s="2451"/>
      <c r="AE10" s="2451"/>
      <c r="AF10" s="2451"/>
      <c r="AG10" s="2451"/>
      <c r="AH10" s="2451"/>
      <c r="AI10" s="2453"/>
      <c r="AJ10" s="2452"/>
      <c r="AK10" s="2451"/>
      <c r="AL10" s="2451"/>
      <c r="AM10" s="2451"/>
      <c r="AN10" s="2451"/>
      <c r="AO10" s="2451"/>
      <c r="AP10" s="2451"/>
      <c r="AQ10" s="2451"/>
      <c r="AR10" s="2453"/>
    </row>
    <row r="11" spans="1:44">
      <c r="A11" s="2454"/>
      <c r="B11" s="2444"/>
      <c r="C11" s="2444"/>
      <c r="D11" s="2444"/>
      <c r="E11" s="2444"/>
      <c r="F11" s="2444"/>
      <c r="G11" s="2455"/>
      <c r="H11" s="2454"/>
      <c r="I11" s="2444"/>
      <c r="J11" s="2445"/>
      <c r="K11" s="2444"/>
      <c r="L11" s="2445"/>
      <c r="M11" s="2444"/>
      <c r="N11" s="2445"/>
      <c r="O11" s="2444"/>
      <c r="P11" s="2445"/>
      <c r="Q11" s="2507"/>
      <c r="R11" s="2508"/>
      <c r="S11" s="2509"/>
      <c r="T11" s="2445"/>
      <c r="U11" s="2510"/>
      <c r="V11" s="2445"/>
      <c r="W11" s="2444"/>
      <c r="X11" s="2444"/>
      <c r="Y11" s="2444"/>
      <c r="Z11" s="2507"/>
      <c r="AA11" s="2454"/>
      <c r="AB11" s="2444"/>
      <c r="AC11" s="2444"/>
      <c r="AD11" s="2444"/>
      <c r="AE11" s="2444"/>
      <c r="AF11" s="2444"/>
      <c r="AG11" s="2444"/>
      <c r="AH11" s="2444"/>
      <c r="AI11" s="2507"/>
      <c r="AJ11" s="2454"/>
      <c r="AK11" s="2510"/>
      <c r="AL11" s="2509"/>
      <c r="AM11" s="2445"/>
      <c r="AN11" s="2444"/>
      <c r="AO11" s="2444"/>
      <c r="AP11" s="2444"/>
      <c r="AQ11" s="2510"/>
      <c r="AR11" s="2455"/>
    </row>
    <row r="12" spans="1:44">
      <c r="A12" s="2452"/>
      <c r="B12" s="2446" t="s">
        <v>3773</v>
      </c>
      <c r="C12" s="2446"/>
      <c r="D12" s="2446"/>
      <c r="E12" s="2446"/>
      <c r="F12" s="2446"/>
      <c r="G12" s="2453"/>
      <c r="H12" s="2452"/>
      <c r="I12" s="2446"/>
      <c r="J12" s="2451"/>
      <c r="K12" s="2446"/>
      <c r="L12" s="2451"/>
      <c r="M12" s="2446"/>
      <c r="N12" s="2451"/>
      <c r="O12" s="2446"/>
      <c r="P12" s="2451"/>
      <c r="Q12" s="2505"/>
      <c r="R12" s="2511"/>
      <c r="S12" s="2512"/>
      <c r="T12" s="2451"/>
      <c r="U12" s="2513"/>
      <c r="V12" s="2451"/>
      <c r="W12" s="2446"/>
      <c r="X12" s="2446"/>
      <c r="Y12" s="2446"/>
      <c r="Z12" s="2505"/>
      <c r="AA12" s="2452"/>
      <c r="AB12" s="2446"/>
      <c r="AC12" s="2446"/>
      <c r="AD12" s="2446"/>
      <c r="AE12" s="2446"/>
      <c r="AF12" s="2446"/>
      <c r="AG12" s="2446"/>
      <c r="AH12" s="2446"/>
      <c r="AI12" s="2505"/>
      <c r="AJ12" s="2452"/>
      <c r="AK12" s="2513"/>
      <c r="AL12" s="2512"/>
      <c r="AM12" s="2451"/>
      <c r="AN12" s="2446"/>
      <c r="AO12" s="2446"/>
      <c r="AP12" s="2446"/>
      <c r="AQ12" s="2513"/>
      <c r="AR12" s="2453"/>
    </row>
    <row r="13" spans="1:44">
      <c r="A13" s="2452"/>
      <c r="B13" s="2444"/>
      <c r="C13" s="2444"/>
      <c r="D13" s="2444"/>
      <c r="E13" s="2444"/>
      <c r="F13" s="2444"/>
      <c r="G13" s="2455"/>
      <c r="H13" s="2452"/>
      <c r="I13" s="2444"/>
      <c r="J13" s="2445"/>
      <c r="K13" s="2444"/>
      <c r="L13" s="2445"/>
      <c r="M13" s="2444"/>
      <c r="N13" s="2445"/>
      <c r="O13" s="2444"/>
      <c r="P13" s="2445"/>
      <c r="Q13" s="2507"/>
      <c r="R13" s="2511"/>
      <c r="S13" s="2509"/>
      <c r="T13" s="2445"/>
      <c r="U13" s="2510"/>
      <c r="V13" s="2445"/>
      <c r="W13" s="2444"/>
      <c r="X13" s="2444"/>
      <c r="Y13" s="2444"/>
      <c r="Z13" s="2455"/>
      <c r="AA13" s="2452"/>
      <c r="AB13" s="2444"/>
      <c r="AC13" s="2444"/>
      <c r="AD13" s="2444"/>
      <c r="AE13" s="2444"/>
      <c r="AF13" s="2444"/>
      <c r="AG13" s="2444"/>
      <c r="AH13" s="2444"/>
      <c r="AI13" s="2507"/>
      <c r="AJ13" s="2452"/>
      <c r="AK13" s="2510"/>
      <c r="AL13" s="2509"/>
      <c r="AM13" s="2445"/>
      <c r="AN13" s="2444"/>
      <c r="AO13" s="2444"/>
      <c r="AP13" s="2444"/>
      <c r="AQ13" s="2510"/>
      <c r="AR13" s="2455"/>
    </row>
    <row r="14" spans="1:44">
      <c r="A14" s="2462" t="s">
        <v>1939</v>
      </c>
      <c r="B14" s="2463" t="s">
        <v>3774</v>
      </c>
      <c r="C14" s="2446"/>
      <c r="D14" s="2446"/>
      <c r="E14" s="2446"/>
      <c r="F14" s="2446"/>
      <c r="G14" s="2453"/>
      <c r="H14" s="2462" t="s">
        <v>1939</v>
      </c>
      <c r="I14" s="2446"/>
      <c r="J14" s="2451"/>
      <c r="K14" s="2446"/>
      <c r="L14" s="2451"/>
      <c r="M14" s="2446"/>
      <c r="N14" s="2451"/>
      <c r="O14" s="2446"/>
      <c r="P14" s="2451"/>
      <c r="Q14" s="2505"/>
      <c r="R14" s="2514" t="s">
        <v>1939</v>
      </c>
      <c r="S14" s="2512"/>
      <c r="T14" s="2451"/>
      <c r="U14" s="2513"/>
      <c r="V14" s="2451"/>
      <c r="W14" s="2446"/>
      <c r="X14" s="2446"/>
      <c r="Y14" s="2446"/>
      <c r="Z14" s="2453"/>
      <c r="AA14" s="2462" t="s">
        <v>1939</v>
      </c>
      <c r="AB14" s="2446"/>
      <c r="AC14" s="2446"/>
      <c r="AD14" s="2446"/>
      <c r="AE14" s="2446"/>
      <c r="AF14" s="2446"/>
      <c r="AG14" s="2446"/>
      <c r="AH14" s="2446"/>
      <c r="AI14" s="2505"/>
      <c r="AJ14" s="2462" t="s">
        <v>1939</v>
      </c>
      <c r="AK14" s="2513"/>
      <c r="AL14" s="2512"/>
      <c r="AM14" s="2451"/>
      <c r="AN14" s="2446"/>
      <c r="AO14" s="2446"/>
      <c r="AP14" s="2446"/>
      <c r="AQ14" s="2513"/>
      <c r="AR14" s="2453"/>
    </row>
    <row r="15" spans="1:44">
      <c r="A15" s="2462" t="s">
        <v>1941</v>
      </c>
      <c r="B15" s="2463" t="s">
        <v>932</v>
      </c>
      <c r="C15" s="2463" t="s">
        <v>3775</v>
      </c>
      <c r="D15" s="2463" t="s">
        <v>3776</v>
      </c>
      <c r="E15" s="2463" t="s">
        <v>3777</v>
      </c>
      <c r="F15" s="2459" t="s">
        <v>3359</v>
      </c>
      <c r="G15" s="2491"/>
      <c r="H15" s="2462" t="s">
        <v>1941</v>
      </c>
      <c r="I15" s="2459" t="s">
        <v>3360</v>
      </c>
      <c r="J15" s="2460"/>
      <c r="K15" s="2459" t="s">
        <v>838</v>
      </c>
      <c r="L15" s="2460"/>
      <c r="M15" s="2459" t="s">
        <v>839</v>
      </c>
      <c r="N15" s="2460"/>
      <c r="O15" s="2459" t="s">
        <v>840</v>
      </c>
      <c r="P15" s="2460"/>
      <c r="Q15" s="2461" t="s">
        <v>841</v>
      </c>
      <c r="R15" s="2514" t="s">
        <v>1941</v>
      </c>
      <c r="S15" s="2515" t="s">
        <v>842</v>
      </c>
      <c r="T15" s="2516" t="s">
        <v>843</v>
      </c>
      <c r="U15" s="2459" t="s">
        <v>844</v>
      </c>
      <c r="V15" s="2460"/>
      <c r="W15" s="2463" t="s">
        <v>845</v>
      </c>
      <c r="X15" s="2463" t="s">
        <v>846</v>
      </c>
      <c r="Y15" s="2459" t="s">
        <v>5302</v>
      </c>
      <c r="Z15" s="2491"/>
      <c r="AA15" s="2462" t="s">
        <v>1941</v>
      </c>
      <c r="AB15" s="2461" t="s">
        <v>847</v>
      </c>
      <c r="AC15" s="2463" t="s">
        <v>5303</v>
      </c>
      <c r="AD15" s="2463" t="s">
        <v>5304</v>
      </c>
      <c r="AE15" s="2463" t="s">
        <v>5305</v>
      </c>
      <c r="AF15" s="2463" t="s">
        <v>3780</v>
      </c>
      <c r="AG15" s="2463" t="s">
        <v>3781</v>
      </c>
      <c r="AH15" s="2463" t="s">
        <v>3782</v>
      </c>
      <c r="AI15" s="2463" t="s">
        <v>5306</v>
      </c>
      <c r="AJ15" s="2462" t="s">
        <v>1941</v>
      </c>
      <c r="AK15" s="2459" t="s">
        <v>3783</v>
      </c>
      <c r="AL15" s="2517"/>
      <c r="AM15" s="2516"/>
      <c r="AN15" s="2463"/>
      <c r="AO15" s="2463"/>
      <c r="AP15" s="2463"/>
      <c r="AQ15" s="2459"/>
      <c r="AR15" s="2491"/>
    </row>
    <row r="16" spans="1:44">
      <c r="A16" s="2452"/>
      <c r="B16" s="2446"/>
      <c r="C16" s="2518" t="s">
        <v>3046</v>
      </c>
      <c r="D16" s="2518" t="s">
        <v>3047</v>
      </c>
      <c r="E16" s="2518" t="s">
        <v>3048</v>
      </c>
      <c r="F16" s="2519" t="s">
        <v>3049</v>
      </c>
      <c r="G16" s="2520"/>
      <c r="H16" s="2452"/>
      <c r="I16" s="2519" t="s">
        <v>3784</v>
      </c>
      <c r="J16" s="2521"/>
      <c r="K16" s="2519" t="s">
        <v>3785</v>
      </c>
      <c r="L16" s="2521"/>
      <c r="M16" s="2519" t="s">
        <v>3786</v>
      </c>
      <c r="N16" s="2521"/>
      <c r="O16" s="2519" t="s">
        <v>4610</v>
      </c>
      <c r="P16" s="2521"/>
      <c r="Q16" s="2522" t="s">
        <v>3787</v>
      </c>
      <c r="R16" s="2511"/>
      <c r="S16" s="2523" t="s">
        <v>3788</v>
      </c>
      <c r="T16" s="2524" t="s">
        <v>3789</v>
      </c>
      <c r="U16" s="2519" t="s">
        <v>3790</v>
      </c>
      <c r="V16" s="2521"/>
      <c r="W16" s="2518" t="s">
        <v>3791</v>
      </c>
      <c r="X16" s="2518" t="s">
        <v>3792</v>
      </c>
      <c r="Y16" s="2519" t="s">
        <v>3793</v>
      </c>
      <c r="Z16" s="2965"/>
      <c r="AA16" s="2452"/>
      <c r="AB16" s="2522" t="s">
        <v>3794</v>
      </c>
      <c r="AC16" s="2518" t="s">
        <v>3795</v>
      </c>
      <c r="AD16" s="2518" t="s">
        <v>3796</v>
      </c>
      <c r="AE16" s="2518" t="s">
        <v>3797</v>
      </c>
      <c r="AF16" s="2518" t="s">
        <v>3798</v>
      </c>
      <c r="AG16" s="2518" t="s">
        <v>3799</v>
      </c>
      <c r="AH16" s="2518" t="s">
        <v>3800</v>
      </c>
      <c r="AI16" s="2518" t="s">
        <v>3801</v>
      </c>
      <c r="AJ16" s="2452"/>
      <c r="AK16" s="2519" t="s">
        <v>3802</v>
      </c>
      <c r="AL16" s="2525"/>
      <c r="AM16" s="2524"/>
      <c r="AN16" s="2518"/>
      <c r="AO16" s="2518"/>
      <c r="AP16" s="2518"/>
      <c r="AQ16" s="2519"/>
      <c r="AR16" s="2520"/>
    </row>
    <row r="17" spans="1:44">
      <c r="A17" s="2492">
        <v>1</v>
      </c>
      <c r="B17" s="2526" t="s">
        <v>3803</v>
      </c>
      <c r="C17" s="2494" t="s">
        <v>3446</v>
      </c>
      <c r="D17" s="2494" t="s">
        <v>3447</v>
      </c>
      <c r="E17" s="2494" t="s">
        <v>3447</v>
      </c>
      <c r="F17" s="2527" t="s">
        <v>3448</v>
      </c>
      <c r="G17" s="2528"/>
      <c r="H17" s="2492">
        <v>1</v>
      </c>
      <c r="I17" s="2527" t="s">
        <v>3804</v>
      </c>
      <c r="J17" s="2529"/>
      <c r="K17" s="2527" t="s">
        <v>3236</v>
      </c>
      <c r="L17" s="2529"/>
      <c r="M17" s="2527" t="s">
        <v>622</v>
      </c>
      <c r="N17" s="2529"/>
      <c r="O17" s="2527" t="s">
        <v>621</v>
      </c>
      <c r="P17" s="2529"/>
      <c r="Q17" s="2495" t="s">
        <v>622</v>
      </c>
      <c r="R17" s="2530">
        <v>1</v>
      </c>
      <c r="S17" s="2531" t="s">
        <v>620</v>
      </c>
      <c r="T17" s="2532" t="s">
        <v>3805</v>
      </c>
      <c r="U17" s="3080" t="s">
        <v>3448</v>
      </c>
      <c r="V17" s="3081"/>
      <c r="W17" s="2494" t="s">
        <v>3805</v>
      </c>
      <c r="X17" s="2494" t="s">
        <v>620</v>
      </c>
      <c r="Y17" s="3080" t="s">
        <v>620</v>
      </c>
      <c r="Z17" s="3081"/>
      <c r="AA17" s="2492">
        <v>1</v>
      </c>
      <c r="AB17" s="2967" t="s">
        <v>3446</v>
      </c>
      <c r="AC17" s="2494" t="s">
        <v>3447</v>
      </c>
      <c r="AD17" s="2494" t="s">
        <v>3806</v>
      </c>
      <c r="AE17" s="2494" t="s">
        <v>3447</v>
      </c>
      <c r="AF17" s="2494" t="s">
        <v>622</v>
      </c>
      <c r="AG17" s="2494" t="s">
        <v>3807</v>
      </c>
      <c r="AH17" s="2494" t="s">
        <v>3448</v>
      </c>
      <c r="AI17" s="2494" t="s">
        <v>621</v>
      </c>
      <c r="AJ17" s="2492">
        <v>1</v>
      </c>
      <c r="AK17" s="2494" t="s">
        <v>620</v>
      </c>
      <c r="AL17" s="2976"/>
      <c r="AM17" s="2532"/>
      <c r="AN17" s="2494"/>
      <c r="AO17" s="2494"/>
      <c r="AP17" s="2494"/>
      <c r="AQ17" s="2533"/>
      <c r="AR17" s="2534"/>
    </row>
    <row r="18" spans="1:44">
      <c r="A18" s="2462">
        <v>2</v>
      </c>
      <c r="B18" s="2535" t="s">
        <v>3808</v>
      </c>
      <c r="C18" s="2496">
        <v>43</v>
      </c>
      <c r="D18" s="2496">
        <v>33.5</v>
      </c>
      <c r="E18" s="2496">
        <v>32.5</v>
      </c>
      <c r="F18" s="2536" t="s">
        <v>2589</v>
      </c>
      <c r="G18" s="2537"/>
      <c r="H18" s="2462">
        <v>2</v>
      </c>
      <c r="I18" s="2536" t="s">
        <v>2024</v>
      </c>
      <c r="J18" s="2538"/>
      <c r="K18" s="2536" t="s">
        <v>2026</v>
      </c>
      <c r="L18" s="2538"/>
      <c r="M18" s="2536" t="s">
        <v>4373</v>
      </c>
      <c r="N18" s="2538" t="s">
        <v>4373</v>
      </c>
      <c r="O18" s="2536">
        <v>26</v>
      </c>
      <c r="P18" s="2538"/>
      <c r="Q18" s="2497">
        <v>25</v>
      </c>
      <c r="R18" s="2514">
        <v>2</v>
      </c>
      <c r="S18" s="2539">
        <v>22</v>
      </c>
      <c r="T18" s="2540">
        <v>8</v>
      </c>
      <c r="U18" s="3078">
        <v>28</v>
      </c>
      <c r="V18" s="3079"/>
      <c r="W18" s="2496">
        <v>6</v>
      </c>
      <c r="X18" s="2496">
        <v>20</v>
      </c>
      <c r="Y18" s="3078">
        <v>26.5</v>
      </c>
      <c r="Z18" s="3079"/>
      <c r="AA18" s="2462">
        <v>2</v>
      </c>
      <c r="AB18" s="2968">
        <v>36</v>
      </c>
      <c r="AC18" s="2496">
        <v>13.5</v>
      </c>
      <c r="AD18" s="2496">
        <v>47.5</v>
      </c>
      <c r="AE18" s="2496" t="s">
        <v>1772</v>
      </c>
      <c r="AF18" s="2496" t="s">
        <v>720</v>
      </c>
      <c r="AG18" s="2496" t="s">
        <v>2589</v>
      </c>
      <c r="AH18" s="2496">
        <v>41</v>
      </c>
      <c r="AI18" s="2496">
        <v>40</v>
      </c>
      <c r="AJ18" s="2462">
        <v>2</v>
      </c>
      <c r="AK18" s="2496">
        <v>23</v>
      </c>
      <c r="AL18" s="2977"/>
      <c r="AM18" s="2540"/>
      <c r="AN18" s="2496"/>
      <c r="AO18" s="2496"/>
      <c r="AP18" s="2496"/>
      <c r="AQ18" s="2513"/>
      <c r="AR18" s="2541"/>
    </row>
    <row r="19" spans="1:44">
      <c r="A19" s="2462">
        <v>3</v>
      </c>
      <c r="B19" s="2535" t="s">
        <v>3809</v>
      </c>
      <c r="C19" s="2496">
        <v>3</v>
      </c>
      <c r="D19" s="2496">
        <v>1</v>
      </c>
      <c r="E19" s="2496">
        <v>2</v>
      </c>
      <c r="F19" s="2496">
        <v>2</v>
      </c>
      <c r="G19" s="2541">
        <v>1</v>
      </c>
      <c r="H19" s="2462">
        <v>3</v>
      </c>
      <c r="I19" s="2496" t="s">
        <v>3810</v>
      </c>
      <c r="J19" s="2540" t="s">
        <v>3811</v>
      </c>
      <c r="K19" s="2496" t="s">
        <v>3812</v>
      </c>
      <c r="L19" s="2540" t="s">
        <v>3813</v>
      </c>
      <c r="M19" s="2496" t="s">
        <v>3894</v>
      </c>
      <c r="N19" s="2540" t="s">
        <v>3895</v>
      </c>
      <c r="O19" s="2496">
        <v>2</v>
      </c>
      <c r="P19" s="2540"/>
      <c r="Q19" s="2497">
        <v>2</v>
      </c>
      <c r="R19" s="2514">
        <v>3</v>
      </c>
      <c r="S19" s="2539">
        <v>1</v>
      </c>
      <c r="T19" s="2540">
        <v>3</v>
      </c>
      <c r="U19" s="2496">
        <v>2</v>
      </c>
      <c r="V19" s="2539"/>
      <c r="W19" s="2496">
        <v>3</v>
      </c>
      <c r="X19" s="2496">
        <v>1</v>
      </c>
      <c r="Y19" s="2496">
        <v>2</v>
      </c>
      <c r="Z19" s="2539"/>
      <c r="AA19" s="2462">
        <v>3</v>
      </c>
      <c r="AB19" s="2968">
        <v>1</v>
      </c>
      <c r="AC19" s="2496">
        <v>2</v>
      </c>
      <c r="AD19" s="2496">
        <v>2</v>
      </c>
      <c r="AE19" s="2496" t="s">
        <v>2700</v>
      </c>
      <c r="AF19" s="2496" t="s">
        <v>2699</v>
      </c>
      <c r="AG19" s="2496" t="s">
        <v>2700</v>
      </c>
      <c r="AH19" s="2496">
        <v>1</v>
      </c>
      <c r="AI19" s="2496">
        <v>2</v>
      </c>
      <c r="AJ19" s="2462">
        <v>3</v>
      </c>
      <c r="AK19" s="2496">
        <v>2</v>
      </c>
      <c r="AL19" s="2539"/>
      <c r="AM19" s="2540"/>
      <c r="AN19" s="2496"/>
      <c r="AO19" s="2496"/>
      <c r="AP19" s="2496"/>
      <c r="AQ19" s="2513"/>
      <c r="AR19" s="2541"/>
    </row>
    <row r="20" spans="1:44">
      <c r="A20" s="2462">
        <v>4</v>
      </c>
      <c r="B20" s="2535" t="s">
        <v>3896</v>
      </c>
      <c r="C20" s="2496"/>
      <c r="D20" s="2496"/>
      <c r="E20" s="2496"/>
      <c r="F20" s="2496"/>
      <c r="G20" s="2541"/>
      <c r="H20" s="2462">
        <v>4</v>
      </c>
      <c r="I20" s="2496"/>
      <c r="J20" s="2540"/>
      <c r="K20" s="2496"/>
      <c r="L20" s="2540"/>
      <c r="M20" s="2496"/>
      <c r="N20" s="2540"/>
      <c r="O20" s="2496"/>
      <c r="P20" s="2540"/>
      <c r="Q20" s="2497"/>
      <c r="R20" s="2514">
        <v>4</v>
      </c>
      <c r="S20" s="2539"/>
      <c r="T20" s="2540"/>
      <c r="U20" s="2513"/>
      <c r="V20" s="2539"/>
      <c r="W20" s="2496"/>
      <c r="X20" s="2496"/>
      <c r="Y20" s="2513"/>
      <c r="Z20" s="2539"/>
      <c r="AA20" s="2462">
        <v>4</v>
      </c>
      <c r="AB20" s="2968"/>
      <c r="AC20" s="2496"/>
      <c r="AD20" s="2496"/>
      <c r="AE20" s="2496"/>
      <c r="AF20" s="2496"/>
      <c r="AG20" s="2496"/>
      <c r="AH20" s="2496"/>
      <c r="AI20" s="2496"/>
      <c r="AJ20" s="2462">
        <v>4</v>
      </c>
      <c r="AK20" s="2513"/>
      <c r="AL20" s="2539"/>
      <c r="AM20" s="2540"/>
      <c r="AN20" s="2496"/>
      <c r="AO20" s="2496"/>
      <c r="AP20" s="2496"/>
      <c r="AQ20" s="2513"/>
      <c r="AR20" s="2541"/>
    </row>
    <row r="21" spans="1:44">
      <c r="A21" s="2462">
        <v>5</v>
      </c>
      <c r="B21" s="2535" t="s">
        <v>3897</v>
      </c>
      <c r="C21" s="2542">
        <v>895205.99999999988</v>
      </c>
      <c r="D21" s="2542">
        <v>503040.00000000017</v>
      </c>
      <c r="E21" s="2542">
        <v>513480.17400000006</v>
      </c>
      <c r="F21" s="2542">
        <v>628768</v>
      </c>
      <c r="G21" s="2543">
        <v>0</v>
      </c>
      <c r="H21" s="2462">
        <v>5</v>
      </c>
      <c r="I21" s="2542">
        <v>1487541.3</v>
      </c>
      <c r="J21" s="2544">
        <v>1349779</v>
      </c>
      <c r="K21" s="2542">
        <v>37586</v>
      </c>
      <c r="L21" s="2544">
        <v>52863.628000000004</v>
      </c>
      <c r="M21" s="2542">
        <v>796834.64500000002</v>
      </c>
      <c r="N21" s="2544">
        <v>732644</v>
      </c>
      <c r="O21" s="2542">
        <v>1289851</v>
      </c>
      <c r="P21" s="2544">
        <v>1238928.9999999998</v>
      </c>
      <c r="Q21" s="2545">
        <v>159960.58900000004</v>
      </c>
      <c r="R21" s="2514">
        <v>5</v>
      </c>
      <c r="S21" s="2546">
        <v>339720.16100000002</v>
      </c>
      <c r="T21" s="2544">
        <v>29024.000000000011</v>
      </c>
      <c r="U21" s="2542">
        <v>413678.34200000006</v>
      </c>
      <c r="V21" s="2546">
        <v>395865.99239999999</v>
      </c>
      <c r="W21" s="2542">
        <v>23531</v>
      </c>
      <c r="X21" s="2542">
        <v>149791.84599999999</v>
      </c>
      <c r="Y21" s="2542">
        <v>13027.999999999998</v>
      </c>
      <c r="Z21" s="2546">
        <v>12449</v>
      </c>
      <c r="AA21" s="2462">
        <v>5</v>
      </c>
      <c r="AB21" s="2969">
        <v>640842.00000000035</v>
      </c>
      <c r="AC21" s="2542">
        <v>593188.5</v>
      </c>
      <c r="AD21" s="2542">
        <v>392016.63000000012</v>
      </c>
      <c r="AE21" s="2542">
        <v>613776.43499999994</v>
      </c>
      <c r="AF21" s="2542">
        <v>352665.57000000007</v>
      </c>
      <c r="AG21" s="2542">
        <v>104042</v>
      </c>
      <c r="AH21" s="2542">
        <v>179574.25599999996</v>
      </c>
      <c r="AI21" s="2542">
        <v>255106.50000000003</v>
      </c>
      <c r="AJ21" s="2462">
        <v>5</v>
      </c>
      <c r="AK21" s="2542">
        <v>618678</v>
      </c>
      <c r="AL21" s="2546">
        <v>597962</v>
      </c>
      <c r="AM21" s="2544"/>
      <c r="AN21" s="2542"/>
      <c r="AO21" s="2542"/>
      <c r="AP21" s="2542"/>
      <c r="AQ21" s="2542"/>
      <c r="AR21" s="2543"/>
    </row>
    <row r="22" spans="1:44">
      <c r="A22" s="2462">
        <v>6</v>
      </c>
      <c r="B22" s="2535" t="s">
        <v>3898</v>
      </c>
      <c r="C22" s="2542">
        <v>895205.99999999988</v>
      </c>
      <c r="D22" s="2542">
        <v>503040.00000000017</v>
      </c>
      <c r="E22" s="2542">
        <v>513480.17400000006</v>
      </c>
      <c r="F22" s="2542">
        <v>628768</v>
      </c>
      <c r="G22" s="2543">
        <v>0</v>
      </c>
      <c r="H22" s="2462">
        <v>6</v>
      </c>
      <c r="I22" s="2542"/>
      <c r="J22" s="2544">
        <v>1295259</v>
      </c>
      <c r="K22" s="2542"/>
      <c r="L22" s="2544">
        <v>35124.628000000004</v>
      </c>
      <c r="M22" s="2542"/>
      <c r="N22" s="2544">
        <v>732644</v>
      </c>
      <c r="O22" s="2542"/>
      <c r="P22" s="2544">
        <v>1238928.9999999998</v>
      </c>
      <c r="Q22" s="2545">
        <v>159960.58900000004</v>
      </c>
      <c r="R22" s="2514">
        <v>6</v>
      </c>
      <c r="S22" s="2546">
        <v>339720.16100000002</v>
      </c>
      <c r="T22" s="2544">
        <v>-1319.9999999999998</v>
      </c>
      <c r="U22" s="2513"/>
      <c r="V22" s="2546">
        <v>395865.99239999999</v>
      </c>
      <c r="W22" s="2542">
        <v>329.00000000000023</v>
      </c>
      <c r="X22" s="2542">
        <v>149791.84599999999</v>
      </c>
      <c r="Y22" s="2513"/>
      <c r="Z22" s="2546">
        <v>12449</v>
      </c>
      <c r="AA22" s="2462">
        <v>6</v>
      </c>
      <c r="AB22" s="2969">
        <v>640842.00000000035</v>
      </c>
      <c r="AC22" s="2542">
        <v>593188.5</v>
      </c>
      <c r="AD22" s="2542">
        <v>392016.63000000012</v>
      </c>
      <c r="AE22" s="2542">
        <v>613776.43499999994</v>
      </c>
      <c r="AF22" s="2542">
        <v>352665.57000000007</v>
      </c>
      <c r="AG22" s="2542">
        <v>-305.00000000000057</v>
      </c>
      <c r="AH22" s="2542">
        <v>179574.25599999996</v>
      </c>
      <c r="AI22" s="2542">
        <v>255106.50000000003</v>
      </c>
      <c r="AJ22" s="2462">
        <v>6</v>
      </c>
      <c r="AK22" s="2513"/>
      <c r="AL22" s="2546">
        <v>597962</v>
      </c>
      <c r="AM22" s="2544"/>
      <c r="AN22" s="2542"/>
      <c r="AO22" s="2542"/>
      <c r="AP22" s="2542"/>
      <c r="AQ22" s="2513"/>
      <c r="AR22" s="2543"/>
    </row>
    <row r="23" spans="1:44">
      <c r="A23" s="2462">
        <v>7</v>
      </c>
      <c r="B23" s="2535" t="s">
        <v>3899</v>
      </c>
      <c r="C23" s="2542" t="s">
        <v>3449</v>
      </c>
      <c r="D23" s="2542" t="s">
        <v>3449</v>
      </c>
      <c r="E23" s="2542" t="s">
        <v>3449</v>
      </c>
      <c r="F23" s="2542" t="s">
        <v>3449</v>
      </c>
      <c r="G23" s="2543" t="s">
        <v>3449</v>
      </c>
      <c r="H23" s="2462">
        <v>7</v>
      </c>
      <c r="I23" s="2542" t="s">
        <v>3449</v>
      </c>
      <c r="J23" s="2544" t="s">
        <v>3449</v>
      </c>
      <c r="K23" s="2542" t="s">
        <v>3449</v>
      </c>
      <c r="L23" s="2544" t="s">
        <v>3449</v>
      </c>
      <c r="M23" s="2542" t="s">
        <v>3449</v>
      </c>
      <c r="N23" s="2544" t="s">
        <v>3449</v>
      </c>
      <c r="O23" s="2542" t="s">
        <v>3449</v>
      </c>
      <c r="P23" s="2544" t="s">
        <v>3449</v>
      </c>
      <c r="Q23" s="2545" t="s">
        <v>3449</v>
      </c>
      <c r="R23" s="2514">
        <v>7</v>
      </c>
      <c r="S23" s="2546" t="s">
        <v>3449</v>
      </c>
      <c r="T23" s="2544" t="s">
        <v>3449</v>
      </c>
      <c r="U23" s="2542" t="s">
        <v>3449</v>
      </c>
      <c r="V23" s="2546" t="s">
        <v>3449</v>
      </c>
      <c r="W23" s="2542" t="s">
        <v>3449</v>
      </c>
      <c r="X23" s="2542" t="s">
        <v>3449</v>
      </c>
      <c r="Y23" s="2542" t="s">
        <v>3449</v>
      </c>
      <c r="Z23" s="2546" t="s">
        <v>3449</v>
      </c>
      <c r="AA23" s="2462">
        <v>7</v>
      </c>
      <c r="AB23" s="2969" t="s">
        <v>3449</v>
      </c>
      <c r="AC23" s="2542" t="s">
        <v>3449</v>
      </c>
      <c r="AD23" s="2542" t="s">
        <v>3449</v>
      </c>
      <c r="AE23" s="2542" t="s">
        <v>3449</v>
      </c>
      <c r="AF23" s="2542" t="s">
        <v>3449</v>
      </c>
      <c r="AG23" s="2542" t="s">
        <v>3449</v>
      </c>
      <c r="AH23" s="2542" t="s">
        <v>3449</v>
      </c>
      <c r="AI23" s="2542" t="s">
        <v>3449</v>
      </c>
      <c r="AJ23" s="2462">
        <v>7</v>
      </c>
      <c r="AK23" s="2542" t="s">
        <v>3449</v>
      </c>
      <c r="AL23" s="2546" t="s">
        <v>3449</v>
      </c>
      <c r="AM23" s="2544"/>
      <c r="AN23" s="2542"/>
      <c r="AO23" s="2542"/>
      <c r="AP23" s="2542"/>
      <c r="AQ23" s="2542"/>
      <c r="AR23" s="2543"/>
    </row>
    <row r="24" spans="1:44">
      <c r="A24" s="2462">
        <v>8</v>
      </c>
      <c r="B24" s="2535" t="s">
        <v>3900</v>
      </c>
      <c r="C24" s="2542">
        <v>2452.6191780821914</v>
      </c>
      <c r="D24" s="2542">
        <v>1378.1917808219182</v>
      </c>
      <c r="E24" s="2542">
        <v>1406.7949972602742</v>
      </c>
      <c r="F24" s="2542">
        <v>1722.6520547945206</v>
      </c>
      <c r="G24" s="2543">
        <v>0</v>
      </c>
      <c r="H24" s="2462">
        <v>8</v>
      </c>
      <c r="I24" s="2542"/>
      <c r="J24" s="2544">
        <v>3548.654794520548</v>
      </c>
      <c r="K24" s="2542"/>
      <c r="L24" s="2544">
        <v>96.231857534246586</v>
      </c>
      <c r="M24" s="2542"/>
      <c r="N24" s="2544">
        <v>2007.2438356164384</v>
      </c>
      <c r="O24" s="2542"/>
      <c r="P24" s="2544">
        <v>3394.3260273972596</v>
      </c>
      <c r="Q24" s="2545">
        <v>438.248189041096</v>
      </c>
      <c r="R24" s="2514">
        <v>8</v>
      </c>
      <c r="S24" s="2546">
        <v>930.74016712328773</v>
      </c>
      <c r="T24" s="2544">
        <v>-3.6164383561643829</v>
      </c>
      <c r="U24" s="2513"/>
      <c r="V24" s="2546">
        <v>1084.564362739726</v>
      </c>
      <c r="W24" s="2542">
        <v>0.90136986301369926</v>
      </c>
      <c r="X24" s="2542">
        <v>410.38861917808214</v>
      </c>
      <c r="Y24" s="2513"/>
      <c r="Z24" s="2546">
        <v>34.106849315068494</v>
      </c>
      <c r="AA24" s="2462">
        <v>8</v>
      </c>
      <c r="AB24" s="2969">
        <v>1755.731506849316</v>
      </c>
      <c r="AC24" s="2542">
        <v>1625.1739726027397</v>
      </c>
      <c r="AD24" s="2542">
        <v>1074.018164383562</v>
      </c>
      <c r="AE24" s="2542">
        <v>1681.5792739726026</v>
      </c>
      <c r="AF24" s="2542">
        <v>966.20704109589065</v>
      </c>
      <c r="AG24" s="2542">
        <v>-0.83561643835616595</v>
      </c>
      <c r="AH24" s="2542">
        <v>491.98426301369852</v>
      </c>
      <c r="AI24" s="2542">
        <v>698.92191780821929</v>
      </c>
      <c r="AJ24" s="2462">
        <v>8</v>
      </c>
      <c r="AK24" s="2513"/>
      <c r="AL24" s="2546">
        <v>1638</v>
      </c>
      <c r="AM24" s="2544"/>
      <c r="AN24" s="2542"/>
      <c r="AO24" s="2542"/>
      <c r="AP24" s="2542"/>
      <c r="AQ24" s="2513"/>
      <c r="AR24" s="2543"/>
    </row>
    <row r="25" spans="1:44">
      <c r="A25" s="2462">
        <v>9</v>
      </c>
      <c r="B25" s="2535"/>
      <c r="C25" s="2496"/>
      <c r="D25" s="2496"/>
      <c r="E25" s="2496"/>
      <c r="F25" s="2496"/>
      <c r="G25" s="2547"/>
      <c r="H25" s="2462">
        <v>9</v>
      </c>
      <c r="I25" s="2496"/>
      <c r="J25" s="2540"/>
      <c r="K25" s="2496"/>
      <c r="L25" s="2540"/>
      <c r="M25" s="2496"/>
      <c r="N25" s="2540"/>
      <c r="O25" s="2496"/>
      <c r="P25" s="2540"/>
      <c r="Q25" s="2497"/>
      <c r="R25" s="2514">
        <v>9</v>
      </c>
      <c r="S25" s="2539"/>
      <c r="T25" s="2540"/>
      <c r="U25" s="2513"/>
      <c r="V25" s="2539"/>
      <c r="W25" s="2496"/>
      <c r="X25" s="2496"/>
      <c r="Y25" s="2513"/>
      <c r="Z25" s="2539"/>
      <c r="AA25" s="2462">
        <v>9</v>
      </c>
      <c r="AB25" s="2968"/>
      <c r="AC25" s="2496"/>
      <c r="AD25" s="2496"/>
      <c r="AE25" s="2496"/>
      <c r="AF25" s="2496"/>
      <c r="AG25" s="2496"/>
      <c r="AH25" s="2496"/>
      <c r="AI25" s="2496"/>
      <c r="AJ25" s="2462">
        <v>9</v>
      </c>
      <c r="AK25" s="2513"/>
      <c r="AL25" s="2539"/>
      <c r="AM25" s="2540"/>
      <c r="AN25" s="2496"/>
      <c r="AO25" s="2496"/>
      <c r="AP25" s="2496"/>
      <c r="AQ25" s="2513"/>
      <c r="AR25" s="2541"/>
    </row>
    <row r="26" spans="1:44">
      <c r="A26" s="2462">
        <v>10</v>
      </c>
      <c r="B26" s="2535"/>
      <c r="C26" s="2548" t="s">
        <v>1815</v>
      </c>
      <c r="D26" s="2496"/>
      <c r="E26" s="2496"/>
      <c r="F26" s="2496"/>
      <c r="G26" s="2547"/>
      <c r="H26" s="2462">
        <v>10</v>
      </c>
      <c r="I26" s="2548" t="s">
        <v>5283</v>
      </c>
      <c r="J26" s="2540"/>
      <c r="K26" s="2548"/>
      <c r="L26" s="2540"/>
      <c r="M26" s="2496"/>
      <c r="N26" s="2540"/>
      <c r="O26" s="2496"/>
      <c r="P26" s="2540"/>
      <c r="Q26" s="2497"/>
      <c r="R26" s="2514">
        <v>10</v>
      </c>
      <c r="S26" s="2549" t="s">
        <v>5290</v>
      </c>
      <c r="T26" s="2549"/>
      <c r="U26" s="2513"/>
      <c r="V26" s="2540"/>
      <c r="W26" s="2496"/>
      <c r="X26" s="2496"/>
      <c r="Y26" s="2513"/>
      <c r="Z26" s="2539"/>
      <c r="AA26" s="2462">
        <v>10</v>
      </c>
      <c r="AB26" s="2970" t="s">
        <v>4611</v>
      </c>
      <c r="AC26" s="2548"/>
      <c r="AD26" s="2496"/>
      <c r="AE26" s="2548"/>
      <c r="AF26" s="2496"/>
      <c r="AG26" s="2496"/>
      <c r="AH26" s="2496"/>
      <c r="AI26" s="2496"/>
      <c r="AJ26" s="2462">
        <v>10</v>
      </c>
      <c r="AK26" s="2513"/>
      <c r="AL26" s="2539"/>
      <c r="AM26" s="2540"/>
      <c r="AN26" s="2496"/>
      <c r="AO26" s="2496"/>
      <c r="AP26" s="2496"/>
      <c r="AQ26" s="2513"/>
      <c r="AR26" s="2541"/>
    </row>
    <row r="27" spans="1:44">
      <c r="A27" s="2462">
        <v>11</v>
      </c>
      <c r="B27" s="2535"/>
      <c r="C27" s="2548" t="s">
        <v>1909</v>
      </c>
      <c r="D27" s="2496"/>
      <c r="E27" s="2496"/>
      <c r="F27" s="2496"/>
      <c r="G27" s="2547"/>
      <c r="H27" s="2462">
        <v>11</v>
      </c>
      <c r="I27" s="2548" t="s">
        <v>1909</v>
      </c>
      <c r="J27" s="2540"/>
      <c r="K27" s="2548"/>
      <c r="L27" s="2540"/>
      <c r="M27" s="2496"/>
      <c r="N27" s="2540"/>
      <c r="O27" s="2496"/>
      <c r="P27" s="2540"/>
      <c r="Q27" s="2497"/>
      <c r="R27" s="2514">
        <v>11</v>
      </c>
      <c r="S27" s="2549" t="s">
        <v>1909</v>
      </c>
      <c r="T27" s="2549"/>
      <c r="U27" s="2513"/>
      <c r="V27" s="2540"/>
      <c r="W27" s="2496"/>
      <c r="X27" s="2496"/>
      <c r="Y27" s="2513"/>
      <c r="Z27" s="2539"/>
      <c r="AA27" s="2462">
        <v>11</v>
      </c>
      <c r="AB27" s="2970" t="s">
        <v>1909</v>
      </c>
      <c r="AC27" s="2548"/>
      <c r="AD27" s="2496"/>
      <c r="AE27" s="2548"/>
      <c r="AF27" s="2496"/>
      <c r="AG27" s="2496"/>
      <c r="AH27" s="2496"/>
      <c r="AI27" s="2496"/>
      <c r="AJ27" s="2462">
        <v>11</v>
      </c>
      <c r="AK27" s="2513"/>
      <c r="AL27" s="2539"/>
      <c r="AM27" s="2540"/>
      <c r="AN27" s="2496"/>
      <c r="AO27" s="2496"/>
      <c r="AP27" s="2496"/>
      <c r="AQ27" s="2513"/>
      <c r="AR27" s="2541"/>
    </row>
    <row r="28" spans="1:44">
      <c r="A28" s="2462">
        <v>12</v>
      </c>
      <c r="B28" s="2535"/>
      <c r="C28" s="2496"/>
      <c r="D28" s="2496"/>
      <c r="E28" s="2496"/>
      <c r="F28" s="2496"/>
      <c r="G28" s="2547"/>
      <c r="H28" s="2462">
        <v>12</v>
      </c>
      <c r="I28" s="2496"/>
      <c r="J28" s="2540"/>
      <c r="K28" s="2496"/>
      <c r="L28" s="2540"/>
      <c r="M28" s="2496"/>
      <c r="N28" s="2540"/>
      <c r="O28" s="2496"/>
      <c r="P28" s="2540"/>
      <c r="Q28" s="2497"/>
      <c r="R28" s="2514">
        <v>12</v>
      </c>
      <c r="S28" s="2539"/>
      <c r="T28" s="2540"/>
      <c r="U28" s="2513"/>
      <c r="V28" s="2540"/>
      <c r="W28" s="2496"/>
      <c r="X28" s="2496"/>
      <c r="Y28" s="2513"/>
      <c r="Z28" s="2539"/>
      <c r="AA28" s="2462">
        <v>12</v>
      </c>
      <c r="AB28" s="2968"/>
      <c r="AC28" s="2496"/>
      <c r="AD28" s="2496"/>
      <c r="AE28" s="2496"/>
      <c r="AF28" s="2496"/>
      <c r="AG28" s="2496"/>
      <c r="AH28" s="2496"/>
      <c r="AI28" s="2496"/>
      <c r="AJ28" s="2462">
        <v>12</v>
      </c>
      <c r="AK28" s="2513"/>
      <c r="AL28" s="2539"/>
      <c r="AM28" s="2540"/>
      <c r="AN28" s="2496"/>
      <c r="AO28" s="2496"/>
      <c r="AP28" s="2496"/>
      <c r="AQ28" s="2513"/>
      <c r="AR28" s="2541"/>
    </row>
    <row r="29" spans="1:44">
      <c r="A29" s="2462">
        <v>13</v>
      </c>
      <c r="B29" s="2535"/>
      <c r="C29" s="2496"/>
      <c r="D29" s="2496"/>
      <c r="E29" s="2496"/>
      <c r="F29" s="2496"/>
      <c r="G29" s="2547"/>
      <c r="H29" s="2462">
        <v>13</v>
      </c>
      <c r="I29" s="2496"/>
      <c r="J29" s="2540"/>
      <c r="K29" s="2496"/>
      <c r="L29" s="2540"/>
      <c r="M29" s="2496"/>
      <c r="N29" s="2540"/>
      <c r="O29" s="2496"/>
      <c r="P29" s="2540"/>
      <c r="Q29" s="2497"/>
      <c r="R29" s="2514">
        <v>13</v>
      </c>
      <c r="S29" s="2539"/>
      <c r="T29" s="2540"/>
      <c r="U29" s="2513"/>
      <c r="V29" s="2540"/>
      <c r="W29" s="2496"/>
      <c r="X29" s="2496"/>
      <c r="Y29" s="2513"/>
      <c r="Z29" s="2539"/>
      <c r="AA29" s="2462">
        <v>13</v>
      </c>
      <c r="AB29" s="2968"/>
      <c r="AC29" s="2496"/>
      <c r="AD29" s="2496"/>
      <c r="AE29" s="2496"/>
      <c r="AF29" s="2496"/>
      <c r="AG29" s="2496"/>
      <c r="AH29" s="2496"/>
      <c r="AI29" s="2496"/>
      <c r="AJ29" s="2462">
        <v>13</v>
      </c>
      <c r="AK29" s="2513"/>
      <c r="AL29" s="2539"/>
      <c r="AM29" s="2540"/>
      <c r="AN29" s="2496"/>
      <c r="AO29" s="2496"/>
      <c r="AP29" s="2496"/>
      <c r="AQ29" s="2513"/>
      <c r="AR29" s="2541"/>
    </row>
    <row r="30" spans="1:44">
      <c r="A30" s="2462">
        <v>14</v>
      </c>
      <c r="B30" s="2535" t="s">
        <v>2461</v>
      </c>
      <c r="C30" s="2550">
        <v>3727</v>
      </c>
      <c r="D30" s="2550">
        <v>1728</v>
      </c>
      <c r="E30" s="2550">
        <v>1570</v>
      </c>
      <c r="F30" s="2551">
        <v>3028</v>
      </c>
      <c r="G30" s="2552"/>
      <c r="H30" s="2462">
        <v>14</v>
      </c>
      <c r="I30" s="2551">
        <v>5913</v>
      </c>
      <c r="J30" s="2553"/>
      <c r="K30" s="2551">
        <v>894</v>
      </c>
      <c r="L30" s="2553"/>
      <c r="M30" s="2551">
        <v>3178</v>
      </c>
      <c r="N30" s="2553"/>
      <c r="O30" s="2551">
        <v>3739</v>
      </c>
      <c r="P30" s="2553"/>
      <c r="Q30" s="2554">
        <v>1718</v>
      </c>
      <c r="R30" s="2514">
        <v>14</v>
      </c>
      <c r="S30" s="2555">
        <v>2009</v>
      </c>
      <c r="T30" s="2556">
        <v>224</v>
      </c>
      <c r="U30" s="2551">
        <v>1919</v>
      </c>
      <c r="V30" s="2553"/>
      <c r="W30" s="2550">
        <v>540</v>
      </c>
      <c r="X30" s="2550">
        <v>1843</v>
      </c>
      <c r="Y30" s="2551">
        <v>1041</v>
      </c>
      <c r="Z30" s="2557"/>
      <c r="AA30" s="2462">
        <v>14</v>
      </c>
      <c r="AB30" s="2971">
        <v>1962</v>
      </c>
      <c r="AC30" s="2550">
        <v>3829</v>
      </c>
      <c r="AD30" s="2550">
        <v>1347</v>
      </c>
      <c r="AE30" s="2550">
        <v>3894</v>
      </c>
      <c r="AF30" s="2550">
        <v>1791</v>
      </c>
      <c r="AG30" s="2550">
        <v>253</v>
      </c>
      <c r="AH30" s="2550">
        <v>1673</v>
      </c>
      <c r="AI30" s="2550">
        <v>2963</v>
      </c>
      <c r="AJ30" s="2462">
        <v>14</v>
      </c>
      <c r="AK30" s="2551">
        <v>1962</v>
      </c>
      <c r="AL30" s="2557"/>
      <c r="AM30" s="2556"/>
      <c r="AN30" s="2550"/>
      <c r="AO30" s="2550"/>
      <c r="AP30" s="2550"/>
      <c r="AQ30" s="2551"/>
      <c r="AR30" s="2558"/>
    </row>
    <row r="31" spans="1:44">
      <c r="A31" s="2462">
        <v>15</v>
      </c>
      <c r="B31" s="2535" t="s">
        <v>2462</v>
      </c>
      <c r="C31" s="2496"/>
      <c r="D31" s="2496"/>
      <c r="E31" s="2496"/>
      <c r="F31" s="2536"/>
      <c r="G31" s="2537"/>
      <c r="H31" s="2462">
        <v>15</v>
      </c>
      <c r="I31" s="2536"/>
      <c r="J31" s="2538"/>
      <c r="K31" s="2536"/>
      <c r="L31" s="2538"/>
      <c r="M31" s="2536"/>
      <c r="N31" s="2538"/>
      <c r="O31" s="2536"/>
      <c r="P31" s="2538"/>
      <c r="Q31" s="2497"/>
      <c r="R31" s="2514">
        <v>15</v>
      </c>
      <c r="S31" s="2539"/>
      <c r="T31" s="2540"/>
      <c r="U31" s="2536"/>
      <c r="V31" s="2538"/>
      <c r="W31" s="2496"/>
      <c r="X31" s="2496"/>
      <c r="Y31" s="2496"/>
      <c r="Z31" s="2539"/>
      <c r="AA31" s="2462">
        <v>15</v>
      </c>
      <c r="AB31" s="2968"/>
      <c r="AC31" s="2496"/>
      <c r="AD31" s="2496"/>
      <c r="AE31" s="2496"/>
      <c r="AF31" s="2496"/>
      <c r="AG31" s="2496"/>
      <c r="AH31" s="2496"/>
      <c r="AI31" s="2496"/>
      <c r="AJ31" s="2462">
        <v>15</v>
      </c>
      <c r="AK31" s="2496"/>
      <c r="AL31" s="2539"/>
      <c r="AM31" s="2540"/>
      <c r="AN31" s="2496"/>
      <c r="AO31" s="2496"/>
      <c r="AP31" s="2496"/>
      <c r="AQ31" s="2496"/>
      <c r="AR31" s="2541"/>
    </row>
    <row r="32" spans="1:44">
      <c r="A32" s="2462">
        <v>16</v>
      </c>
      <c r="B32" s="2535" t="s">
        <v>2463</v>
      </c>
      <c r="C32" s="2963" t="s">
        <v>5278</v>
      </c>
      <c r="D32" s="2559" t="s">
        <v>5279</v>
      </c>
      <c r="E32" s="2559" t="s">
        <v>5280</v>
      </c>
      <c r="F32" s="2560" t="s">
        <v>5281</v>
      </c>
      <c r="G32" s="2537"/>
      <c r="H32" s="2462">
        <v>16</v>
      </c>
      <c r="I32" s="2560" t="s">
        <v>5284</v>
      </c>
      <c r="J32" s="2561"/>
      <c r="K32" s="2560" t="s">
        <v>5285</v>
      </c>
      <c r="L32" s="2561"/>
      <c r="M32" s="2560" t="s">
        <v>5286</v>
      </c>
      <c r="N32" s="2561"/>
      <c r="O32" s="2560" t="s">
        <v>5287</v>
      </c>
      <c r="P32" s="2561"/>
      <c r="Q32" s="2562" t="s">
        <v>5288</v>
      </c>
      <c r="R32" s="2514">
        <v>16</v>
      </c>
      <c r="S32" s="2563" t="s">
        <v>5286</v>
      </c>
      <c r="T32" s="2564" t="s">
        <v>5291</v>
      </c>
      <c r="U32" s="2560" t="s">
        <v>5292</v>
      </c>
      <c r="V32" s="2561"/>
      <c r="W32" s="2559" t="s">
        <v>5293</v>
      </c>
      <c r="X32" s="2964" t="s">
        <v>5294</v>
      </c>
      <c r="Y32" s="2560" t="s">
        <v>5295</v>
      </c>
      <c r="Z32" s="2566"/>
      <c r="AA32" s="2462">
        <v>16</v>
      </c>
      <c r="AB32" s="2972" t="s">
        <v>5297</v>
      </c>
      <c r="AC32" s="2559" t="s">
        <v>5286</v>
      </c>
      <c r="AD32" s="2559" t="s">
        <v>5298</v>
      </c>
      <c r="AE32" s="2559" t="s">
        <v>5284</v>
      </c>
      <c r="AF32" s="2559" t="s">
        <v>5286</v>
      </c>
      <c r="AG32" s="2559" t="s">
        <v>5299</v>
      </c>
      <c r="AH32" s="2565" t="s">
        <v>5284</v>
      </c>
      <c r="AI32" s="2559" t="s">
        <v>5282</v>
      </c>
      <c r="AJ32" s="2462">
        <v>16</v>
      </c>
      <c r="AK32" s="2560" t="s">
        <v>5307</v>
      </c>
      <c r="AL32" s="2566"/>
      <c r="AM32" s="2564"/>
      <c r="AN32" s="2559"/>
      <c r="AO32" s="2559"/>
      <c r="AP32" s="2559"/>
      <c r="AQ32" s="2560"/>
      <c r="AR32" s="2567"/>
    </row>
    <row r="33" spans="1:44">
      <c r="A33" s="2462">
        <v>17</v>
      </c>
      <c r="B33" s="2535" t="s">
        <v>2464</v>
      </c>
      <c r="C33" s="2568">
        <v>46775</v>
      </c>
      <c r="D33" s="2569"/>
      <c r="E33" s="2569"/>
      <c r="F33" s="2569"/>
      <c r="G33" s="2570"/>
      <c r="H33" s="2462">
        <v>17</v>
      </c>
      <c r="I33" s="2496"/>
      <c r="J33" s="2540"/>
      <c r="K33" s="2496"/>
      <c r="L33" s="2540"/>
      <c r="M33" s="2496"/>
      <c r="N33" s="2540"/>
      <c r="O33" s="2496"/>
      <c r="P33" s="2540"/>
      <c r="Q33" s="2505"/>
      <c r="R33" s="2514">
        <v>17</v>
      </c>
      <c r="S33" s="2512"/>
      <c r="T33" s="2451"/>
      <c r="U33" s="2513"/>
      <c r="V33" s="2451"/>
      <c r="W33" s="2446"/>
      <c r="X33" s="2446"/>
      <c r="Y33" s="2513"/>
      <c r="Z33" s="2512"/>
      <c r="AA33" s="2462">
        <v>17</v>
      </c>
      <c r="AB33" s="2973"/>
      <c r="AC33" s="2446"/>
      <c r="AD33" s="2446"/>
      <c r="AE33" s="2446"/>
      <c r="AF33" s="2446"/>
      <c r="AG33" s="2446"/>
      <c r="AH33" s="2446"/>
      <c r="AI33" s="2446"/>
      <c r="AJ33" s="2462">
        <v>17</v>
      </c>
      <c r="AK33" s="2513"/>
      <c r="AL33" s="2512"/>
      <c r="AM33" s="2451"/>
      <c r="AN33" s="2446"/>
      <c r="AO33" s="2446"/>
      <c r="AP33" s="2446"/>
      <c r="AQ33" s="2513"/>
      <c r="AR33" s="2453"/>
    </row>
    <row r="34" spans="1:44">
      <c r="A34" s="2462">
        <v>18</v>
      </c>
      <c r="B34" s="2535" t="s">
        <v>2463</v>
      </c>
      <c r="C34" s="2569" t="s">
        <v>5282</v>
      </c>
      <c r="D34" s="2569"/>
      <c r="E34" s="2569"/>
      <c r="F34" s="2569"/>
      <c r="G34" s="2570"/>
      <c r="H34" s="2462">
        <v>18</v>
      </c>
      <c r="I34" s="2496"/>
      <c r="J34" s="2540"/>
      <c r="K34" s="2496"/>
      <c r="L34" s="2540"/>
      <c r="M34" s="2496"/>
      <c r="N34" s="2540"/>
      <c r="O34" s="2496"/>
      <c r="P34" s="2540"/>
      <c r="Q34" s="2497"/>
      <c r="R34" s="2514">
        <v>18</v>
      </c>
      <c r="S34" s="2539"/>
      <c r="T34" s="2540"/>
      <c r="U34" s="2513"/>
      <c r="V34" s="2540"/>
      <c r="W34" s="2496"/>
      <c r="X34" s="2496"/>
      <c r="Y34" s="2513"/>
      <c r="Z34" s="2539"/>
      <c r="AA34" s="2462">
        <v>18</v>
      </c>
      <c r="AB34" s="2968"/>
      <c r="AC34" s="2496"/>
      <c r="AD34" s="2496"/>
      <c r="AE34" s="2496"/>
      <c r="AF34" s="2496"/>
      <c r="AG34" s="2496"/>
      <c r="AH34" s="2496"/>
      <c r="AI34" s="2496"/>
      <c r="AJ34" s="2462">
        <v>18</v>
      </c>
      <c r="AK34" s="2513"/>
      <c r="AL34" s="2539"/>
      <c r="AM34" s="2540"/>
      <c r="AN34" s="2496"/>
      <c r="AO34" s="2496"/>
      <c r="AP34" s="2496"/>
      <c r="AQ34" s="2513"/>
      <c r="AR34" s="2541"/>
    </row>
    <row r="35" spans="1:44">
      <c r="A35" s="2462">
        <v>19</v>
      </c>
      <c r="B35" s="2535" t="s">
        <v>2465</v>
      </c>
      <c r="C35" s="2496"/>
      <c r="D35" s="2496"/>
      <c r="E35" s="2496"/>
      <c r="F35" s="2496"/>
      <c r="G35" s="2547"/>
      <c r="H35" s="2462">
        <v>19</v>
      </c>
      <c r="I35" s="2496"/>
      <c r="J35" s="2540"/>
      <c r="K35" s="2496"/>
      <c r="L35" s="2540"/>
      <c r="M35" s="2496"/>
      <c r="N35" s="2540"/>
      <c r="O35" s="2496"/>
      <c r="P35" s="2540"/>
      <c r="Q35" s="2497"/>
      <c r="R35" s="2514">
        <v>19</v>
      </c>
      <c r="S35" s="2539"/>
      <c r="T35" s="2540"/>
      <c r="U35" s="2513"/>
      <c r="V35" s="2540"/>
      <c r="W35" s="2496"/>
      <c r="X35" s="2496"/>
      <c r="Y35" s="2513"/>
      <c r="Z35" s="2539"/>
      <c r="AA35" s="2462">
        <v>19</v>
      </c>
      <c r="AB35" s="2968"/>
      <c r="AC35" s="2496"/>
      <c r="AD35" s="2496"/>
      <c r="AE35" s="2496"/>
      <c r="AF35" s="2496"/>
      <c r="AG35" s="2496"/>
      <c r="AH35" s="2496"/>
      <c r="AI35" s="2496"/>
      <c r="AJ35" s="2462">
        <v>19</v>
      </c>
      <c r="AK35" s="2513"/>
      <c r="AL35" s="2539"/>
      <c r="AM35" s="2540"/>
      <c r="AN35" s="2496"/>
      <c r="AO35" s="2496"/>
      <c r="AP35" s="2496"/>
      <c r="AQ35" s="2513"/>
      <c r="AR35" s="2541"/>
    </row>
    <row r="36" spans="1:44">
      <c r="A36" s="2462">
        <v>20</v>
      </c>
      <c r="B36" s="2535"/>
      <c r="C36" s="2496"/>
      <c r="D36" s="2496"/>
      <c r="E36" s="2496"/>
      <c r="F36" s="2496"/>
      <c r="G36" s="2547"/>
      <c r="H36" s="2462">
        <v>20</v>
      </c>
      <c r="I36" s="2496"/>
      <c r="J36" s="2540"/>
      <c r="K36" s="2496"/>
      <c r="L36" s="2540"/>
      <c r="M36" s="2496"/>
      <c r="N36" s="2540"/>
      <c r="O36" s="2496"/>
      <c r="P36" s="2540"/>
      <c r="Q36" s="2497"/>
      <c r="R36" s="2514">
        <v>20</v>
      </c>
      <c r="S36" s="2539"/>
      <c r="T36" s="2540"/>
      <c r="U36" s="2513"/>
      <c r="V36" s="2540"/>
      <c r="W36" s="2496"/>
      <c r="X36" s="2496"/>
      <c r="Y36" s="2513"/>
      <c r="Z36" s="2539"/>
      <c r="AA36" s="2462">
        <v>20</v>
      </c>
      <c r="AB36" s="2968"/>
      <c r="AC36" s="2496"/>
      <c r="AD36" s="2496"/>
      <c r="AE36" s="2496"/>
      <c r="AF36" s="2496"/>
      <c r="AG36" s="2496"/>
      <c r="AH36" s="2496"/>
      <c r="AI36" s="2496"/>
      <c r="AJ36" s="2462">
        <v>20</v>
      </c>
      <c r="AK36" s="2513"/>
      <c r="AL36" s="2539"/>
      <c r="AM36" s="2540"/>
      <c r="AN36" s="2496"/>
      <c r="AO36" s="2496"/>
      <c r="AP36" s="2496"/>
      <c r="AQ36" s="2513"/>
      <c r="AR36" s="2541"/>
    </row>
    <row r="37" spans="1:44">
      <c r="A37" s="2462">
        <v>21</v>
      </c>
      <c r="B37" s="2535"/>
      <c r="C37" s="2496"/>
      <c r="D37" s="2496"/>
      <c r="E37" s="2496"/>
      <c r="F37" s="2496"/>
      <c r="G37" s="2547"/>
      <c r="H37" s="2462">
        <v>21</v>
      </c>
      <c r="I37" s="2496"/>
      <c r="J37" s="2540"/>
      <c r="K37" s="2496"/>
      <c r="L37" s="2540"/>
      <c r="M37" s="2496"/>
      <c r="N37" s="2540"/>
      <c r="O37" s="2496"/>
      <c r="P37" s="2540"/>
      <c r="Q37" s="2497"/>
      <c r="R37" s="2514">
        <v>21</v>
      </c>
      <c r="S37" s="2539"/>
      <c r="T37" s="2540"/>
      <c r="U37" s="2513"/>
      <c r="V37" s="2539"/>
      <c r="W37" s="2496"/>
      <c r="X37" s="2496"/>
      <c r="Y37" s="2513"/>
      <c r="Z37" s="2539"/>
      <c r="AA37" s="2462">
        <v>21</v>
      </c>
      <c r="AB37" s="2968"/>
      <c r="AC37" s="2496"/>
      <c r="AD37" s="2496"/>
      <c r="AE37" s="2496"/>
      <c r="AF37" s="2496"/>
      <c r="AG37" s="2496"/>
      <c r="AH37" s="2496"/>
      <c r="AI37" s="2496"/>
      <c r="AJ37" s="2462">
        <v>21</v>
      </c>
      <c r="AK37" s="2513"/>
      <c r="AL37" s="2539"/>
      <c r="AM37" s="2540"/>
      <c r="AN37" s="2496"/>
      <c r="AO37" s="2496"/>
      <c r="AP37" s="2496"/>
      <c r="AQ37" s="2513"/>
      <c r="AR37" s="2541"/>
    </row>
    <row r="38" spans="1:44">
      <c r="A38" s="2462">
        <v>22</v>
      </c>
      <c r="B38" s="2535" t="s">
        <v>2466</v>
      </c>
      <c r="C38" s="2496" t="s">
        <v>1910</v>
      </c>
      <c r="D38" s="2496" t="s">
        <v>1911</v>
      </c>
      <c r="E38" s="2496" t="s">
        <v>1911</v>
      </c>
      <c r="F38" s="2496" t="s">
        <v>1912</v>
      </c>
      <c r="G38" s="2541" t="s">
        <v>1913</v>
      </c>
      <c r="H38" s="2462">
        <v>22</v>
      </c>
      <c r="I38" s="2496" t="s">
        <v>1913</v>
      </c>
      <c r="J38" s="2540" t="s">
        <v>1913</v>
      </c>
      <c r="K38" s="2536" t="s">
        <v>1912</v>
      </c>
      <c r="L38" s="2538"/>
      <c r="M38" s="2536" t="s">
        <v>1912</v>
      </c>
      <c r="N38" s="2538"/>
      <c r="O38" s="2536" t="s">
        <v>1912</v>
      </c>
      <c r="P38" s="2538"/>
      <c r="Q38" s="2497" t="s">
        <v>1912</v>
      </c>
      <c r="R38" s="2514">
        <v>22</v>
      </c>
      <c r="S38" s="2539" t="s">
        <v>1911</v>
      </c>
      <c r="T38" s="2540" t="s">
        <v>1913</v>
      </c>
      <c r="U38" s="3078" t="s">
        <v>1911</v>
      </c>
      <c r="V38" s="3079"/>
      <c r="W38" s="2496" t="s">
        <v>1911</v>
      </c>
      <c r="X38" s="2496" t="s">
        <v>1911</v>
      </c>
      <c r="Y38" s="3078" t="s">
        <v>1912</v>
      </c>
      <c r="Z38" s="3079"/>
      <c r="AA38" s="2462">
        <v>22</v>
      </c>
      <c r="AB38" s="2968" t="s">
        <v>1911</v>
      </c>
      <c r="AC38" s="2496" t="s">
        <v>4080</v>
      </c>
      <c r="AD38" s="2496" t="s">
        <v>4080</v>
      </c>
      <c r="AE38" s="2496" t="s">
        <v>4080</v>
      </c>
      <c r="AF38" s="2496" t="s">
        <v>1911</v>
      </c>
      <c r="AG38" s="2496" t="s">
        <v>1911</v>
      </c>
      <c r="AH38" s="2496" t="s">
        <v>1911</v>
      </c>
      <c r="AI38" s="2496" t="s">
        <v>4080</v>
      </c>
      <c r="AJ38" s="2462">
        <v>22</v>
      </c>
      <c r="AK38" s="2496" t="s">
        <v>1911</v>
      </c>
      <c r="AL38" s="2977"/>
      <c r="AM38" s="2540"/>
      <c r="AN38" s="2496"/>
      <c r="AO38" s="2496"/>
      <c r="AP38" s="2496"/>
      <c r="AQ38" s="2513"/>
      <c r="AR38" s="2541"/>
    </row>
    <row r="39" spans="1:44">
      <c r="A39" s="2462">
        <v>23</v>
      </c>
      <c r="B39" s="2463" t="s">
        <v>633</v>
      </c>
      <c r="C39" s="2496"/>
      <c r="D39" s="2496"/>
      <c r="E39" s="2496"/>
      <c r="F39" s="2496"/>
      <c r="G39" s="2541"/>
      <c r="H39" s="2462">
        <v>23</v>
      </c>
      <c r="I39" s="2496"/>
      <c r="J39" s="2540"/>
      <c r="K39" s="2536"/>
      <c r="L39" s="2538"/>
      <c r="M39" s="2536"/>
      <c r="N39" s="2538"/>
      <c r="O39" s="2536"/>
      <c r="P39" s="2538"/>
      <c r="Q39" s="2497"/>
      <c r="R39" s="2514">
        <v>23</v>
      </c>
      <c r="S39" s="2539"/>
      <c r="T39" s="2540"/>
      <c r="U39" s="2496"/>
      <c r="V39" s="2539"/>
      <c r="W39" s="2496"/>
      <c r="X39" s="2496"/>
      <c r="Y39" s="2496"/>
      <c r="Z39" s="2539"/>
      <c r="AA39" s="2462">
        <v>23</v>
      </c>
      <c r="AB39" s="2968"/>
      <c r="AC39" s="2496"/>
      <c r="AD39" s="2496"/>
      <c r="AE39" s="2496"/>
      <c r="AF39" s="2496"/>
      <c r="AG39" s="2496"/>
      <c r="AH39" s="2496"/>
      <c r="AI39" s="2496"/>
      <c r="AJ39" s="2462">
        <v>23</v>
      </c>
      <c r="AK39" s="2496"/>
      <c r="AL39" s="2539"/>
      <c r="AM39" s="2540"/>
      <c r="AN39" s="2496"/>
      <c r="AO39" s="2496"/>
      <c r="AP39" s="2496"/>
      <c r="AQ39" s="2513"/>
      <c r="AR39" s="2541"/>
    </row>
    <row r="40" spans="1:44">
      <c r="A40" s="2462">
        <v>24</v>
      </c>
      <c r="B40" s="2535" t="s">
        <v>634</v>
      </c>
      <c r="C40" s="2496" t="s">
        <v>1914</v>
      </c>
      <c r="D40" s="2496" t="s">
        <v>1911</v>
      </c>
      <c r="E40" s="2496" t="s">
        <v>1911</v>
      </c>
      <c r="F40" s="2496" t="s">
        <v>1914</v>
      </c>
      <c r="G40" s="2541" t="s">
        <v>1915</v>
      </c>
      <c r="H40" s="2462">
        <v>24</v>
      </c>
      <c r="I40" s="2496" t="s">
        <v>1915</v>
      </c>
      <c r="J40" s="2540" t="s">
        <v>1915</v>
      </c>
      <c r="K40" s="2536" t="s">
        <v>1914</v>
      </c>
      <c r="L40" s="2538"/>
      <c r="M40" s="2536" t="s">
        <v>1914</v>
      </c>
      <c r="N40" s="2538"/>
      <c r="O40" s="2536" t="s">
        <v>1914</v>
      </c>
      <c r="P40" s="2538"/>
      <c r="Q40" s="2497" t="s">
        <v>1914</v>
      </c>
      <c r="R40" s="2514">
        <v>24</v>
      </c>
      <c r="S40" s="2539" t="s">
        <v>1911</v>
      </c>
      <c r="T40" s="2540" t="s">
        <v>1915</v>
      </c>
      <c r="U40" s="3078" t="s">
        <v>1911</v>
      </c>
      <c r="V40" s="3079"/>
      <c r="W40" s="2496" t="s">
        <v>1911</v>
      </c>
      <c r="X40" s="2496" t="s">
        <v>1911</v>
      </c>
      <c r="Y40" s="3078" t="s">
        <v>1914</v>
      </c>
      <c r="Z40" s="3079"/>
      <c r="AA40" s="2462">
        <v>24</v>
      </c>
      <c r="AB40" s="2968" t="s">
        <v>1911</v>
      </c>
      <c r="AC40" s="2496" t="s">
        <v>1914</v>
      </c>
      <c r="AD40" s="2496" t="s">
        <v>1914</v>
      </c>
      <c r="AE40" s="2496" t="s">
        <v>1914</v>
      </c>
      <c r="AF40" s="2496" t="s">
        <v>1911</v>
      </c>
      <c r="AG40" s="2496" t="s">
        <v>1911</v>
      </c>
      <c r="AH40" s="2496" t="s">
        <v>1911</v>
      </c>
      <c r="AI40" s="2496" t="s">
        <v>1914</v>
      </c>
      <c r="AJ40" s="2462">
        <v>24</v>
      </c>
      <c r="AK40" s="2496" t="s">
        <v>1911</v>
      </c>
      <c r="AL40" s="2977"/>
      <c r="AM40" s="2540"/>
      <c r="AN40" s="2496"/>
      <c r="AO40" s="2496"/>
      <c r="AP40" s="2496"/>
      <c r="AQ40" s="2513"/>
      <c r="AR40" s="2541"/>
    </row>
    <row r="41" spans="1:44">
      <c r="A41" s="2462">
        <v>25</v>
      </c>
      <c r="B41" s="2535"/>
      <c r="C41" s="2496"/>
      <c r="D41" s="2496"/>
      <c r="E41" s="2496"/>
      <c r="F41" s="2496"/>
      <c r="G41" s="2541"/>
      <c r="H41" s="2462">
        <v>25</v>
      </c>
      <c r="I41" s="2496"/>
      <c r="J41" s="2540"/>
      <c r="K41" s="2536"/>
      <c r="L41" s="2538"/>
      <c r="M41" s="2536"/>
      <c r="N41" s="2538"/>
      <c r="O41" s="2536"/>
      <c r="P41" s="2538"/>
      <c r="Q41" s="2497"/>
      <c r="R41" s="2514">
        <v>25</v>
      </c>
      <c r="S41" s="2539"/>
      <c r="T41" s="2540"/>
      <c r="U41" s="2496"/>
      <c r="V41" s="2539"/>
      <c r="W41" s="2496"/>
      <c r="X41" s="2496"/>
      <c r="Y41" s="2496"/>
      <c r="Z41" s="2539"/>
      <c r="AA41" s="2462">
        <v>25</v>
      </c>
      <c r="AB41" s="2968"/>
      <c r="AC41" s="2496"/>
      <c r="AD41" s="2496"/>
      <c r="AE41" s="2496"/>
      <c r="AF41" s="2496"/>
      <c r="AG41" s="2496"/>
      <c r="AH41" s="2496"/>
      <c r="AI41" s="2496"/>
      <c r="AJ41" s="2462">
        <v>25</v>
      </c>
      <c r="AK41" s="2496"/>
      <c r="AL41" s="2539"/>
      <c r="AM41" s="2540"/>
      <c r="AN41" s="2496"/>
      <c r="AO41" s="2496"/>
      <c r="AP41" s="2496"/>
      <c r="AQ41" s="2513"/>
      <c r="AR41" s="2541"/>
    </row>
    <row r="42" spans="1:44">
      <c r="A42" s="2462">
        <v>26</v>
      </c>
      <c r="B42" s="2535" t="s">
        <v>635</v>
      </c>
      <c r="C42" s="2496" t="s">
        <v>1916</v>
      </c>
      <c r="D42" s="2496" t="s">
        <v>1917</v>
      </c>
      <c r="E42" s="2496" t="s">
        <v>1917</v>
      </c>
      <c r="F42" s="2496" t="s">
        <v>1916</v>
      </c>
      <c r="G42" s="2541" t="s">
        <v>1918</v>
      </c>
      <c r="H42" s="2462">
        <v>26</v>
      </c>
      <c r="I42" s="2496" t="s">
        <v>1918</v>
      </c>
      <c r="J42" s="2540" t="s">
        <v>1918</v>
      </c>
      <c r="K42" s="2536" t="s">
        <v>1916</v>
      </c>
      <c r="L42" s="2538"/>
      <c r="M42" s="2536" t="s">
        <v>1916</v>
      </c>
      <c r="N42" s="2538"/>
      <c r="O42" s="2536" t="s">
        <v>1916</v>
      </c>
      <c r="P42" s="2538"/>
      <c r="Q42" s="2497" t="s">
        <v>1916</v>
      </c>
      <c r="R42" s="2514">
        <v>26</v>
      </c>
      <c r="S42" s="2539" t="s">
        <v>1917</v>
      </c>
      <c r="T42" s="2540" t="s">
        <v>1918</v>
      </c>
      <c r="U42" s="3078" t="s">
        <v>1917</v>
      </c>
      <c r="V42" s="3079"/>
      <c r="W42" s="2496" t="s">
        <v>1917</v>
      </c>
      <c r="X42" s="2496" t="s">
        <v>1917</v>
      </c>
      <c r="Y42" s="3078" t="s">
        <v>1916</v>
      </c>
      <c r="Z42" s="3079"/>
      <c r="AA42" s="2462">
        <v>26</v>
      </c>
      <c r="AB42" s="2968" t="s">
        <v>1917</v>
      </c>
      <c r="AC42" s="2496" t="s">
        <v>1916</v>
      </c>
      <c r="AD42" s="2496" t="s">
        <v>1916</v>
      </c>
      <c r="AE42" s="2496" t="s">
        <v>1916</v>
      </c>
      <c r="AF42" s="2496" t="s">
        <v>1917</v>
      </c>
      <c r="AG42" s="2496" t="s">
        <v>1917</v>
      </c>
      <c r="AH42" s="2496" t="s">
        <v>1917</v>
      </c>
      <c r="AI42" s="2496" t="s">
        <v>1916</v>
      </c>
      <c r="AJ42" s="2462">
        <v>26</v>
      </c>
      <c r="AK42" s="2496" t="s">
        <v>1917</v>
      </c>
      <c r="AL42" s="2977"/>
      <c r="AM42" s="2540"/>
      <c r="AN42" s="2496"/>
      <c r="AO42" s="2496"/>
      <c r="AP42" s="2496"/>
      <c r="AQ42" s="2513"/>
      <c r="AR42" s="2541"/>
    </row>
    <row r="43" spans="1:44">
      <c r="A43" s="2462">
        <v>27</v>
      </c>
      <c r="B43" s="2535"/>
      <c r="C43" s="2496"/>
      <c r="D43" s="2496"/>
      <c r="E43" s="2496"/>
      <c r="F43" s="2571"/>
      <c r="G43" s="2541"/>
      <c r="H43" s="2462">
        <v>27</v>
      </c>
      <c r="I43" s="2446"/>
      <c r="J43" s="2540"/>
      <c r="K43" s="2446"/>
      <c r="L43" s="2540"/>
      <c r="M43" s="2446"/>
      <c r="N43" s="2540"/>
      <c r="O43" s="2446"/>
      <c r="P43" s="2540"/>
      <c r="Q43" s="2497"/>
      <c r="R43" s="2514">
        <v>27</v>
      </c>
      <c r="S43" s="2540"/>
      <c r="T43" s="2572"/>
      <c r="U43" s="2496"/>
      <c r="V43" s="2539"/>
      <c r="W43" s="2496"/>
      <c r="X43" s="2496"/>
      <c r="Y43" s="2513"/>
      <c r="Z43" s="2539"/>
      <c r="AA43" s="2462">
        <v>27</v>
      </c>
      <c r="AB43" s="2968"/>
      <c r="AC43" s="2496"/>
      <c r="AD43" s="2496"/>
      <c r="AE43" s="2496"/>
      <c r="AF43" s="2496"/>
      <c r="AG43" s="2496"/>
      <c r="AH43" s="2496"/>
      <c r="AI43" s="2496"/>
      <c r="AJ43" s="2462">
        <v>27</v>
      </c>
      <c r="AK43" s="2513"/>
      <c r="AL43" s="2539"/>
      <c r="AM43" s="2540"/>
      <c r="AN43" s="2496"/>
      <c r="AO43" s="2496"/>
      <c r="AP43" s="2496"/>
      <c r="AQ43" s="2513"/>
      <c r="AR43" s="2541"/>
    </row>
    <row r="44" spans="1:44">
      <c r="A44" s="2462">
        <v>28</v>
      </c>
      <c r="B44" s="2535" t="s">
        <v>636</v>
      </c>
      <c r="C44" s="2571"/>
      <c r="D44" s="2571"/>
      <c r="E44" s="2571"/>
      <c r="F44" s="2571"/>
      <c r="G44" s="2547"/>
      <c r="H44" s="2462">
        <v>28</v>
      </c>
      <c r="I44" s="2446"/>
      <c r="J44" s="2573"/>
      <c r="K44" s="2446"/>
      <c r="L44" s="2573"/>
      <c r="M44" s="2446"/>
      <c r="N44" s="2573"/>
      <c r="O44" s="2446"/>
      <c r="P44" s="2573"/>
      <c r="Q44" s="2574"/>
      <c r="R44" s="2514">
        <v>28</v>
      </c>
      <c r="S44" s="2573"/>
      <c r="T44" s="2572"/>
      <c r="U44" s="2571"/>
      <c r="V44" s="2575"/>
      <c r="W44" s="2571"/>
      <c r="X44" s="2571"/>
      <c r="Y44" s="2513"/>
      <c r="Z44" s="2575"/>
      <c r="AA44" s="2462">
        <v>28</v>
      </c>
      <c r="AB44" s="2974"/>
      <c r="AC44" s="2571"/>
      <c r="AD44" s="2571"/>
      <c r="AE44" s="2571"/>
      <c r="AF44" s="2571"/>
      <c r="AG44" s="2571"/>
      <c r="AH44" s="2571"/>
      <c r="AI44" s="2571"/>
      <c r="AJ44" s="2462">
        <v>28</v>
      </c>
      <c r="AK44" s="2513"/>
      <c r="AL44" s="2575"/>
      <c r="AM44" s="2573"/>
      <c r="AN44" s="2571"/>
      <c r="AO44" s="2571"/>
      <c r="AP44" s="2571"/>
      <c r="AQ44" s="2513"/>
      <c r="AR44" s="2547"/>
    </row>
    <row r="45" spans="1:44">
      <c r="A45" s="2462">
        <v>29</v>
      </c>
      <c r="B45" s="2535"/>
      <c r="C45" s="2548" t="s">
        <v>3096</v>
      </c>
      <c r="D45" s="2571"/>
      <c r="E45" s="2571"/>
      <c r="F45" s="2463"/>
      <c r="G45" s="2576"/>
      <c r="H45" s="2462">
        <v>29</v>
      </c>
      <c r="I45" s="2571" t="s">
        <v>4612</v>
      </c>
      <c r="J45" s="2573"/>
      <c r="K45" s="2571"/>
      <c r="L45" s="2573"/>
      <c r="M45" s="2571"/>
      <c r="N45" s="2573"/>
      <c r="O45" s="2571"/>
      <c r="P45" s="2573"/>
      <c r="Q45" s="2574"/>
      <c r="R45" s="2514">
        <v>29</v>
      </c>
      <c r="S45" s="2573" t="s">
        <v>637</v>
      </c>
      <c r="T45" s="2571"/>
      <c r="U45" s="2573"/>
      <c r="V45" s="2575"/>
      <c r="W45" s="2571"/>
      <c r="X45" s="2571"/>
      <c r="Y45" s="2513"/>
      <c r="Z45" s="2575"/>
      <c r="AA45" s="2462">
        <v>29</v>
      </c>
      <c r="AB45" s="2974" t="s">
        <v>637</v>
      </c>
      <c r="AC45" s="2571"/>
      <c r="AD45" s="2571"/>
      <c r="AE45" s="2571"/>
      <c r="AF45" s="2571"/>
      <c r="AG45" s="2571"/>
      <c r="AH45" s="2571"/>
      <c r="AI45" s="2571"/>
      <c r="AJ45" s="2462">
        <v>29</v>
      </c>
      <c r="AK45" s="2513"/>
      <c r="AL45" s="2575"/>
      <c r="AM45" s="2573"/>
      <c r="AN45" s="2571"/>
      <c r="AO45" s="2571"/>
      <c r="AP45" s="2571"/>
      <c r="AQ45" s="2513"/>
      <c r="AR45" s="2547"/>
    </row>
    <row r="46" spans="1:44">
      <c r="A46" s="2462">
        <v>30</v>
      </c>
      <c r="B46" s="2535" t="s">
        <v>638</v>
      </c>
      <c r="C46" s="2548"/>
      <c r="D46" s="2571"/>
      <c r="E46" s="2571"/>
      <c r="F46" s="2463"/>
      <c r="G46" s="2576"/>
      <c r="H46" s="2462">
        <v>30</v>
      </c>
      <c r="I46" s="2571" t="s">
        <v>639</v>
      </c>
      <c r="J46" s="2573"/>
      <c r="K46" s="2571"/>
      <c r="L46" s="2573"/>
      <c r="M46" s="2571"/>
      <c r="N46" s="2573"/>
      <c r="O46" s="2571"/>
      <c r="P46" s="2573"/>
      <c r="Q46" s="2574"/>
      <c r="R46" s="2514">
        <v>30</v>
      </c>
      <c r="S46" s="2573" t="s">
        <v>640</v>
      </c>
      <c r="T46" s="2571"/>
      <c r="U46" s="2573"/>
      <c r="V46" s="2575"/>
      <c r="W46" s="2571"/>
      <c r="X46" s="2571"/>
      <c r="Y46" s="2513"/>
      <c r="Z46" s="2575"/>
      <c r="AA46" s="2462">
        <v>30</v>
      </c>
      <c r="AB46" s="2974" t="s">
        <v>640</v>
      </c>
      <c r="AC46" s="2571"/>
      <c r="AD46" s="2571"/>
      <c r="AE46" s="2571"/>
      <c r="AF46" s="2571"/>
      <c r="AG46" s="2571"/>
      <c r="AH46" s="2571"/>
      <c r="AI46" s="2571"/>
      <c r="AJ46" s="2462">
        <v>30</v>
      </c>
      <c r="AK46" s="2513"/>
      <c r="AL46" s="2575"/>
      <c r="AM46" s="2573"/>
      <c r="AN46" s="2571"/>
      <c r="AO46" s="2571"/>
      <c r="AP46" s="2571"/>
      <c r="AQ46" s="2513"/>
      <c r="AR46" s="2547"/>
    </row>
    <row r="47" spans="1:44">
      <c r="A47" s="2462">
        <v>31</v>
      </c>
      <c r="B47" s="2535"/>
      <c r="C47" s="2548"/>
      <c r="D47" s="2571"/>
      <c r="E47" s="2571"/>
      <c r="F47" s="2463"/>
      <c r="G47" s="2576"/>
      <c r="H47" s="2462">
        <v>31</v>
      </c>
      <c r="I47" s="2571" t="s">
        <v>641</v>
      </c>
      <c r="J47" s="2573"/>
      <c r="K47" s="2571"/>
      <c r="L47" s="2573"/>
      <c r="M47" s="2571"/>
      <c r="N47" s="2573"/>
      <c r="O47" s="2571"/>
      <c r="P47" s="2573"/>
      <c r="Q47" s="2574"/>
      <c r="R47" s="2514">
        <v>31</v>
      </c>
      <c r="S47" s="2573" t="s">
        <v>642</v>
      </c>
      <c r="T47" s="2571"/>
      <c r="U47" s="2573"/>
      <c r="V47" s="2575"/>
      <c r="W47" s="2571"/>
      <c r="X47" s="2571"/>
      <c r="Y47" s="2513"/>
      <c r="Z47" s="2575"/>
      <c r="AA47" s="2462">
        <v>31</v>
      </c>
      <c r="AB47" s="2974" t="s">
        <v>642</v>
      </c>
      <c r="AC47" s="2571"/>
      <c r="AD47" s="2571"/>
      <c r="AE47" s="2571"/>
      <c r="AF47" s="2571"/>
      <c r="AG47" s="2571"/>
      <c r="AH47" s="2571"/>
      <c r="AI47" s="2571"/>
      <c r="AJ47" s="2462">
        <v>31</v>
      </c>
      <c r="AK47" s="2513"/>
      <c r="AL47" s="2575"/>
      <c r="AM47" s="2573"/>
      <c r="AN47" s="2571"/>
      <c r="AO47" s="2571"/>
      <c r="AP47" s="2571"/>
      <c r="AQ47" s="2513"/>
      <c r="AR47" s="2547"/>
    </row>
    <row r="48" spans="1:44">
      <c r="A48" s="2462">
        <v>32</v>
      </c>
      <c r="B48" s="2535" t="s">
        <v>643</v>
      </c>
      <c r="C48" s="2571"/>
      <c r="D48" s="2571"/>
      <c r="E48" s="2571"/>
      <c r="F48" s="2463"/>
      <c r="G48" s="2576"/>
      <c r="H48" s="2462">
        <v>32</v>
      </c>
      <c r="I48" s="2571" t="s">
        <v>644</v>
      </c>
      <c r="J48" s="2573"/>
      <c r="K48" s="2571"/>
      <c r="L48" s="2573"/>
      <c r="M48" s="2571"/>
      <c r="N48" s="2573"/>
      <c r="O48" s="2571"/>
      <c r="P48" s="2573"/>
      <c r="Q48" s="2574"/>
      <c r="R48" s="2514">
        <v>32</v>
      </c>
      <c r="S48" s="2573" t="s">
        <v>645</v>
      </c>
      <c r="T48" s="2571"/>
      <c r="U48" s="2573"/>
      <c r="V48" s="2575"/>
      <c r="W48" s="2571"/>
      <c r="X48" s="2571"/>
      <c r="Y48" s="2513"/>
      <c r="Z48" s="2575"/>
      <c r="AA48" s="2462">
        <v>32</v>
      </c>
      <c r="AB48" s="2974" t="s">
        <v>645</v>
      </c>
      <c r="AC48" s="2571"/>
      <c r="AD48" s="2571"/>
      <c r="AE48" s="2571"/>
      <c r="AF48" s="2571"/>
      <c r="AG48" s="2571"/>
      <c r="AH48" s="2571"/>
      <c r="AI48" s="2571"/>
      <c r="AJ48" s="2462">
        <v>32</v>
      </c>
      <c r="AK48" s="2513"/>
      <c r="AL48" s="2575"/>
      <c r="AM48" s="2573"/>
      <c r="AN48" s="2571"/>
      <c r="AO48" s="2571"/>
      <c r="AP48" s="2571"/>
      <c r="AQ48" s="2513"/>
      <c r="AR48" s="2547"/>
    </row>
    <row r="49" spans="1:44">
      <c r="A49" s="2462">
        <v>33</v>
      </c>
      <c r="B49" s="2535"/>
      <c r="C49" s="2571"/>
      <c r="D49" s="2571"/>
      <c r="E49" s="2571"/>
      <c r="F49" s="2463"/>
      <c r="G49" s="2576"/>
      <c r="H49" s="2462">
        <v>33</v>
      </c>
      <c r="I49" s="2446"/>
      <c r="J49" s="2573"/>
      <c r="K49" s="2446"/>
      <c r="L49" s="2573"/>
      <c r="M49" s="2446"/>
      <c r="N49" s="2573"/>
      <c r="O49" s="2446"/>
      <c r="P49" s="2573"/>
      <c r="Q49" s="2574"/>
      <c r="R49" s="2514">
        <v>33</v>
      </c>
      <c r="S49" s="2573"/>
      <c r="T49" s="2577"/>
      <c r="U49" s="2573"/>
      <c r="V49" s="2575"/>
      <c r="W49" s="2571"/>
      <c r="X49" s="2571"/>
      <c r="Y49" s="2513"/>
      <c r="Z49" s="2575"/>
      <c r="AA49" s="2462">
        <v>33</v>
      </c>
      <c r="AB49" s="2974"/>
      <c r="AC49" s="2571"/>
      <c r="AD49" s="2571"/>
      <c r="AE49" s="2571"/>
      <c r="AF49" s="2571"/>
      <c r="AG49" s="2571"/>
      <c r="AH49" s="2571"/>
      <c r="AI49" s="2571"/>
      <c r="AJ49" s="2462">
        <v>33</v>
      </c>
      <c r="AK49" s="2513"/>
      <c r="AL49" s="2575"/>
      <c r="AM49" s="2573"/>
      <c r="AN49" s="2571"/>
      <c r="AO49" s="2571"/>
      <c r="AP49" s="2571"/>
      <c r="AQ49" s="2513"/>
      <c r="AR49" s="2547"/>
    </row>
    <row r="50" spans="1:44">
      <c r="A50" s="2462">
        <v>34</v>
      </c>
      <c r="B50" s="2535" t="s">
        <v>646</v>
      </c>
      <c r="C50" s="2571"/>
      <c r="D50" s="2571"/>
      <c r="E50" s="2571"/>
      <c r="F50" s="2463"/>
      <c r="G50" s="2576"/>
      <c r="H50" s="2462">
        <v>34</v>
      </c>
      <c r="I50" s="2571" t="s">
        <v>5289</v>
      </c>
      <c r="J50" s="2573"/>
      <c r="K50" s="2571"/>
      <c r="L50" s="2573"/>
      <c r="M50" s="2571"/>
      <c r="N50" s="2573"/>
      <c r="O50" s="2571"/>
      <c r="P50" s="2573"/>
      <c r="Q50" s="2574"/>
      <c r="R50" s="2514">
        <v>34</v>
      </c>
      <c r="S50" s="2571" t="s">
        <v>5296</v>
      </c>
      <c r="T50" s="2571"/>
      <c r="U50" s="2573"/>
      <c r="V50" s="2575"/>
      <c r="W50" s="2571"/>
      <c r="X50" s="2571"/>
      <c r="Y50" s="2513"/>
      <c r="Z50" s="2575"/>
      <c r="AA50" s="2462">
        <v>34</v>
      </c>
      <c r="AB50" s="2974" t="s">
        <v>5300</v>
      </c>
      <c r="AC50" s="2571"/>
      <c r="AD50" s="2571"/>
      <c r="AE50" s="2571"/>
      <c r="AF50" s="2573"/>
      <c r="AG50" s="2571"/>
      <c r="AH50" s="2571"/>
      <c r="AI50" s="2571"/>
      <c r="AJ50" s="2462">
        <v>34</v>
      </c>
      <c r="AK50" s="2513"/>
      <c r="AL50" s="2575"/>
      <c r="AM50" s="2573"/>
      <c r="AN50" s="2571"/>
      <c r="AO50" s="2571"/>
      <c r="AP50" s="2571"/>
      <c r="AQ50" s="2513"/>
      <c r="AR50" s="2547"/>
    </row>
    <row r="51" spans="1:44">
      <c r="A51" s="2462">
        <v>35</v>
      </c>
      <c r="B51" s="2535"/>
      <c r="C51" s="2571"/>
      <c r="D51" s="2571"/>
      <c r="E51" s="2571"/>
      <c r="F51" s="2463"/>
      <c r="G51" s="2576"/>
      <c r="H51" s="2462">
        <v>35</v>
      </c>
      <c r="I51" s="2446"/>
      <c r="J51" s="2451"/>
      <c r="K51" s="2446"/>
      <c r="L51" s="2451"/>
      <c r="M51" s="2446"/>
      <c r="N51" s="2451"/>
      <c r="O51" s="2446"/>
      <c r="P51" s="2451"/>
      <c r="Q51" s="2574"/>
      <c r="R51" s="2514">
        <v>35</v>
      </c>
      <c r="S51" s="2573"/>
      <c r="T51" s="2577"/>
      <c r="U51" s="2573"/>
      <c r="V51" s="2575"/>
      <c r="W51" s="2571"/>
      <c r="X51" s="2571"/>
      <c r="Y51" s="2571"/>
      <c r="Z51" s="2547"/>
      <c r="AA51" s="2462">
        <v>35</v>
      </c>
      <c r="AB51" s="2974"/>
      <c r="AC51" s="2571"/>
      <c r="AD51" s="2571"/>
      <c r="AE51" s="2571"/>
      <c r="AF51" s="2571"/>
      <c r="AG51" s="2571"/>
      <c r="AH51" s="2571"/>
      <c r="AI51" s="2571"/>
      <c r="AJ51" s="2462">
        <v>35</v>
      </c>
      <c r="AK51" s="2513"/>
      <c r="AL51" s="2575"/>
      <c r="AM51" s="2573"/>
      <c r="AN51" s="2571"/>
      <c r="AO51" s="2571"/>
      <c r="AP51" s="2571"/>
      <c r="AQ51" s="2513"/>
      <c r="AR51" s="2547"/>
    </row>
    <row r="52" spans="1:44">
      <c r="A52" s="2462">
        <v>36</v>
      </c>
      <c r="B52" s="2535" t="s">
        <v>741</v>
      </c>
      <c r="C52" s="2571"/>
      <c r="D52" s="2571"/>
      <c r="E52" s="2571"/>
      <c r="F52" s="2463"/>
      <c r="G52" s="2576"/>
      <c r="H52" s="2462">
        <v>36</v>
      </c>
      <c r="I52" s="2446"/>
      <c r="J52" s="2451"/>
      <c r="K52" s="2446"/>
      <c r="L52" s="2451"/>
      <c r="M52" s="2446"/>
      <c r="N52" s="2451"/>
      <c r="O52" s="2446"/>
      <c r="P52" s="2451"/>
      <c r="Q52" s="2574"/>
      <c r="R52" s="2514">
        <v>36</v>
      </c>
      <c r="S52" s="2573"/>
      <c r="T52" s="2577"/>
      <c r="U52" s="2573"/>
      <c r="V52" s="2575"/>
      <c r="W52" s="2571"/>
      <c r="X52" s="2571"/>
      <c r="Y52" s="2571"/>
      <c r="Z52" s="2547"/>
      <c r="AA52" s="2462">
        <v>36</v>
      </c>
      <c r="AB52" s="2974" t="s">
        <v>5301</v>
      </c>
      <c r="AC52" s="2571"/>
      <c r="AD52" s="2571"/>
      <c r="AE52" s="2571"/>
      <c r="AF52" s="2571"/>
      <c r="AG52" s="2571"/>
      <c r="AH52" s="2571"/>
      <c r="AI52" s="2571"/>
      <c r="AJ52" s="2462">
        <v>36</v>
      </c>
      <c r="AK52" s="2513"/>
      <c r="AL52" s="2575"/>
      <c r="AM52" s="2573"/>
      <c r="AN52" s="2571"/>
      <c r="AO52" s="2571"/>
      <c r="AP52" s="2571"/>
      <c r="AQ52" s="2513"/>
      <c r="AR52" s="2547"/>
    </row>
    <row r="53" spans="1:44">
      <c r="A53" s="2462">
        <v>37</v>
      </c>
      <c r="B53" s="2535" t="s">
        <v>2633</v>
      </c>
      <c r="C53" s="2571"/>
      <c r="D53" s="2571"/>
      <c r="E53" s="2571"/>
      <c r="F53" s="2463"/>
      <c r="G53" s="2576"/>
      <c r="H53" s="2462">
        <v>37</v>
      </c>
      <c r="I53" s="2446"/>
      <c r="J53" s="2451"/>
      <c r="K53" s="2446"/>
      <c r="L53" s="2451"/>
      <c r="M53" s="2446"/>
      <c r="N53" s="2451"/>
      <c r="O53" s="2446"/>
      <c r="P53" s="2451"/>
      <c r="Q53" s="2574"/>
      <c r="R53" s="2514">
        <v>37</v>
      </c>
      <c r="S53" s="2573"/>
      <c r="T53" s="2577"/>
      <c r="U53" s="2573"/>
      <c r="V53" s="2575"/>
      <c r="W53" s="2571"/>
      <c r="X53" s="2571"/>
      <c r="Y53" s="2571"/>
      <c r="Z53" s="2547"/>
      <c r="AA53" s="2462">
        <v>37</v>
      </c>
      <c r="AB53" s="2974"/>
      <c r="AC53" s="2571"/>
      <c r="AD53" s="2571"/>
      <c r="AE53" s="2571"/>
      <c r="AF53" s="2571"/>
      <c r="AG53" s="2571"/>
      <c r="AH53" s="2571"/>
      <c r="AI53" s="2574"/>
      <c r="AJ53" s="2462">
        <v>37</v>
      </c>
      <c r="AK53" s="2513"/>
      <c r="AL53" s="2575"/>
      <c r="AM53" s="2573"/>
      <c r="AN53" s="2571"/>
      <c r="AO53" s="2571"/>
      <c r="AP53" s="2571"/>
      <c r="AQ53" s="2513"/>
      <c r="AR53" s="2547"/>
    </row>
    <row r="54" spans="1:44">
      <c r="A54" s="2462">
        <v>38</v>
      </c>
      <c r="B54" s="2535" t="s">
        <v>2634</v>
      </c>
      <c r="C54" s="2571"/>
      <c r="D54" s="2571"/>
      <c r="E54" s="2571"/>
      <c r="F54" s="2463"/>
      <c r="G54" s="2576"/>
      <c r="H54" s="2462">
        <v>38</v>
      </c>
      <c r="I54" s="2446"/>
      <c r="J54" s="2451"/>
      <c r="K54" s="2446"/>
      <c r="L54" s="2451"/>
      <c r="M54" s="2446"/>
      <c r="N54" s="2451"/>
      <c r="O54" s="2446"/>
      <c r="P54" s="2451"/>
      <c r="Q54" s="2574"/>
      <c r="R54" s="2514">
        <v>38</v>
      </c>
      <c r="S54" s="2573"/>
      <c r="T54" s="2577"/>
      <c r="U54" s="2578"/>
      <c r="V54" s="2579"/>
      <c r="W54" s="2571"/>
      <c r="X54" s="2571"/>
      <c r="Y54" s="2571"/>
      <c r="Z54" s="2966"/>
      <c r="AA54" s="2462">
        <v>38</v>
      </c>
      <c r="AB54" s="2975"/>
      <c r="AC54" s="2571"/>
      <c r="AD54" s="2571"/>
      <c r="AE54" s="2571"/>
      <c r="AF54" s="2571"/>
      <c r="AG54" s="2571"/>
      <c r="AH54" s="2571"/>
      <c r="AI54" s="2574"/>
      <c r="AJ54" s="2462">
        <v>38</v>
      </c>
      <c r="AK54" s="2513"/>
      <c r="AL54" s="2579"/>
      <c r="AM54" s="2573"/>
      <c r="AN54" s="2571"/>
      <c r="AO54" s="2571"/>
      <c r="AP54" s="2571"/>
      <c r="AQ54" s="2513"/>
      <c r="AR54" s="2547"/>
    </row>
    <row r="55" spans="1:44">
      <c r="A55" s="2462">
        <v>39</v>
      </c>
      <c r="B55" s="2464" t="s">
        <v>3440</v>
      </c>
      <c r="C55" s="2464"/>
      <c r="D55" s="2580"/>
      <c r="E55" s="2580"/>
      <c r="F55" s="2580"/>
      <c r="G55" s="2581"/>
      <c r="H55" s="2462">
        <v>39</v>
      </c>
      <c r="I55" s="2444"/>
      <c r="J55" s="2445"/>
      <c r="K55" s="2445"/>
      <c r="L55" s="2445"/>
      <c r="M55" s="2445"/>
      <c r="N55" s="2445"/>
      <c r="O55" s="2582"/>
      <c r="P55" s="2582"/>
      <c r="Q55" s="2455"/>
      <c r="R55" s="2514">
        <v>39</v>
      </c>
      <c r="S55" s="2445"/>
      <c r="T55" s="2583"/>
      <c r="U55" s="2582"/>
      <c r="V55" s="2582"/>
      <c r="W55" s="2582"/>
      <c r="X55" s="2582"/>
      <c r="Y55" s="2582"/>
      <c r="Z55" s="2584"/>
      <c r="AA55" s="2462">
        <v>39</v>
      </c>
      <c r="AB55" s="2585"/>
      <c r="AC55" s="2582"/>
      <c r="AD55" s="2582"/>
      <c r="AE55" s="2582"/>
      <c r="AF55" s="2582"/>
      <c r="AG55" s="2582"/>
      <c r="AH55" s="2582"/>
      <c r="AI55" s="2584"/>
      <c r="AJ55" s="2462">
        <v>39</v>
      </c>
      <c r="AK55" s="2510"/>
      <c r="AL55" s="2582"/>
      <c r="AM55" s="2582"/>
      <c r="AN55" s="2582"/>
      <c r="AO55" s="2582"/>
      <c r="AP55" s="2582"/>
      <c r="AQ55" s="2583"/>
      <c r="AR55" s="2584"/>
    </row>
    <row r="56" spans="1:44">
      <c r="A56" s="2462">
        <v>40</v>
      </c>
      <c r="B56" s="2535" t="s">
        <v>2635</v>
      </c>
      <c r="C56" s="2463"/>
      <c r="D56" s="2516"/>
      <c r="E56" s="2516"/>
      <c r="F56" s="2516"/>
      <c r="G56" s="2576"/>
      <c r="H56" s="2462">
        <v>40</v>
      </c>
      <c r="I56" s="2446"/>
      <c r="J56" s="2451"/>
      <c r="K56" s="2451"/>
      <c r="L56" s="2451"/>
      <c r="M56" s="2451"/>
      <c r="N56" s="2451"/>
      <c r="O56" s="2573"/>
      <c r="P56" s="2573"/>
      <c r="Q56" s="2453"/>
      <c r="R56" s="2514">
        <v>40</v>
      </c>
      <c r="S56" s="2451"/>
      <c r="T56" s="2451"/>
      <c r="U56" s="2573"/>
      <c r="V56" s="2573"/>
      <c r="W56" s="2573"/>
      <c r="X56" s="2573"/>
      <c r="Y56" s="2573"/>
      <c r="Z56" s="2547"/>
      <c r="AA56" s="2462">
        <v>40</v>
      </c>
      <c r="AB56" s="2571"/>
      <c r="AC56" s="2573"/>
      <c r="AD56" s="2573"/>
      <c r="AE56" s="2573"/>
      <c r="AF56" s="2573"/>
      <c r="AG56" s="2573"/>
      <c r="AH56" s="2573"/>
      <c r="AI56" s="2547"/>
      <c r="AJ56" s="2462">
        <v>40</v>
      </c>
      <c r="AK56" s="2513"/>
      <c r="AL56" s="2573"/>
      <c r="AM56" s="2573"/>
      <c r="AN56" s="2573"/>
      <c r="AO56" s="2573"/>
      <c r="AP56" s="2573"/>
      <c r="AQ56" s="2980"/>
      <c r="AR56" s="2547"/>
    </row>
    <row r="57" spans="1:44">
      <c r="A57" s="2462">
        <v>41</v>
      </c>
      <c r="B57" s="2535" t="s">
        <v>2636</v>
      </c>
      <c r="C57" s="2463"/>
      <c r="D57" s="2516"/>
      <c r="E57" s="2516"/>
      <c r="F57" s="2516"/>
      <c r="G57" s="2576"/>
      <c r="H57" s="2462">
        <v>41</v>
      </c>
      <c r="I57" s="2446"/>
      <c r="J57" s="2451"/>
      <c r="K57" s="2451"/>
      <c r="L57" s="2451"/>
      <c r="M57" s="2451"/>
      <c r="N57" s="2451"/>
      <c r="O57" s="2451"/>
      <c r="P57" s="2451"/>
      <c r="Q57" s="2453"/>
      <c r="R57" s="2514">
        <v>41</v>
      </c>
      <c r="S57" s="2451"/>
      <c r="T57" s="2451"/>
      <c r="U57" s="2451"/>
      <c r="V57" s="2451"/>
      <c r="W57" s="2451"/>
      <c r="X57" s="2451"/>
      <c r="Y57" s="2451"/>
      <c r="Z57" s="2453"/>
      <c r="AA57" s="2462">
        <v>41</v>
      </c>
      <c r="AB57" s="2446"/>
      <c r="AC57" s="2451"/>
      <c r="AD57" s="2451"/>
      <c r="AE57" s="2451"/>
      <c r="AF57" s="2451"/>
      <c r="AG57" s="2451"/>
      <c r="AH57" s="2451"/>
      <c r="AI57" s="2453"/>
      <c r="AJ57" s="2462">
        <v>41</v>
      </c>
      <c r="AK57" s="2513"/>
      <c r="AL57" s="2451"/>
      <c r="AM57" s="2451"/>
      <c r="AN57" s="2451"/>
      <c r="AO57" s="2451"/>
      <c r="AP57" s="2451"/>
      <c r="AQ57" s="2980"/>
      <c r="AR57" s="2453"/>
    </row>
    <row r="58" spans="1:44">
      <c r="A58" s="2462">
        <v>42</v>
      </c>
      <c r="B58" s="2535" t="s">
        <v>2637</v>
      </c>
      <c r="C58" s="2463"/>
      <c r="D58" s="2516"/>
      <c r="E58" s="2516"/>
      <c r="F58" s="2516"/>
      <c r="G58" s="2576"/>
      <c r="H58" s="2462">
        <v>42</v>
      </c>
      <c r="I58" s="2446"/>
      <c r="J58" s="2451"/>
      <c r="K58" s="2451"/>
      <c r="L58" s="2451"/>
      <c r="M58" s="2451"/>
      <c r="N58" s="2451"/>
      <c r="O58" s="2451"/>
      <c r="P58" s="2451"/>
      <c r="Q58" s="2453"/>
      <c r="R58" s="2514">
        <v>42</v>
      </c>
      <c r="S58" s="2451"/>
      <c r="T58" s="2451"/>
      <c r="U58" s="2451"/>
      <c r="V58" s="2451"/>
      <c r="W58" s="2451"/>
      <c r="X58" s="2451"/>
      <c r="Y58" s="2451"/>
      <c r="Z58" s="2453"/>
      <c r="AA58" s="2462">
        <v>42</v>
      </c>
      <c r="AB58" s="2446"/>
      <c r="AC58" s="2451"/>
      <c r="AD58" s="2451"/>
      <c r="AE58" s="2451"/>
      <c r="AF58" s="2451"/>
      <c r="AG58" s="2451"/>
      <c r="AH58" s="2451"/>
      <c r="AI58" s="2453"/>
      <c r="AJ58" s="2462">
        <v>42</v>
      </c>
      <c r="AK58" s="2513"/>
      <c r="AL58" s="2451"/>
      <c r="AM58" s="2451"/>
      <c r="AN58" s="2451"/>
      <c r="AO58" s="2451"/>
      <c r="AP58" s="2451"/>
      <c r="AQ58" s="2980"/>
      <c r="AR58" s="2453"/>
    </row>
    <row r="59" spans="1:44">
      <c r="A59" s="2462">
        <v>43</v>
      </c>
      <c r="B59" s="2535" t="s">
        <v>4350</v>
      </c>
      <c r="C59" s="2463"/>
      <c r="D59" s="2516"/>
      <c r="E59" s="2516"/>
      <c r="F59" s="2516"/>
      <c r="G59" s="2576"/>
      <c r="H59" s="2462">
        <v>43</v>
      </c>
      <c r="I59" s="2446"/>
      <c r="J59" s="2451"/>
      <c r="K59" s="2451"/>
      <c r="L59" s="2451"/>
      <c r="M59" s="2451"/>
      <c r="N59" s="2451"/>
      <c r="O59" s="2451"/>
      <c r="P59" s="2451"/>
      <c r="Q59" s="2453"/>
      <c r="R59" s="2514">
        <v>43</v>
      </c>
      <c r="S59" s="2451"/>
      <c r="T59" s="2451"/>
      <c r="U59" s="2451"/>
      <c r="V59" s="2451"/>
      <c r="W59" s="2451"/>
      <c r="X59" s="2451"/>
      <c r="Y59" s="2451"/>
      <c r="Z59" s="2453"/>
      <c r="AA59" s="2462">
        <v>43</v>
      </c>
      <c r="AB59" s="2446"/>
      <c r="AC59" s="2451"/>
      <c r="AD59" s="2451"/>
      <c r="AE59" s="2451"/>
      <c r="AF59" s="2451"/>
      <c r="AG59" s="2451"/>
      <c r="AH59" s="2451"/>
      <c r="AI59" s="2453"/>
      <c r="AJ59" s="2462">
        <v>43</v>
      </c>
      <c r="AK59" s="2513"/>
      <c r="AL59" s="2451"/>
      <c r="AM59" s="2451"/>
      <c r="AN59" s="2451"/>
      <c r="AO59" s="2451"/>
      <c r="AP59" s="2451"/>
      <c r="AQ59" s="2980"/>
      <c r="AR59" s="2453"/>
    </row>
    <row r="60" spans="1:44">
      <c r="A60" s="2462">
        <v>44</v>
      </c>
      <c r="B60" s="2535" t="s">
        <v>4351</v>
      </c>
      <c r="C60" s="2463"/>
      <c r="D60" s="2516"/>
      <c r="E60" s="2516"/>
      <c r="F60" s="2516"/>
      <c r="G60" s="2576"/>
      <c r="H60" s="2462">
        <v>44</v>
      </c>
      <c r="I60" s="2446"/>
      <c r="J60" s="2451"/>
      <c r="K60" s="2451"/>
      <c r="L60" s="2451"/>
      <c r="M60" s="2451"/>
      <c r="N60" s="2451"/>
      <c r="O60" s="2451"/>
      <c r="P60" s="2451"/>
      <c r="Q60" s="2453"/>
      <c r="R60" s="2514">
        <v>44</v>
      </c>
      <c r="S60" s="2451"/>
      <c r="T60" s="2451"/>
      <c r="U60" s="2451"/>
      <c r="V60" s="2451"/>
      <c r="W60" s="2451"/>
      <c r="X60" s="2451"/>
      <c r="Y60" s="2451"/>
      <c r="Z60" s="2453"/>
      <c r="AA60" s="2462">
        <v>44</v>
      </c>
      <c r="AB60" s="2978"/>
      <c r="AC60" s="2979"/>
      <c r="AD60" s="2979"/>
      <c r="AE60" s="2979"/>
      <c r="AF60" s="2979"/>
      <c r="AG60" s="2979"/>
      <c r="AH60" s="2451"/>
      <c r="AI60" s="2453"/>
      <c r="AJ60" s="2462">
        <v>44</v>
      </c>
      <c r="AK60" s="2586"/>
      <c r="AL60" s="2979"/>
      <c r="AM60" s="2979"/>
      <c r="AN60" s="2979"/>
      <c r="AO60" s="2979"/>
      <c r="AP60" s="2979"/>
      <c r="AQ60" s="2981"/>
      <c r="AR60" s="2453"/>
    </row>
    <row r="61" spans="1:44">
      <c r="A61" s="2454"/>
      <c r="B61" s="2445"/>
      <c r="C61" s="2445"/>
      <c r="D61" s="2445"/>
      <c r="E61" s="2445"/>
      <c r="F61" s="2445"/>
      <c r="G61" s="2455"/>
      <c r="H61" s="2454"/>
      <c r="I61" s="2444"/>
      <c r="J61" s="2445"/>
      <c r="K61" s="2445"/>
      <c r="L61" s="2445"/>
      <c r="M61" s="2445"/>
      <c r="N61" s="2445"/>
      <c r="O61" s="2445"/>
      <c r="P61" s="2445"/>
      <c r="Q61" s="2455"/>
      <c r="R61" s="2508"/>
      <c r="S61" s="2445"/>
      <c r="T61" s="2583"/>
      <c r="U61" s="2445"/>
      <c r="V61" s="2445"/>
      <c r="W61" s="2445"/>
      <c r="X61" s="2445"/>
      <c r="Y61" s="2445"/>
      <c r="Z61" s="2455"/>
      <c r="AA61" s="2454"/>
      <c r="AB61" s="2510"/>
      <c r="AC61" s="2445"/>
      <c r="AD61" s="2445"/>
      <c r="AE61" s="2445"/>
      <c r="AF61" s="2445"/>
      <c r="AG61" s="2445"/>
      <c r="AH61" s="2583"/>
      <c r="AI61" s="2455"/>
      <c r="AJ61" s="2454"/>
      <c r="AK61" s="2510"/>
      <c r="AL61" s="2445"/>
      <c r="AM61" s="2445"/>
      <c r="AN61" s="2445"/>
      <c r="AO61" s="2445"/>
      <c r="AP61" s="2445"/>
      <c r="AQ61" s="2583"/>
      <c r="AR61" s="2455"/>
    </row>
    <row r="62" spans="1:44">
      <c r="A62" s="2452"/>
      <c r="B62" s="2451" t="s">
        <v>3939</v>
      </c>
      <c r="C62" s="2451"/>
      <c r="D62" s="2451"/>
      <c r="E62" s="2451"/>
      <c r="F62" s="2451"/>
      <c r="G62" s="2453"/>
      <c r="H62" s="2452"/>
      <c r="I62" s="2446"/>
      <c r="J62" s="2451"/>
      <c r="K62" s="2451"/>
      <c r="L62" s="2451"/>
      <c r="M62" s="2451"/>
      <c r="N62" s="2451"/>
      <c r="O62" s="2451"/>
      <c r="P62" s="2451"/>
      <c r="Q62" s="2453"/>
      <c r="R62" s="2511"/>
      <c r="S62" s="2451"/>
      <c r="T62" s="2451"/>
      <c r="U62" s="2451"/>
      <c r="V62" s="2451"/>
      <c r="W62" s="2451"/>
      <c r="X62" s="2451"/>
      <c r="Y62" s="2451"/>
      <c r="Z62" s="2453"/>
      <c r="AA62" s="2452"/>
      <c r="AB62" s="2513"/>
      <c r="AC62" s="2451"/>
      <c r="AD62" s="2451"/>
      <c r="AE62" s="2451"/>
      <c r="AF62" s="2451"/>
      <c r="AG62" s="2451"/>
      <c r="AH62" s="2451"/>
      <c r="AI62" s="2453"/>
      <c r="AJ62" s="2452"/>
      <c r="AK62" s="2513"/>
      <c r="AL62" s="2451"/>
      <c r="AM62" s="2451"/>
      <c r="AN62" s="2451"/>
      <c r="AO62" s="2451"/>
      <c r="AP62" s="2451"/>
      <c r="AQ62" s="2451"/>
      <c r="AR62" s="2453"/>
    </row>
    <row r="63" spans="1:44">
      <c r="A63" s="2452"/>
      <c r="B63" s="2451" t="s">
        <v>4352</v>
      </c>
      <c r="C63" s="2451"/>
      <c r="D63" s="2451"/>
      <c r="E63" s="2451"/>
      <c r="F63" s="2451"/>
      <c r="G63" s="2453"/>
      <c r="H63" s="2452"/>
      <c r="I63" s="2446"/>
      <c r="J63" s="2451"/>
      <c r="K63" s="2451"/>
      <c r="L63" s="2451"/>
      <c r="M63" s="2451"/>
      <c r="N63" s="2451"/>
      <c r="O63" s="2451"/>
      <c r="P63" s="2451"/>
      <c r="Q63" s="2453"/>
      <c r="R63" s="2511"/>
      <c r="S63" s="2451"/>
      <c r="T63" s="2451"/>
      <c r="U63" s="2451"/>
      <c r="V63" s="2451"/>
      <c r="W63" s="2451"/>
      <c r="X63" s="2451"/>
      <c r="Y63" s="2451"/>
      <c r="Z63" s="2453"/>
      <c r="AA63" s="2452"/>
      <c r="AB63" s="2513"/>
      <c r="AC63" s="2451"/>
      <c r="AD63" s="2451"/>
      <c r="AE63" s="2451"/>
      <c r="AF63" s="2451"/>
      <c r="AG63" s="2451"/>
      <c r="AH63" s="2451"/>
      <c r="AI63" s="2453"/>
      <c r="AJ63" s="2452"/>
      <c r="AK63" s="2513"/>
      <c r="AL63" s="2451"/>
      <c r="AM63" s="2451"/>
      <c r="AN63" s="2451"/>
      <c r="AO63" s="2451"/>
      <c r="AP63" s="2451"/>
      <c r="AQ63" s="2451"/>
      <c r="AR63" s="2453"/>
    </row>
    <row r="64" spans="1:44" ht="15.75" thickBot="1">
      <c r="A64" s="2587"/>
      <c r="B64" s="2588"/>
      <c r="C64" s="2588"/>
      <c r="D64" s="2588"/>
      <c r="E64" s="2588"/>
      <c r="F64" s="2588"/>
      <c r="G64" s="2589"/>
      <c r="H64" s="2587"/>
      <c r="I64" s="2501"/>
      <c r="J64" s="2588"/>
      <c r="K64" s="2588"/>
      <c r="L64" s="2588"/>
      <c r="M64" s="2588"/>
      <c r="N64" s="2588"/>
      <c r="O64" s="2588"/>
      <c r="P64" s="2588"/>
      <c r="Q64" s="2589"/>
      <c r="R64" s="2590"/>
      <c r="S64" s="2588"/>
      <c r="T64" s="2588"/>
      <c r="U64" s="2588"/>
      <c r="V64" s="2588"/>
      <c r="W64" s="2588"/>
      <c r="X64" s="2588"/>
      <c r="Y64" s="2588"/>
      <c r="Z64" s="2589"/>
      <c r="AA64" s="2587"/>
      <c r="AB64" s="2591"/>
      <c r="AC64" s="2588"/>
      <c r="AD64" s="2588"/>
      <c r="AE64" s="2588"/>
      <c r="AF64" s="2588"/>
      <c r="AG64" s="2588"/>
      <c r="AH64" s="2588"/>
      <c r="AI64" s="2589"/>
      <c r="AJ64" s="2587"/>
      <c r="AK64" s="2591"/>
      <c r="AL64" s="2588"/>
      <c r="AM64" s="2588"/>
      <c r="AN64" s="2588"/>
      <c r="AO64" s="2588"/>
      <c r="AP64" s="2588"/>
      <c r="AQ64" s="2588"/>
      <c r="AR64" s="2589"/>
    </row>
    <row r="65" spans="1:44">
      <c r="A65" s="2449"/>
      <c r="B65" s="2449"/>
      <c r="C65" s="2449"/>
      <c r="D65" s="2449"/>
      <c r="E65" s="2449"/>
      <c r="F65" s="2592" t="s">
        <v>4066</v>
      </c>
      <c r="G65" s="2592"/>
      <c r="H65" s="2449"/>
      <c r="I65" s="2449"/>
      <c r="J65" s="2449"/>
      <c r="K65" s="2449"/>
      <c r="L65" s="2449"/>
      <c r="M65" s="2449"/>
      <c r="N65" s="2449"/>
      <c r="O65" s="2449"/>
      <c r="P65" s="2592" t="s">
        <v>4066</v>
      </c>
      <c r="Q65" s="2592"/>
      <c r="R65" s="2451"/>
      <c r="S65" s="2451"/>
      <c r="T65" s="2451"/>
      <c r="U65" s="2451"/>
      <c r="V65" s="2451"/>
      <c r="W65" s="2451"/>
      <c r="X65" s="2451"/>
      <c r="Y65" s="2460" t="s">
        <v>4066</v>
      </c>
      <c r="Z65" s="2460"/>
      <c r="AA65" s="2449"/>
      <c r="AB65" s="2506"/>
      <c r="AC65" s="2449"/>
      <c r="AD65" s="2449"/>
      <c r="AE65" s="2449"/>
      <c r="AF65" s="2449"/>
      <c r="AG65" s="2592" t="s">
        <v>4066</v>
      </c>
      <c r="AH65" s="2506"/>
      <c r="AI65" s="2592"/>
      <c r="AJ65" s="2449"/>
      <c r="AK65" s="2506"/>
      <c r="AL65" s="2449"/>
      <c r="AM65" s="2449"/>
      <c r="AN65" s="2449"/>
      <c r="AO65" s="2449"/>
      <c r="AP65" s="2592" t="s">
        <v>4066</v>
      </c>
      <c r="AQ65" s="2506"/>
      <c r="AR65" s="2592"/>
    </row>
    <row r="66" spans="1:44">
      <c r="A66" s="2489" t="s">
        <v>2780</v>
      </c>
      <c r="B66" s="2489"/>
      <c r="C66" s="2489"/>
      <c r="D66" s="2489"/>
      <c r="E66" s="2489"/>
      <c r="F66" s="2489"/>
      <c r="G66" s="2489"/>
      <c r="H66" s="2489" t="s">
        <v>2781</v>
      </c>
      <c r="I66" s="2489"/>
      <c r="J66" s="2489"/>
      <c r="K66" s="2489"/>
      <c r="L66" s="2489"/>
      <c r="M66" s="2489"/>
      <c r="N66" s="2489"/>
      <c r="O66" s="2489"/>
      <c r="P66" s="2489"/>
      <c r="Q66" s="2489"/>
      <c r="R66" s="2489" t="s">
        <v>2782</v>
      </c>
      <c r="S66" s="2489"/>
      <c r="T66" s="2489"/>
      <c r="U66" s="2489"/>
      <c r="V66" s="2489"/>
      <c r="W66" s="2489"/>
      <c r="X66" s="2489"/>
      <c r="Y66" s="2489"/>
      <c r="Z66" s="2489"/>
      <c r="AA66" s="2489" t="s">
        <v>2783</v>
      </c>
      <c r="AB66" s="2489"/>
      <c r="AC66" s="2489"/>
      <c r="AD66" s="2489"/>
      <c r="AE66" s="2489"/>
      <c r="AF66" s="2489"/>
      <c r="AG66" s="2489"/>
      <c r="AH66" s="2489"/>
      <c r="AI66" s="2489"/>
      <c r="AJ66" s="2489" t="s">
        <v>2784</v>
      </c>
      <c r="AK66" s="2489"/>
      <c r="AL66" s="2489"/>
      <c r="AM66" s="2489"/>
      <c r="AN66" s="2489"/>
      <c r="AO66" s="2489"/>
      <c r="AP66" s="2489"/>
      <c r="AQ66" s="2489"/>
      <c r="AR66" s="2489"/>
    </row>
  </sheetData>
  <customSheetViews>
    <customSheetView guid="{1BA452AD-1A45-4D9C-9666-ADFFA6F2F567}" scale="60" showPageBreaks="1" printArea="1" view="pageBreakPreview">
      <selection activeCell="A31" sqref="A31"/>
      <colBreaks count="4" manualBreakCount="4">
        <brk id="7" max="66" man="1"/>
        <brk id="17" max="66" man="1"/>
        <brk id="26" max="66" man="1"/>
        <brk id="35" max="66" man="1"/>
      </colBreaks>
      <pageMargins left="0.25" right="0.25" top="0.19652777777777777" bottom="0.19722222222222222" header="0" footer="0"/>
      <pageSetup scale="76" fitToHeight="4" orientation="portrait" r:id="rId1"/>
      <headerFooter alignWithMargins="0"/>
    </customSheetView>
    <customSheetView guid="{EEF7ABD6-0F96-4791-B749-C06F707E7673}" scale="60" showPageBreaks="1" printArea="1" view="pageBreakPreview" showRuler="0" topLeftCell="A16">
      <selection activeCell="C104" sqref="C104"/>
      <pageMargins left="0.25" right="0.25" top="0.19652777777777777" bottom="0.19722222222222222" header="0" footer="0"/>
      <pageSetup scale="76" fitToHeight="4" orientation="portrait" r:id="rId2"/>
      <headerFooter alignWithMargins="0"/>
    </customSheetView>
    <customSheetView guid="{4826FCC0-BDD6-4B2C-ACC6-ACE271DDF0E3}" scale="60" showPageBreaks="1" printArea="1" view="pageBreakPreview" showRuler="0" topLeftCell="A16">
      <selection activeCell="C104" sqref="C104"/>
      <pageMargins left="0.25" right="0.25" top="0.19652777777777777" bottom="0.19722222222222222" header="0" footer="0"/>
      <pageSetup scale="76" fitToHeight="4" orientation="portrait" r:id="rId3"/>
      <headerFooter alignWithMargins="0"/>
    </customSheetView>
    <customSheetView guid="{EF376D10-23D6-4FE2-AB5B-4460D52CC93F}" scale="60" showPageBreaks="1" printArea="1" view="pageBreakPreview" showRuler="0" topLeftCell="A16">
      <selection activeCell="C104" sqref="C104"/>
      <pageMargins left="0.25" right="0.25" top="0.19652777777777777" bottom="0.19722222222222222" header="0" footer="0"/>
      <pageSetup scale="76" fitToHeight="4" orientation="portrait" r:id="rId4"/>
      <headerFooter alignWithMargins="0"/>
    </customSheetView>
    <customSheetView guid="{1C046605-15CE-44F1-BFCD-2CA8588E7ACF}" scale="60" showPageBreaks="1" printArea="1" view="pageBreakPreview" showRuler="0" topLeftCell="T1">
      <selection activeCell="AD2" sqref="AD2:AL64"/>
      <pageMargins left="0.25" right="0.25" top="0.19652777777777777" bottom="0.19722222222222222" header="0" footer="0"/>
      <pageSetup scale="76" fitToHeight="4" orientation="portrait" r:id="rId5"/>
      <headerFooter alignWithMargins="0"/>
    </customSheetView>
    <customSheetView guid="{3911D713-188C-46A1-A299-F21DD3B7A146}" scale="60" showPageBreaks="1" printArea="1" view="pageBreakPreview" showRuler="0" topLeftCell="T1">
      <selection activeCell="AD2" sqref="AD2:AL64"/>
      <pageMargins left="0.25" right="0.25" top="0.19652777777777777" bottom="0.19722222222222222" header="0" footer="0"/>
      <pageSetup scale="76" fitToHeight="4" orientation="portrait" r:id="rId6"/>
      <headerFooter alignWithMargins="0"/>
    </customSheetView>
    <customSheetView guid="{78BB1E60-60BE-4F56-9763-075185EFEFAB}" scale="60" showPageBreaks="1" printArea="1" view="pageBreakPreview">
      <selection activeCell="A31" sqref="A31"/>
      <colBreaks count="4" manualBreakCount="4">
        <brk id="7" max="66" man="1"/>
        <brk id="17" max="66" man="1"/>
        <brk id="26" max="66" man="1"/>
        <brk id="35" max="66" man="1"/>
      </colBreaks>
      <pageMargins left="0.25" right="0.25" top="0.19652777777777777" bottom="0.19722222222222222" header="0" footer="0"/>
      <pageSetup scale="76" fitToHeight="4" orientation="portrait" r:id="rId7"/>
      <headerFooter alignWithMargins="0"/>
    </customSheetView>
    <customSheetView guid="{9C30803E-1E2D-4850-B0A5-591CA6F246A1}" scale="60" showPageBreaks="1" printArea="1" view="pageBreakPreview">
      <selection activeCell="A31" sqref="A31"/>
      <colBreaks count="4" manualBreakCount="4">
        <brk id="7" max="66" man="1"/>
        <brk id="17" max="66" man="1"/>
        <brk id="26" max="66" man="1"/>
        <brk id="35" max="66" man="1"/>
      </colBreaks>
      <pageMargins left="0.25" right="0.25" top="0.19652777777777777" bottom="0.19722222222222222" header="0" footer="0"/>
      <pageSetup scale="76" fitToHeight="4" orientation="portrait" r:id="rId8"/>
      <headerFooter alignWithMargins="0"/>
    </customSheetView>
    <customSheetView guid="{3B1006FF-A2CA-49E7-9B25-DAC8815279AF}" scale="60" showPageBreaks="1" printArea="1" view="pageBreakPreview">
      <selection activeCell="A31" sqref="A31"/>
      <colBreaks count="4" manualBreakCount="4">
        <brk id="7" max="66" man="1"/>
        <brk id="17" max="66" man="1"/>
        <brk id="26" max="66" man="1"/>
        <brk id="35" max="66" man="1"/>
      </colBreaks>
      <pageMargins left="0.25" right="0.25" top="0.19652777777777777" bottom="0.19722222222222222" header="0" footer="0"/>
      <pageSetup scale="76" fitToHeight="4" orientation="portrait" r:id="rId9"/>
      <headerFooter alignWithMargins="0"/>
    </customSheetView>
    <customSheetView guid="{FB1A60C8-E1F9-4DF0-8E0E-1C965F86027F}" scale="60" showPageBreaks="1" printArea="1" view="pageBreakPreview">
      <selection activeCell="A31" sqref="A31"/>
      <colBreaks count="4" manualBreakCount="4">
        <brk id="7" max="66" man="1"/>
        <brk id="17" max="66" man="1"/>
        <brk id="26" max="66" man="1"/>
        <brk id="35" max="66" man="1"/>
      </colBreaks>
      <pageMargins left="0.25" right="0.25" top="0.19652777777777777" bottom="0.19722222222222222" header="0" footer="0"/>
      <pageSetup scale="76" fitToHeight="4" orientation="portrait" r:id="rId10"/>
      <headerFooter alignWithMargins="0"/>
    </customSheetView>
    <customSheetView guid="{C5B6D812-CBE6-46AA-99F7-02494E9802B4}" scale="70" showPageBreaks="1" printArea="1" view="pageBreakPreview" topLeftCell="V5">
      <selection activeCell="C10" sqref="C10"/>
      <colBreaks count="4" manualBreakCount="4">
        <brk id="7" max="66" man="1"/>
        <brk id="17" max="66" man="1"/>
        <brk id="26" max="66" man="1"/>
        <brk id="35" max="66" man="1"/>
      </colBreaks>
      <pageMargins left="0.25" right="0.25" top="0.19652777777777777" bottom="0.19722222222222222" header="0" footer="0"/>
      <pageSetup scale="76" fitToHeight="4" orientation="portrait" r:id="rId11"/>
      <headerFooter alignWithMargins="0"/>
    </customSheetView>
  </customSheetViews>
  <mergeCells count="10">
    <mergeCell ref="U40:V40"/>
    <mergeCell ref="Y40:Z40"/>
    <mergeCell ref="U42:V42"/>
    <mergeCell ref="Y42:Z42"/>
    <mergeCell ref="U17:V17"/>
    <mergeCell ref="Y17:Z17"/>
    <mergeCell ref="U18:V18"/>
    <mergeCell ref="Y18:Z18"/>
    <mergeCell ref="U38:V38"/>
    <mergeCell ref="Y38:Z38"/>
  </mergeCells>
  <phoneticPr fontId="0" type="noConversion"/>
  <pageMargins left="0.25" right="0.25" top="0.19652777777777777" bottom="0.19722222222222222" header="0" footer="0"/>
  <pageSetup scale="76" fitToHeight="4" orientation="portrait" r:id="rId12"/>
  <headerFooter alignWithMargins="0"/>
  <colBreaks count="4" manualBreakCount="4">
    <brk id="7" max="66" man="1"/>
    <brk id="17" max="66" man="1"/>
    <brk id="26" max="66" man="1"/>
    <brk id="35" max="66" man="1"/>
  </colBreaks>
  <customProperties>
    <customPr name="_pios_id" r:id="rId13"/>
  </customProperties>
  <legacyDrawing r:id="rId14"/>
</worksheet>
</file>

<file path=xl/worksheets/sheet77.xml><?xml version="1.0" encoding="utf-8"?>
<worksheet xmlns="http://schemas.openxmlformats.org/spreadsheetml/2006/main" xmlns:r="http://schemas.openxmlformats.org/officeDocument/2006/relationships">
  <dimension ref="A1:K1205"/>
  <sheetViews>
    <sheetView zoomScale="70" zoomScaleNormal="70" workbookViewId="0"/>
  </sheetViews>
  <sheetFormatPr defaultColWidth="9.6640625" defaultRowHeight="15"/>
  <cols>
    <col min="1" max="1" width="6.6640625" style="2447" customWidth="1"/>
    <col min="2" max="3" width="26.6640625" style="2447" customWidth="1"/>
    <col min="4" max="4" width="27.6640625" style="2447" customWidth="1"/>
    <col min="5" max="6" width="13.6640625" style="2447" customWidth="1"/>
    <col min="7" max="8" width="14.6640625" style="2447" customWidth="1"/>
    <col min="9" max="9" width="11.6640625" style="2447" customWidth="1"/>
    <col min="10" max="16384" width="9.6640625" style="2447"/>
  </cols>
  <sheetData>
    <row r="1" spans="1:10" ht="14.1" customHeight="1" thickBot="1">
      <c r="A1" s="2444" t="str">
        <f>+'Data sheet'!A53</f>
        <v>Annual Report of New York American Water Company, Inc. (f/k/a Long Island Water Corp)                                   Year Ended  December 31, 2013</v>
      </c>
    </row>
    <row r="2" spans="1:10" ht="14.1" customHeight="1">
      <c r="A2" s="2448"/>
      <c r="B2" s="2449"/>
      <c r="C2" s="2449"/>
      <c r="D2" s="2449"/>
      <c r="E2" s="2449"/>
      <c r="F2" s="2449"/>
      <c r="G2" s="2449"/>
      <c r="H2" s="2449"/>
      <c r="I2" s="2450"/>
      <c r="J2" s="2452"/>
    </row>
    <row r="3" spans="1:10" ht="14.1" customHeight="1">
      <c r="A3" s="2490" t="s">
        <v>3940</v>
      </c>
      <c r="B3" s="2460"/>
      <c r="C3" s="2460"/>
      <c r="D3" s="2460"/>
      <c r="E3" s="2460"/>
      <c r="F3" s="2460"/>
      <c r="G3" s="2460"/>
      <c r="H3" s="2460"/>
      <c r="I3" s="2491"/>
      <c r="J3" s="2452"/>
    </row>
    <row r="4" spans="1:10" ht="14.1" customHeight="1">
      <c r="A4" s="2452"/>
      <c r="B4" s="2451"/>
      <c r="C4" s="2451"/>
      <c r="D4" s="2451"/>
      <c r="E4" s="2451"/>
      <c r="F4" s="2451"/>
      <c r="G4" s="2451"/>
      <c r="H4" s="2451"/>
      <c r="I4" s="2453"/>
      <c r="J4" s="2452"/>
    </row>
    <row r="5" spans="1:10" ht="14.1" customHeight="1">
      <c r="A5" s="2454"/>
      <c r="B5" s="2445"/>
      <c r="C5" s="2445"/>
      <c r="D5" s="2445"/>
      <c r="E5" s="2445"/>
      <c r="F5" s="2445"/>
      <c r="G5" s="2445"/>
      <c r="H5" s="2445"/>
      <c r="I5" s="2455"/>
      <c r="J5" s="2452"/>
    </row>
    <row r="6" spans="1:10" ht="14.1" customHeight="1">
      <c r="A6" s="2452" t="s">
        <v>2611</v>
      </c>
      <c r="B6" s="2451"/>
      <c r="C6" s="2451"/>
      <c r="D6" s="2451"/>
      <c r="E6" s="2451"/>
      <c r="F6" s="2451"/>
      <c r="G6" s="2451"/>
      <c r="H6" s="2451"/>
      <c r="I6" s="2453"/>
      <c r="J6" s="2452"/>
    </row>
    <row r="7" spans="1:10" ht="14.1" customHeight="1">
      <c r="A7" s="2452" t="s">
        <v>2612</v>
      </c>
      <c r="B7" s="2451"/>
      <c r="C7" s="2451"/>
      <c r="D7" s="2451"/>
      <c r="E7" s="2451"/>
      <c r="F7" s="2451"/>
      <c r="G7" s="2451"/>
      <c r="H7" s="2451"/>
      <c r="I7" s="2453"/>
      <c r="J7" s="2452"/>
    </row>
    <row r="8" spans="1:10" ht="14.1" customHeight="1">
      <c r="A8" s="2452"/>
      <c r="B8" s="2451"/>
      <c r="C8" s="2451"/>
      <c r="D8" s="2451"/>
      <c r="E8" s="2451"/>
      <c r="F8" s="2451"/>
      <c r="G8" s="2451"/>
      <c r="H8" s="2451"/>
      <c r="I8" s="2453"/>
      <c r="J8" s="2452"/>
    </row>
    <row r="9" spans="1:10" ht="14.1" customHeight="1">
      <c r="A9" s="2492"/>
      <c r="B9" s="2464"/>
      <c r="C9" s="2464"/>
      <c r="D9" s="2464"/>
      <c r="E9" s="2464"/>
      <c r="F9" s="2464"/>
      <c r="G9" s="2464"/>
      <c r="H9" s="2464"/>
      <c r="I9" s="2458"/>
      <c r="J9" s="2462"/>
    </row>
    <row r="10" spans="1:10" ht="14.1" customHeight="1">
      <c r="A10" s="2462"/>
      <c r="B10" s="2463" t="s">
        <v>3026</v>
      </c>
      <c r="C10" s="2463" t="s">
        <v>94</v>
      </c>
      <c r="D10" s="2463" t="s">
        <v>3022</v>
      </c>
      <c r="E10" s="2463" t="s">
        <v>2820</v>
      </c>
      <c r="F10" s="2463" t="s">
        <v>3021</v>
      </c>
      <c r="G10" s="2463" t="s">
        <v>2821</v>
      </c>
      <c r="H10" s="2463" t="s">
        <v>2822</v>
      </c>
      <c r="I10" s="2461" t="s">
        <v>930</v>
      </c>
      <c r="J10" s="2462"/>
    </row>
    <row r="11" spans="1:10" ht="14.1" customHeight="1">
      <c r="A11" s="2462" t="s">
        <v>1939</v>
      </c>
      <c r="B11" s="2463" t="s">
        <v>4226</v>
      </c>
      <c r="C11" s="2463"/>
      <c r="D11" s="2463" t="s">
        <v>2823</v>
      </c>
      <c r="E11" s="2463" t="s">
        <v>4398</v>
      </c>
      <c r="F11" s="2463" t="s">
        <v>4398</v>
      </c>
      <c r="G11" s="2463" t="s">
        <v>4398</v>
      </c>
      <c r="H11" s="2463" t="s">
        <v>4399</v>
      </c>
      <c r="I11" s="2461" t="s">
        <v>931</v>
      </c>
      <c r="J11" s="2462"/>
    </row>
    <row r="12" spans="1:10" ht="14.1" customHeight="1">
      <c r="A12" s="2462" t="s">
        <v>1941</v>
      </c>
      <c r="B12" s="2463" t="s">
        <v>4400</v>
      </c>
      <c r="C12" s="2463"/>
      <c r="D12" s="2463" t="s">
        <v>4401</v>
      </c>
      <c r="E12" s="2463"/>
      <c r="F12" s="2463" t="s">
        <v>4402</v>
      </c>
      <c r="G12" s="2463" t="s">
        <v>3039</v>
      </c>
      <c r="H12" s="2463" t="s">
        <v>4403</v>
      </c>
      <c r="I12" s="2461"/>
      <c r="J12" s="2462"/>
    </row>
    <row r="13" spans="1:10" ht="14.1" customHeight="1">
      <c r="A13" s="2462"/>
      <c r="B13" s="2463" t="s">
        <v>932</v>
      </c>
      <c r="C13" s="2463" t="s">
        <v>933</v>
      </c>
      <c r="D13" s="2463" t="s">
        <v>934</v>
      </c>
      <c r="E13" s="2463" t="s">
        <v>935</v>
      </c>
      <c r="F13" s="2463" t="s">
        <v>936</v>
      </c>
      <c r="G13" s="2463" t="s">
        <v>937</v>
      </c>
      <c r="H13" s="2463" t="s">
        <v>938</v>
      </c>
      <c r="I13" s="2461" t="s">
        <v>939</v>
      </c>
      <c r="J13" s="2462"/>
    </row>
    <row r="14" spans="1:10" ht="15" customHeight="1">
      <c r="A14" s="2492">
        <v>1</v>
      </c>
      <c r="B14" s="2595" t="s">
        <v>3205</v>
      </c>
      <c r="C14" s="2596" t="s">
        <v>3207</v>
      </c>
      <c r="D14" s="2597">
        <v>2013</v>
      </c>
      <c r="E14" s="2597">
        <v>2</v>
      </c>
      <c r="F14" s="2597"/>
      <c r="G14" s="2597"/>
      <c r="H14" s="2597"/>
      <c r="I14" s="2598" t="s">
        <v>987</v>
      </c>
      <c r="J14" s="2516"/>
    </row>
    <row r="15" spans="1:10" ht="15" customHeight="1">
      <c r="A15" s="2462">
        <v>2</v>
      </c>
      <c r="B15" s="2599" t="s">
        <v>3206</v>
      </c>
      <c r="C15" s="2600" t="s">
        <v>4613</v>
      </c>
      <c r="D15" s="2601" t="s">
        <v>4137</v>
      </c>
      <c r="E15" s="2601">
        <v>2</v>
      </c>
      <c r="F15" s="2601"/>
      <c r="G15" s="2601"/>
      <c r="H15" s="2601"/>
      <c r="I15" s="2602" t="s">
        <v>4390</v>
      </c>
      <c r="J15" s="2516"/>
    </row>
    <row r="16" spans="1:10" ht="15" customHeight="1">
      <c r="A16" s="2462">
        <v>3</v>
      </c>
      <c r="B16" s="2599" t="s">
        <v>3206</v>
      </c>
      <c r="C16" s="2600" t="s">
        <v>3208</v>
      </c>
      <c r="D16" s="2601" t="s">
        <v>3210</v>
      </c>
      <c r="E16" s="2601" t="s">
        <v>2699</v>
      </c>
      <c r="F16" s="2601"/>
      <c r="G16" s="2601"/>
      <c r="H16" s="2601"/>
      <c r="I16" s="2602" t="s">
        <v>987</v>
      </c>
      <c r="J16" s="2516"/>
    </row>
    <row r="17" spans="1:10" ht="15" customHeight="1">
      <c r="A17" s="2462">
        <v>4</v>
      </c>
      <c r="B17" s="2599" t="s">
        <v>3206</v>
      </c>
      <c r="C17" s="2600" t="s">
        <v>3209</v>
      </c>
      <c r="D17" s="2601" t="s">
        <v>3211</v>
      </c>
      <c r="E17" s="2601">
        <v>2</v>
      </c>
      <c r="F17" s="2601"/>
      <c r="G17" s="2601"/>
      <c r="H17" s="2601"/>
      <c r="I17" s="2602" t="s">
        <v>4390</v>
      </c>
      <c r="J17" s="2516"/>
    </row>
    <row r="18" spans="1:10" ht="15" customHeight="1">
      <c r="A18" s="2462">
        <v>5</v>
      </c>
      <c r="B18" s="2599" t="s">
        <v>3206</v>
      </c>
      <c r="C18" s="2600" t="s">
        <v>4614</v>
      </c>
      <c r="D18" s="2601">
        <v>2012</v>
      </c>
      <c r="E18" s="2463">
        <v>1</v>
      </c>
      <c r="F18" s="2463"/>
      <c r="G18" s="2463"/>
      <c r="H18" s="2463"/>
      <c r="I18" s="2602" t="s">
        <v>987</v>
      </c>
      <c r="J18" s="2516"/>
    </row>
    <row r="19" spans="1:10" ht="15" customHeight="1">
      <c r="A19" s="2462">
        <v>6</v>
      </c>
      <c r="B19" s="2599" t="s">
        <v>3206</v>
      </c>
      <c r="C19" s="2600" t="s">
        <v>4615</v>
      </c>
      <c r="D19" s="2601">
        <v>1973</v>
      </c>
      <c r="E19" s="2463">
        <v>2</v>
      </c>
      <c r="F19" s="2463"/>
      <c r="G19" s="2463"/>
      <c r="H19" s="2463"/>
      <c r="I19" s="2602" t="s">
        <v>4390</v>
      </c>
      <c r="J19" s="2516"/>
    </row>
    <row r="20" spans="1:10" ht="15" customHeight="1">
      <c r="A20" s="2462">
        <v>7</v>
      </c>
      <c r="B20" s="2463"/>
      <c r="C20" s="2603"/>
      <c r="D20" s="2463"/>
      <c r="E20" s="2463"/>
      <c r="F20" s="2463"/>
      <c r="G20" s="2463"/>
      <c r="H20" s="2463"/>
      <c r="I20" s="2461"/>
      <c r="J20" s="2516"/>
    </row>
    <row r="21" spans="1:10" ht="15" customHeight="1">
      <c r="A21" s="2462">
        <v>8</v>
      </c>
      <c r="B21" s="2463"/>
      <c r="C21" s="2603"/>
      <c r="D21" s="2463"/>
      <c r="E21" s="2463"/>
      <c r="F21" s="2463"/>
      <c r="G21" s="2463"/>
      <c r="H21" s="2463"/>
      <c r="I21" s="2461"/>
      <c r="J21" s="2516"/>
    </row>
    <row r="22" spans="1:10" ht="15" customHeight="1">
      <c r="A22" s="2462">
        <v>9</v>
      </c>
      <c r="B22" s="2463"/>
      <c r="C22" s="2604"/>
      <c r="D22" s="2463"/>
      <c r="E22" s="2463"/>
      <c r="F22" s="2463"/>
      <c r="G22" s="2463"/>
      <c r="H22" s="2463"/>
      <c r="I22" s="2605"/>
      <c r="J22" s="2516"/>
    </row>
    <row r="23" spans="1:10" ht="15" customHeight="1">
      <c r="A23" s="2492">
        <v>10</v>
      </c>
      <c r="B23" s="2464" t="s">
        <v>940</v>
      </c>
      <c r="C23" s="2464"/>
      <c r="D23" s="2464"/>
      <c r="E23" s="2464"/>
      <c r="F23" s="2464"/>
      <c r="G23" s="2464"/>
      <c r="H23" s="2464"/>
      <c r="I23" s="2606"/>
      <c r="J23" s="2516"/>
    </row>
    <row r="24" spans="1:10" ht="14.1" customHeight="1">
      <c r="A24" s="2454"/>
      <c r="B24" s="2445" t="s">
        <v>941</v>
      </c>
      <c r="C24" s="2445"/>
      <c r="D24" s="2445"/>
      <c r="E24" s="2445"/>
      <c r="F24" s="2445"/>
      <c r="G24" s="2445"/>
      <c r="H24" s="2445"/>
      <c r="I24" s="2455"/>
      <c r="J24" s="2452"/>
    </row>
    <row r="25" spans="1:10" ht="14.1" customHeight="1">
      <c r="A25" s="2452"/>
      <c r="B25" s="2451"/>
      <c r="C25" s="2451"/>
      <c r="D25" s="2451"/>
      <c r="E25" s="2451"/>
      <c r="F25" s="2451"/>
      <c r="G25" s="2451"/>
      <c r="H25" s="2451"/>
      <c r="I25" s="2453"/>
      <c r="J25" s="2452"/>
    </row>
    <row r="26" spans="1:10" ht="14.1" customHeight="1">
      <c r="A26" s="2490" t="s">
        <v>3634</v>
      </c>
      <c r="B26" s="2460"/>
      <c r="C26" s="2460"/>
      <c r="D26" s="2460"/>
      <c r="E26" s="2460"/>
      <c r="F26" s="2460"/>
      <c r="G26" s="2460"/>
      <c r="H26" s="2460"/>
      <c r="I26" s="2491"/>
      <c r="J26" s="2452"/>
    </row>
    <row r="27" spans="1:10" ht="14.1" customHeight="1">
      <c r="A27" s="2452" t="s">
        <v>2348</v>
      </c>
      <c r="B27" s="2451"/>
      <c r="C27" s="2451"/>
      <c r="D27" s="2451"/>
      <c r="E27" s="2451"/>
      <c r="F27" s="2451"/>
      <c r="G27" s="2451"/>
      <c r="H27" s="2451"/>
      <c r="I27" s="2453"/>
      <c r="J27" s="2452"/>
    </row>
    <row r="28" spans="1:10" ht="14.1" customHeight="1">
      <c r="A28" s="2452" t="s">
        <v>4346</v>
      </c>
      <c r="B28" s="2451"/>
      <c r="C28" s="2451"/>
      <c r="D28" s="2451"/>
      <c r="E28" s="2451" t="s">
        <v>2349</v>
      </c>
      <c r="F28" s="2451"/>
      <c r="G28" s="2451"/>
      <c r="H28" s="2451"/>
      <c r="I28" s="2453"/>
      <c r="J28" s="2452"/>
    </row>
    <row r="29" spans="1:10" ht="14.1" customHeight="1">
      <c r="A29" s="2452"/>
      <c r="B29" s="2451"/>
      <c r="C29" s="2451"/>
      <c r="D29" s="2451"/>
      <c r="E29" s="2451" t="s">
        <v>1004</v>
      </c>
      <c r="F29" s="2451"/>
      <c r="G29" s="2451"/>
      <c r="H29" s="2451"/>
      <c r="I29" s="2453"/>
      <c r="J29" s="2452"/>
    </row>
    <row r="30" spans="1:10" ht="14.1" customHeight="1">
      <c r="A30" s="2452" t="s">
        <v>1744</v>
      </c>
      <c r="B30" s="2451"/>
      <c r="C30" s="2451"/>
      <c r="D30" s="2451"/>
      <c r="E30" s="2451"/>
      <c r="F30" s="2451"/>
      <c r="G30" s="2451"/>
      <c r="H30" s="2451"/>
      <c r="I30" s="2453"/>
      <c r="J30" s="2452"/>
    </row>
    <row r="31" spans="1:10" ht="14.1" customHeight="1">
      <c r="A31" s="2452" t="s">
        <v>1005</v>
      </c>
      <c r="B31" s="2451"/>
      <c r="C31" s="2451"/>
      <c r="D31" s="2451"/>
      <c r="E31" s="2451" t="s">
        <v>848</v>
      </c>
      <c r="F31" s="2451"/>
      <c r="G31" s="2451"/>
      <c r="H31" s="2451"/>
      <c r="I31" s="2453"/>
      <c r="J31" s="2452"/>
    </row>
    <row r="32" spans="1:10" ht="14.1" customHeight="1">
      <c r="A32" s="2452"/>
      <c r="B32" s="2451"/>
      <c r="C32" s="2451"/>
      <c r="D32" s="2451"/>
      <c r="E32" s="2451" t="s">
        <v>1737</v>
      </c>
      <c r="F32" s="2451"/>
      <c r="G32" s="2451"/>
      <c r="H32" s="2451"/>
      <c r="I32" s="2453"/>
      <c r="J32" s="2452"/>
    </row>
    <row r="33" spans="1:10" ht="14.1" customHeight="1">
      <c r="A33" s="2452" t="s">
        <v>849</v>
      </c>
      <c r="B33" s="2451"/>
      <c r="C33" s="2451"/>
      <c r="D33" s="2451"/>
      <c r="E33" s="2451"/>
      <c r="F33" s="2451"/>
      <c r="G33" s="2451"/>
      <c r="H33" s="2451"/>
      <c r="I33" s="2453"/>
      <c r="J33" s="2452"/>
    </row>
    <row r="34" spans="1:10" ht="14.1" customHeight="1">
      <c r="A34" s="2452" t="s">
        <v>4345</v>
      </c>
      <c r="B34" s="2451"/>
      <c r="C34" s="2451"/>
      <c r="D34" s="2451"/>
      <c r="E34" s="2451"/>
      <c r="F34" s="2451"/>
      <c r="G34" s="2451"/>
      <c r="H34" s="2451"/>
      <c r="I34" s="2453"/>
      <c r="J34" s="2452"/>
    </row>
    <row r="35" spans="1:10" ht="14.1" customHeight="1">
      <c r="A35" s="2452"/>
      <c r="B35" s="2451"/>
      <c r="C35" s="2451"/>
      <c r="D35" s="2451"/>
      <c r="E35" s="2451"/>
      <c r="F35" s="2451"/>
      <c r="G35" s="2451"/>
      <c r="H35" s="2451"/>
      <c r="I35" s="2453"/>
      <c r="J35" s="2452"/>
    </row>
    <row r="36" spans="1:10" ht="14.1" customHeight="1">
      <c r="A36" s="2492"/>
      <c r="B36" s="2464"/>
      <c r="C36" s="2464"/>
      <c r="D36" s="2464"/>
      <c r="E36" s="2464" t="s">
        <v>1738</v>
      </c>
      <c r="F36" s="2464"/>
      <c r="G36" s="2464"/>
      <c r="H36" s="2580"/>
      <c r="I36" s="2458"/>
      <c r="J36" s="2452"/>
    </row>
    <row r="37" spans="1:10" ht="14.1" customHeight="1">
      <c r="A37" s="2462" t="s">
        <v>1939</v>
      </c>
      <c r="B37" s="2463" t="s">
        <v>1739</v>
      </c>
      <c r="C37" s="2463" t="s">
        <v>3754</v>
      </c>
      <c r="D37" s="2463"/>
      <c r="E37" s="2463"/>
      <c r="F37" s="2463"/>
      <c r="G37" s="2463"/>
      <c r="H37" s="2516"/>
      <c r="I37" s="2461"/>
      <c r="J37" s="2452"/>
    </row>
    <row r="38" spans="1:10" ht="14.1" customHeight="1">
      <c r="A38" s="2462" t="s">
        <v>1941</v>
      </c>
      <c r="B38" s="2463"/>
      <c r="C38" s="2463" t="s">
        <v>1874</v>
      </c>
      <c r="D38" s="2463" t="s">
        <v>3032</v>
      </c>
      <c r="E38" s="2463" t="s">
        <v>1875</v>
      </c>
      <c r="F38" s="2463" t="s">
        <v>1876</v>
      </c>
      <c r="G38" s="2459" t="s">
        <v>1877</v>
      </c>
      <c r="H38" s="2460"/>
      <c r="I38" s="2461" t="s">
        <v>4031</v>
      </c>
      <c r="J38" s="2452"/>
    </row>
    <row r="39" spans="1:10" ht="14.1" customHeight="1">
      <c r="A39" s="2462"/>
      <c r="B39" s="2463"/>
      <c r="C39" s="2463"/>
      <c r="D39" s="2463"/>
      <c r="E39" s="2463"/>
      <c r="F39" s="2463"/>
      <c r="G39" s="2459"/>
      <c r="H39" s="2460"/>
      <c r="I39" s="2461"/>
      <c r="J39" s="2452"/>
    </row>
    <row r="40" spans="1:10" ht="14.1" customHeight="1">
      <c r="A40" s="2462"/>
      <c r="B40" s="2463" t="s">
        <v>932</v>
      </c>
      <c r="C40" s="2463" t="s">
        <v>933</v>
      </c>
      <c r="D40" s="2463" t="s">
        <v>934</v>
      </c>
      <c r="E40" s="2463" t="s">
        <v>935</v>
      </c>
      <c r="F40" s="2463" t="s">
        <v>936</v>
      </c>
      <c r="G40" s="2459" t="s">
        <v>937</v>
      </c>
      <c r="H40" s="2460"/>
      <c r="I40" s="2461" t="s">
        <v>938</v>
      </c>
      <c r="J40" s="2452"/>
    </row>
    <row r="41" spans="1:10" ht="15" customHeight="1">
      <c r="A41" s="2492">
        <v>23</v>
      </c>
      <c r="B41" s="2444" t="s">
        <v>3212</v>
      </c>
      <c r="C41" s="2464"/>
      <c r="D41" s="2444"/>
      <c r="E41" s="2444"/>
      <c r="F41" s="2444"/>
      <c r="G41" s="2444"/>
      <c r="H41" s="2444"/>
      <c r="I41" s="2507"/>
      <c r="J41" s="2452"/>
    </row>
    <row r="42" spans="1:10" ht="15" customHeight="1">
      <c r="A42" s="2462">
        <v>24</v>
      </c>
      <c r="B42" s="2446" t="s">
        <v>3213</v>
      </c>
      <c r="C42" s="2463"/>
      <c r="D42" s="2446"/>
      <c r="E42" s="2446"/>
      <c r="F42" s="2446"/>
      <c r="G42" s="2446"/>
      <c r="H42" s="2446"/>
      <c r="I42" s="2505"/>
      <c r="J42" s="2452"/>
    </row>
    <row r="43" spans="1:10" ht="15" customHeight="1">
      <c r="A43" s="2462">
        <v>25</v>
      </c>
      <c r="B43" s="2446" t="s">
        <v>3214</v>
      </c>
      <c r="C43" s="2463"/>
      <c r="D43" s="2446"/>
      <c r="E43" s="2446"/>
      <c r="F43" s="2446"/>
      <c r="G43" s="2446"/>
      <c r="H43" s="2446"/>
      <c r="I43" s="2505"/>
      <c r="J43" s="2452"/>
    </row>
    <row r="44" spans="1:10" ht="15" customHeight="1">
      <c r="A44" s="2462">
        <v>26</v>
      </c>
      <c r="B44" s="2446" t="s">
        <v>3215</v>
      </c>
      <c r="C44" s="2463"/>
      <c r="D44" s="2446"/>
      <c r="E44" s="2446"/>
      <c r="F44" s="2446"/>
      <c r="G44" s="2446"/>
      <c r="H44" s="2446"/>
      <c r="I44" s="2505"/>
      <c r="J44" s="2452"/>
    </row>
    <row r="45" spans="1:10" ht="15" customHeight="1">
      <c r="A45" s="2462">
        <v>27</v>
      </c>
      <c r="B45" s="2446" t="s">
        <v>3216</v>
      </c>
      <c r="C45" s="2463"/>
      <c r="D45" s="2446"/>
      <c r="E45" s="2446"/>
      <c r="F45" s="2446"/>
      <c r="G45" s="2446"/>
      <c r="H45" s="2446"/>
      <c r="I45" s="2505"/>
      <c r="J45" s="2452"/>
    </row>
    <row r="46" spans="1:10" ht="15" customHeight="1">
      <c r="A46" s="2462">
        <v>28</v>
      </c>
      <c r="B46" s="2446" t="s">
        <v>3217</v>
      </c>
      <c r="C46" s="2463"/>
      <c r="D46" s="2446"/>
      <c r="E46" s="2446"/>
      <c r="F46" s="2446"/>
      <c r="G46" s="2446"/>
      <c r="H46" s="2446"/>
      <c r="I46" s="2505"/>
      <c r="J46" s="2452"/>
    </row>
    <row r="47" spans="1:10" ht="15" customHeight="1">
      <c r="A47" s="2462">
        <v>29</v>
      </c>
      <c r="B47" s="2601" t="s">
        <v>3218</v>
      </c>
      <c r="C47" s="2607">
        <v>895205.99999999988</v>
      </c>
      <c r="D47" s="2601" t="s">
        <v>4292</v>
      </c>
      <c r="E47" s="2601" t="s">
        <v>4295</v>
      </c>
      <c r="F47" s="2607">
        <v>7418</v>
      </c>
      <c r="G47" s="2463"/>
      <c r="H47" s="2463"/>
      <c r="I47" s="2461"/>
      <c r="J47" s="2452"/>
    </row>
    <row r="48" spans="1:10" ht="15" customHeight="1">
      <c r="A48" s="2462">
        <v>30</v>
      </c>
      <c r="B48" s="2601"/>
      <c r="C48" s="2607"/>
      <c r="D48" s="2601"/>
      <c r="E48" s="2601"/>
      <c r="F48" s="2607"/>
      <c r="G48" s="2463"/>
      <c r="H48" s="2463"/>
      <c r="I48" s="2461"/>
      <c r="J48" s="2452"/>
    </row>
    <row r="49" spans="1:10" ht="15" customHeight="1">
      <c r="A49" s="2462">
        <v>31</v>
      </c>
      <c r="B49" s="2601" t="s">
        <v>3219</v>
      </c>
      <c r="C49" s="2607">
        <v>895205.99999999988</v>
      </c>
      <c r="D49" s="2601" t="s">
        <v>4293</v>
      </c>
      <c r="E49" s="2601" t="s">
        <v>4296</v>
      </c>
      <c r="F49" s="2607">
        <v>234761</v>
      </c>
      <c r="G49" s="2463"/>
      <c r="H49" s="2463"/>
      <c r="I49" s="2461"/>
      <c r="J49" s="2452"/>
    </row>
    <row r="50" spans="1:10" ht="15" customHeight="1">
      <c r="A50" s="2462">
        <v>32</v>
      </c>
      <c r="B50" s="2601" t="s">
        <v>3220</v>
      </c>
      <c r="C50" s="2607">
        <v>895205.99999999988</v>
      </c>
      <c r="D50" s="2601" t="s">
        <v>4294</v>
      </c>
      <c r="E50" s="2601" t="s">
        <v>4296</v>
      </c>
      <c r="F50" s="2607">
        <v>162700</v>
      </c>
      <c r="G50" s="2463"/>
      <c r="H50" s="2463"/>
      <c r="I50" s="2461"/>
      <c r="J50" s="2452"/>
    </row>
    <row r="51" spans="1:10" ht="15" customHeight="1">
      <c r="A51" s="2462">
        <v>33</v>
      </c>
      <c r="B51" s="2446"/>
      <c r="C51" s="2607"/>
      <c r="D51" s="2446"/>
      <c r="E51" s="2446"/>
      <c r="F51" s="2608"/>
      <c r="G51" s="2446"/>
      <c r="H51" s="2446"/>
      <c r="I51" s="2505"/>
      <c r="J51" s="2452"/>
    </row>
    <row r="52" spans="1:10" ht="15" customHeight="1">
      <c r="A52" s="2462">
        <v>34</v>
      </c>
      <c r="B52" s="2446" t="s">
        <v>3221</v>
      </c>
      <c r="C52" s="2607">
        <v>895205.99999999988</v>
      </c>
      <c r="D52" s="2446"/>
      <c r="E52" s="2446"/>
      <c r="F52" s="2446"/>
      <c r="G52" s="2446"/>
      <c r="H52" s="2446"/>
      <c r="I52" s="2505"/>
      <c r="J52" s="2452"/>
    </row>
    <row r="53" spans="1:10" ht="15" customHeight="1">
      <c r="A53" s="2462">
        <v>35</v>
      </c>
      <c r="B53" s="2446" t="s">
        <v>3222</v>
      </c>
      <c r="C53" s="2607"/>
      <c r="D53" s="2446"/>
      <c r="E53" s="2446"/>
      <c r="F53" s="2446"/>
      <c r="G53" s="2446"/>
      <c r="H53" s="2446"/>
      <c r="I53" s="2505"/>
      <c r="J53" s="2452"/>
    </row>
    <row r="54" spans="1:10" ht="15" customHeight="1" thickBot="1">
      <c r="A54" s="2499">
        <v>36</v>
      </c>
      <c r="B54" s="2501" t="s">
        <v>3753</v>
      </c>
      <c r="C54" s="2609">
        <v>895206</v>
      </c>
      <c r="D54" s="2609"/>
      <c r="E54" s="2501"/>
      <c r="F54" s="2501"/>
      <c r="G54" s="2501"/>
      <c r="H54" s="2501"/>
      <c r="I54" s="2502"/>
      <c r="J54" s="2452"/>
    </row>
    <row r="55" spans="1:10" ht="15" customHeight="1">
      <c r="A55" s="2449" t="s">
        <v>3184</v>
      </c>
      <c r="B55" s="2449"/>
      <c r="C55" s="2449"/>
      <c r="D55" s="2592" t="s">
        <v>4353</v>
      </c>
      <c r="E55" s="2449"/>
      <c r="F55" s="2449"/>
      <c r="G55" s="2449"/>
      <c r="H55" s="2449"/>
      <c r="I55" s="2449"/>
    </row>
    <row r="56" spans="1:10" ht="15" customHeight="1" thickBot="1">
      <c r="A56" s="2444" t="str">
        <f>+A1</f>
        <v>Annual Report of New York American Water Company, Inc. (f/k/a Long Island Water Corp)                                   Year Ended  December 31, 2013</v>
      </c>
    </row>
    <row r="57" spans="1:10" ht="14.1" customHeight="1">
      <c r="A57" s="2448"/>
      <c r="B57" s="2449"/>
      <c r="C57" s="2449"/>
      <c r="D57" s="2449"/>
      <c r="E57" s="2449"/>
      <c r="F57" s="2449"/>
      <c r="G57" s="2449"/>
      <c r="H57" s="2449"/>
      <c r="I57" s="2450"/>
      <c r="J57" s="2452"/>
    </row>
    <row r="58" spans="1:10" ht="14.1" customHeight="1">
      <c r="A58" s="2490" t="s">
        <v>3940</v>
      </c>
      <c r="B58" s="2460"/>
      <c r="C58" s="2460"/>
      <c r="D58" s="2460"/>
      <c r="E58" s="2460"/>
      <c r="F58" s="2460"/>
      <c r="G58" s="2460"/>
      <c r="H58" s="2460"/>
      <c r="I58" s="2491"/>
      <c r="J58" s="2452"/>
    </row>
    <row r="59" spans="1:10" ht="14.1" customHeight="1">
      <c r="A59" s="2452"/>
      <c r="B59" s="2451"/>
      <c r="C59" s="2451"/>
      <c r="D59" s="2451"/>
      <c r="E59" s="2451"/>
      <c r="F59" s="2451"/>
      <c r="G59" s="2451"/>
      <c r="H59" s="2451"/>
      <c r="I59" s="2453"/>
      <c r="J59" s="2452"/>
    </row>
    <row r="60" spans="1:10" ht="14.1" customHeight="1">
      <c r="A60" s="2454"/>
      <c r="B60" s="2445"/>
      <c r="C60" s="2445"/>
      <c r="D60" s="2445"/>
      <c r="E60" s="2445"/>
      <c r="F60" s="2445"/>
      <c r="G60" s="2445"/>
      <c r="H60" s="2445"/>
      <c r="I60" s="2455"/>
      <c r="J60" s="2452"/>
    </row>
    <row r="61" spans="1:10" ht="14.1" customHeight="1">
      <c r="A61" s="2452" t="s">
        <v>2611</v>
      </c>
      <c r="B61" s="2451"/>
      <c r="C61" s="2451"/>
      <c r="D61" s="2451"/>
      <c r="E61" s="2451"/>
      <c r="F61" s="2451"/>
      <c r="G61" s="2451"/>
      <c r="H61" s="2451"/>
      <c r="I61" s="2453"/>
      <c r="J61" s="2452"/>
    </row>
    <row r="62" spans="1:10" ht="14.1" customHeight="1">
      <c r="A62" s="2452" t="s">
        <v>2612</v>
      </c>
      <c r="B62" s="2451"/>
      <c r="C62" s="2451"/>
      <c r="D62" s="2451"/>
      <c r="E62" s="2451"/>
      <c r="F62" s="2451"/>
      <c r="G62" s="2451"/>
      <c r="H62" s="2451"/>
      <c r="I62" s="2453"/>
      <c r="J62" s="2452"/>
    </row>
    <row r="63" spans="1:10" ht="14.1" customHeight="1">
      <c r="A63" s="2452"/>
      <c r="B63" s="2451"/>
      <c r="C63" s="2451"/>
      <c r="D63" s="2451"/>
      <c r="E63" s="2451"/>
      <c r="F63" s="2451"/>
      <c r="G63" s="2451"/>
      <c r="H63" s="2451"/>
      <c r="I63" s="2453"/>
      <c r="J63" s="2452"/>
    </row>
    <row r="64" spans="1:10" ht="14.1" customHeight="1">
      <c r="A64" s="2492"/>
      <c r="B64" s="2464"/>
      <c r="C64" s="2464"/>
      <c r="D64" s="2464"/>
      <c r="E64" s="2464"/>
      <c r="F64" s="2464"/>
      <c r="G64" s="2464"/>
      <c r="H64" s="2464"/>
      <c r="I64" s="2458"/>
      <c r="J64" s="2452"/>
    </row>
    <row r="65" spans="1:10" ht="14.1" customHeight="1">
      <c r="A65" s="2462"/>
      <c r="B65" s="2463" t="s">
        <v>3026</v>
      </c>
      <c r="C65" s="2463" t="s">
        <v>94</v>
      </c>
      <c r="D65" s="2463" t="s">
        <v>3022</v>
      </c>
      <c r="E65" s="2463" t="s">
        <v>2820</v>
      </c>
      <c r="F65" s="2463" t="s">
        <v>3021</v>
      </c>
      <c r="G65" s="2463" t="s">
        <v>2821</v>
      </c>
      <c r="H65" s="2463" t="s">
        <v>2822</v>
      </c>
      <c r="I65" s="2461" t="s">
        <v>930</v>
      </c>
      <c r="J65" s="2452"/>
    </row>
    <row r="66" spans="1:10" ht="14.1" customHeight="1">
      <c r="A66" s="2462" t="s">
        <v>1939</v>
      </c>
      <c r="B66" s="2463" t="s">
        <v>4226</v>
      </c>
      <c r="C66" s="2463"/>
      <c r="D66" s="2463" t="s">
        <v>2823</v>
      </c>
      <c r="E66" s="2463" t="s">
        <v>4398</v>
      </c>
      <c r="F66" s="2463" t="s">
        <v>4398</v>
      </c>
      <c r="G66" s="2463" t="s">
        <v>4398</v>
      </c>
      <c r="H66" s="2463" t="s">
        <v>4399</v>
      </c>
      <c r="I66" s="2461" t="s">
        <v>931</v>
      </c>
      <c r="J66" s="2452"/>
    </row>
    <row r="67" spans="1:10" ht="14.1" customHeight="1">
      <c r="A67" s="2462" t="s">
        <v>1941</v>
      </c>
      <c r="B67" s="2463" t="s">
        <v>4400</v>
      </c>
      <c r="C67" s="2463"/>
      <c r="D67" s="2463" t="s">
        <v>4401</v>
      </c>
      <c r="E67" s="2463"/>
      <c r="F67" s="2463" t="s">
        <v>4402</v>
      </c>
      <c r="G67" s="2463" t="s">
        <v>3039</v>
      </c>
      <c r="H67" s="2463" t="s">
        <v>4403</v>
      </c>
      <c r="I67" s="2461"/>
      <c r="J67" s="2452"/>
    </row>
    <row r="68" spans="1:10" ht="14.1" customHeight="1">
      <c r="A68" s="2462"/>
      <c r="B68" s="2463" t="s">
        <v>932</v>
      </c>
      <c r="C68" s="2463" t="s">
        <v>933</v>
      </c>
      <c r="D68" s="2463" t="s">
        <v>934</v>
      </c>
      <c r="E68" s="2463" t="s">
        <v>935</v>
      </c>
      <c r="F68" s="2463" t="s">
        <v>936</v>
      </c>
      <c r="G68" s="2463" t="s">
        <v>937</v>
      </c>
      <c r="H68" s="2463" t="s">
        <v>938</v>
      </c>
      <c r="I68" s="2461" t="s">
        <v>939</v>
      </c>
      <c r="J68" s="2452"/>
    </row>
    <row r="69" spans="1:10" ht="14.1" customHeight="1">
      <c r="A69" s="2492">
        <v>1</v>
      </c>
      <c r="B69" s="2595" t="s">
        <v>850</v>
      </c>
      <c r="C69" s="2596" t="s">
        <v>3207</v>
      </c>
      <c r="D69" s="2597">
        <v>2012</v>
      </c>
      <c r="E69" s="2597">
        <v>2</v>
      </c>
      <c r="F69" s="2597"/>
      <c r="G69" s="2597"/>
      <c r="H69" s="2597"/>
      <c r="I69" s="2598" t="s">
        <v>987</v>
      </c>
      <c r="J69" s="2452"/>
    </row>
    <row r="70" spans="1:10" ht="15" customHeight="1">
      <c r="A70" s="2462">
        <v>2</v>
      </c>
      <c r="B70" s="2599" t="s">
        <v>3206</v>
      </c>
      <c r="C70" s="2600" t="s">
        <v>4613</v>
      </c>
      <c r="D70" s="2601">
        <v>2012</v>
      </c>
      <c r="E70" s="2601">
        <v>1</v>
      </c>
      <c r="F70" s="2601"/>
      <c r="G70" s="2601"/>
      <c r="H70" s="2601"/>
      <c r="I70" s="2602" t="s">
        <v>4390</v>
      </c>
      <c r="J70" s="2452"/>
    </row>
    <row r="71" spans="1:10" ht="15" customHeight="1">
      <c r="A71" s="2462">
        <v>3</v>
      </c>
      <c r="B71" s="2599" t="s">
        <v>3206</v>
      </c>
      <c r="C71" s="2600" t="s">
        <v>3208</v>
      </c>
      <c r="D71" s="2601">
        <v>1994</v>
      </c>
      <c r="E71" s="2601">
        <v>1</v>
      </c>
      <c r="F71" s="2601"/>
      <c r="G71" s="2601"/>
      <c r="H71" s="2601"/>
      <c r="I71" s="2602" t="s">
        <v>987</v>
      </c>
      <c r="J71" s="2452"/>
    </row>
    <row r="72" spans="1:10" ht="15" customHeight="1">
      <c r="A72" s="2462">
        <v>4</v>
      </c>
      <c r="B72" s="2599" t="s">
        <v>3206</v>
      </c>
      <c r="C72" s="2600" t="s">
        <v>3209</v>
      </c>
      <c r="D72" s="2601">
        <v>1994</v>
      </c>
      <c r="E72" s="2601">
        <v>1</v>
      </c>
      <c r="F72" s="2601"/>
      <c r="G72" s="2601"/>
      <c r="H72" s="2601"/>
      <c r="I72" s="2602" t="s">
        <v>4390</v>
      </c>
      <c r="J72" s="2452"/>
    </row>
    <row r="73" spans="1:10" ht="15" customHeight="1">
      <c r="A73" s="2462">
        <v>5</v>
      </c>
      <c r="B73" s="2599" t="s">
        <v>3206</v>
      </c>
      <c r="C73" s="2600" t="s">
        <v>4614</v>
      </c>
      <c r="D73" s="2601">
        <v>2012</v>
      </c>
      <c r="E73" s="2463">
        <v>1</v>
      </c>
      <c r="F73" s="2463"/>
      <c r="G73" s="2463"/>
      <c r="H73" s="2463"/>
      <c r="I73" s="2602" t="s">
        <v>987</v>
      </c>
      <c r="J73" s="2452"/>
    </row>
    <row r="74" spans="1:10" ht="15" customHeight="1">
      <c r="A74" s="2462">
        <v>6</v>
      </c>
      <c r="B74" s="2599" t="s">
        <v>3206</v>
      </c>
      <c r="C74" s="2600" t="s">
        <v>4615</v>
      </c>
      <c r="D74" s="2601">
        <v>2012</v>
      </c>
      <c r="E74" s="2463">
        <v>1</v>
      </c>
      <c r="F74" s="2463"/>
      <c r="G74" s="2463"/>
      <c r="H74" s="2463"/>
      <c r="I74" s="2602" t="s">
        <v>4390</v>
      </c>
      <c r="J74" s="2452"/>
    </row>
    <row r="75" spans="1:10" ht="15" customHeight="1">
      <c r="A75" s="2462">
        <v>7</v>
      </c>
      <c r="B75" s="2463"/>
      <c r="C75" s="2463"/>
      <c r="D75" s="2463"/>
      <c r="E75" s="2463"/>
      <c r="F75" s="2463"/>
      <c r="G75" s="2463"/>
      <c r="H75" s="2463"/>
      <c r="I75" s="2461"/>
      <c r="J75" s="2452"/>
    </row>
    <row r="76" spans="1:10" ht="15" customHeight="1">
      <c r="A76" s="2462">
        <v>8</v>
      </c>
      <c r="B76" s="2463"/>
      <c r="C76" s="2463"/>
      <c r="D76" s="2463"/>
      <c r="E76" s="2463"/>
      <c r="F76" s="2463"/>
      <c r="G76" s="2463"/>
      <c r="H76" s="2463"/>
      <c r="I76" s="2461"/>
      <c r="J76" s="2452"/>
    </row>
    <row r="77" spans="1:10" ht="15" customHeight="1">
      <c r="A77" s="2462">
        <v>9</v>
      </c>
      <c r="B77" s="2463"/>
      <c r="C77" s="2463"/>
      <c r="D77" s="2463"/>
      <c r="E77" s="2463"/>
      <c r="F77" s="2463"/>
      <c r="G77" s="2463"/>
      <c r="H77" s="2463"/>
      <c r="I77" s="2461"/>
      <c r="J77" s="2452"/>
    </row>
    <row r="78" spans="1:10" ht="15" customHeight="1">
      <c r="A78" s="2492">
        <v>10</v>
      </c>
      <c r="B78" s="2464" t="s">
        <v>940</v>
      </c>
      <c r="C78" s="2464"/>
      <c r="D78" s="2464"/>
      <c r="E78" s="2464"/>
      <c r="F78" s="2464"/>
      <c r="G78" s="2464"/>
      <c r="H78" s="2464"/>
      <c r="I78" s="2458"/>
      <c r="J78" s="2452"/>
    </row>
    <row r="79" spans="1:10" ht="15" customHeight="1">
      <c r="A79" s="2454"/>
      <c r="B79" s="2445" t="s">
        <v>941</v>
      </c>
      <c r="C79" s="2445"/>
      <c r="D79" s="2445"/>
      <c r="E79" s="2445"/>
      <c r="F79" s="2445"/>
      <c r="G79" s="2445"/>
      <c r="H79" s="2445"/>
      <c r="I79" s="2455"/>
      <c r="J79" s="2452"/>
    </row>
    <row r="80" spans="1:10" ht="14.1" customHeight="1">
      <c r="A80" s="2452"/>
      <c r="B80" s="2451"/>
      <c r="C80" s="2451"/>
      <c r="D80" s="2451"/>
      <c r="E80" s="2451"/>
      <c r="F80" s="2451"/>
      <c r="G80" s="2451"/>
      <c r="H80" s="2451"/>
      <c r="I80" s="2453"/>
      <c r="J80" s="2452"/>
    </row>
    <row r="81" spans="1:10" ht="14.1" customHeight="1">
      <c r="A81" s="2490" t="s">
        <v>3634</v>
      </c>
      <c r="B81" s="2460"/>
      <c r="C81" s="2460"/>
      <c r="D81" s="2460"/>
      <c r="E81" s="2460"/>
      <c r="F81" s="2460"/>
      <c r="G81" s="2460"/>
      <c r="H81" s="2460"/>
      <c r="I81" s="2491"/>
      <c r="J81" s="2452"/>
    </row>
    <row r="82" spans="1:10" ht="14.1" customHeight="1">
      <c r="A82" s="2452" t="s">
        <v>2348</v>
      </c>
      <c r="B82" s="2451"/>
      <c r="C82" s="2451"/>
      <c r="D82" s="2451"/>
      <c r="E82" s="2451"/>
      <c r="F82" s="2451"/>
      <c r="G82" s="2451"/>
      <c r="H82" s="2451"/>
      <c r="I82" s="2453"/>
      <c r="J82" s="2452"/>
    </row>
    <row r="83" spans="1:10" ht="14.1" customHeight="1">
      <c r="A83" s="2452" t="s">
        <v>4346</v>
      </c>
      <c r="B83" s="2451"/>
      <c r="C83" s="2451"/>
      <c r="D83" s="2451"/>
      <c r="E83" s="2451" t="s">
        <v>2349</v>
      </c>
      <c r="F83" s="2451"/>
      <c r="G83" s="2451"/>
      <c r="H83" s="2451"/>
      <c r="I83" s="2453"/>
      <c r="J83" s="2452"/>
    </row>
    <row r="84" spans="1:10" ht="14.1" customHeight="1">
      <c r="A84" s="2452"/>
      <c r="B84" s="2451"/>
      <c r="C84" s="2451"/>
      <c r="D84" s="2451"/>
      <c r="E84" s="2451" t="s">
        <v>1004</v>
      </c>
      <c r="F84" s="2451"/>
      <c r="G84" s="2451"/>
      <c r="H84" s="2451"/>
      <c r="I84" s="2453"/>
      <c r="J84" s="2452"/>
    </row>
    <row r="85" spans="1:10" ht="14.1" customHeight="1">
      <c r="A85" s="2452" t="s">
        <v>1744</v>
      </c>
      <c r="B85" s="2451"/>
      <c r="C85" s="2451"/>
      <c r="D85" s="2451"/>
      <c r="E85" s="2451"/>
      <c r="F85" s="2451"/>
      <c r="G85" s="2451"/>
      <c r="H85" s="2451"/>
      <c r="I85" s="2453"/>
      <c r="J85" s="2452"/>
    </row>
    <row r="86" spans="1:10" ht="14.1" customHeight="1">
      <c r="A86" s="2452" t="s">
        <v>1005</v>
      </c>
      <c r="B86" s="2451"/>
      <c r="C86" s="2451"/>
      <c r="D86" s="2451"/>
      <c r="E86" s="2451" t="s">
        <v>848</v>
      </c>
      <c r="F86" s="2451"/>
      <c r="G86" s="2451"/>
      <c r="H86" s="2451"/>
      <c r="I86" s="2453"/>
      <c r="J86" s="2452"/>
    </row>
    <row r="87" spans="1:10" ht="14.1" customHeight="1">
      <c r="A87" s="2452"/>
      <c r="B87" s="2451"/>
      <c r="C87" s="2451"/>
      <c r="D87" s="2451"/>
      <c r="E87" s="2451" t="s">
        <v>1737</v>
      </c>
      <c r="F87" s="2451"/>
      <c r="G87" s="2451"/>
      <c r="H87" s="2451"/>
      <c r="I87" s="2453"/>
      <c r="J87" s="2452"/>
    </row>
    <row r="88" spans="1:10" ht="14.1" customHeight="1">
      <c r="A88" s="2452" t="s">
        <v>849</v>
      </c>
      <c r="B88" s="2451"/>
      <c r="C88" s="2451"/>
      <c r="D88" s="2451"/>
      <c r="E88" s="2451"/>
      <c r="F88" s="2451"/>
      <c r="G88" s="2451"/>
      <c r="H88" s="2451"/>
      <c r="I88" s="2453"/>
      <c r="J88" s="2452"/>
    </row>
    <row r="89" spans="1:10" ht="14.1" customHeight="1">
      <c r="A89" s="2452" t="s">
        <v>4345</v>
      </c>
      <c r="B89" s="2451"/>
      <c r="C89" s="2451"/>
      <c r="D89" s="2451"/>
      <c r="E89" s="2451"/>
      <c r="F89" s="2451"/>
      <c r="G89" s="2451"/>
      <c r="H89" s="2451"/>
      <c r="I89" s="2453"/>
      <c r="J89" s="2452"/>
    </row>
    <row r="90" spans="1:10" ht="14.1" customHeight="1">
      <c r="A90" s="2452"/>
      <c r="B90" s="2451"/>
      <c r="C90" s="2451"/>
      <c r="D90" s="2451"/>
      <c r="E90" s="2451"/>
      <c r="F90" s="2451"/>
      <c r="G90" s="2451"/>
      <c r="H90" s="2451"/>
      <c r="I90" s="2453"/>
      <c r="J90" s="2452"/>
    </row>
    <row r="91" spans="1:10" ht="14.1" customHeight="1">
      <c r="A91" s="2492"/>
      <c r="B91" s="2464"/>
      <c r="C91" s="2464"/>
      <c r="D91" s="2464"/>
      <c r="E91" s="2464" t="s">
        <v>1738</v>
      </c>
      <c r="F91" s="2464"/>
      <c r="G91" s="2464"/>
      <c r="H91" s="2580"/>
      <c r="I91" s="2458"/>
      <c r="J91" s="2452"/>
    </row>
    <row r="92" spans="1:10" ht="14.1" customHeight="1">
      <c r="A92" s="2462" t="s">
        <v>1939</v>
      </c>
      <c r="B92" s="2463" t="s">
        <v>1739</v>
      </c>
      <c r="C92" s="2463" t="s">
        <v>3754</v>
      </c>
      <c r="D92" s="2463"/>
      <c r="E92" s="2463"/>
      <c r="F92" s="2463"/>
      <c r="G92" s="2463"/>
      <c r="H92" s="2516"/>
      <c r="I92" s="2461"/>
      <c r="J92" s="2452"/>
    </row>
    <row r="93" spans="1:10" ht="14.1" customHeight="1">
      <c r="A93" s="2462" t="s">
        <v>1941</v>
      </c>
      <c r="B93" s="2463"/>
      <c r="C93" s="2463" t="s">
        <v>1874</v>
      </c>
      <c r="D93" s="2463" t="s">
        <v>3032</v>
      </c>
      <c r="E93" s="2463" t="s">
        <v>1875</v>
      </c>
      <c r="F93" s="2463" t="s">
        <v>1876</v>
      </c>
      <c r="G93" s="2459" t="s">
        <v>1877</v>
      </c>
      <c r="H93" s="2460"/>
      <c r="I93" s="2461" t="s">
        <v>4031</v>
      </c>
      <c r="J93" s="2452"/>
    </row>
    <row r="94" spans="1:10" ht="14.1" customHeight="1">
      <c r="A94" s="2462"/>
      <c r="B94" s="2463"/>
      <c r="C94" s="2463"/>
      <c r="D94" s="2463"/>
      <c r="E94" s="2463"/>
      <c r="F94" s="2463"/>
      <c r="G94" s="2459"/>
      <c r="H94" s="2460"/>
      <c r="I94" s="2461"/>
      <c r="J94" s="2452"/>
    </row>
    <row r="95" spans="1:10" ht="14.1" customHeight="1">
      <c r="A95" s="2462"/>
      <c r="B95" s="2463" t="s">
        <v>932</v>
      </c>
      <c r="C95" s="2463" t="s">
        <v>933</v>
      </c>
      <c r="D95" s="2463" t="s">
        <v>934</v>
      </c>
      <c r="E95" s="2463" t="s">
        <v>935</v>
      </c>
      <c r="F95" s="2463" t="s">
        <v>936</v>
      </c>
      <c r="G95" s="2459" t="s">
        <v>937</v>
      </c>
      <c r="H95" s="2460"/>
      <c r="I95" s="2461" t="s">
        <v>938</v>
      </c>
      <c r="J95" s="2452"/>
    </row>
    <row r="96" spans="1:10" ht="14.1" customHeight="1">
      <c r="A96" s="2492">
        <v>23</v>
      </c>
      <c r="B96" s="2444" t="s">
        <v>3212</v>
      </c>
      <c r="C96" s="2464"/>
      <c r="D96" s="2444"/>
      <c r="E96" s="2444"/>
      <c r="F96" s="2444"/>
      <c r="G96" s="2444"/>
      <c r="H96" s="2444"/>
      <c r="I96" s="2507"/>
      <c r="J96" s="2452"/>
    </row>
    <row r="97" spans="1:10" ht="15" customHeight="1">
      <c r="A97" s="2462">
        <v>24</v>
      </c>
      <c r="B97" s="2446" t="s">
        <v>3213</v>
      </c>
      <c r="C97" s="2463"/>
      <c r="D97" s="2446"/>
      <c r="E97" s="2446"/>
      <c r="F97" s="2446"/>
      <c r="G97" s="2446"/>
      <c r="H97" s="2446"/>
      <c r="I97" s="2505"/>
      <c r="J97" s="2452"/>
    </row>
    <row r="98" spans="1:10" ht="15" customHeight="1">
      <c r="A98" s="2462">
        <v>25</v>
      </c>
      <c r="B98" s="2446" t="s">
        <v>3214</v>
      </c>
      <c r="C98" s="2463"/>
      <c r="D98" s="2446"/>
      <c r="E98" s="2446"/>
      <c r="F98" s="2446"/>
      <c r="G98" s="2446"/>
      <c r="H98" s="2446"/>
      <c r="I98" s="2505"/>
      <c r="J98" s="2452"/>
    </row>
    <row r="99" spans="1:10" ht="15" customHeight="1">
      <c r="A99" s="2462">
        <v>26</v>
      </c>
      <c r="B99" s="2446" t="s">
        <v>3215</v>
      </c>
      <c r="C99" s="2463"/>
      <c r="D99" s="2446"/>
      <c r="E99" s="2446"/>
      <c r="F99" s="2446"/>
      <c r="G99" s="2446"/>
      <c r="H99" s="2446"/>
      <c r="I99" s="2505"/>
      <c r="J99" s="2452"/>
    </row>
    <row r="100" spans="1:10" ht="15" customHeight="1">
      <c r="A100" s="2462">
        <v>27</v>
      </c>
      <c r="B100" s="2446" t="s">
        <v>3216</v>
      </c>
      <c r="C100" s="2463"/>
      <c r="D100" s="2446"/>
      <c r="E100" s="2446"/>
      <c r="F100" s="2446"/>
      <c r="G100" s="2446"/>
      <c r="H100" s="2446"/>
      <c r="I100" s="2505"/>
      <c r="J100" s="2452"/>
    </row>
    <row r="101" spans="1:10" ht="15" customHeight="1">
      <c r="A101" s="2462">
        <v>28</v>
      </c>
      <c r="B101" s="2446" t="s">
        <v>3217</v>
      </c>
      <c r="C101" s="2463"/>
      <c r="D101" s="2446"/>
      <c r="E101" s="2446"/>
      <c r="F101" s="2446"/>
      <c r="G101" s="2446"/>
      <c r="H101" s="2446"/>
      <c r="I101" s="2505"/>
      <c r="J101" s="2452"/>
    </row>
    <row r="102" spans="1:10" ht="15" customHeight="1">
      <c r="A102" s="2462">
        <v>29</v>
      </c>
      <c r="B102" s="2601" t="s">
        <v>3218</v>
      </c>
      <c r="C102" s="2607">
        <v>503040.00000000017</v>
      </c>
      <c r="D102" s="2601" t="s">
        <v>4292</v>
      </c>
      <c r="E102" s="2601" t="s">
        <v>4295</v>
      </c>
      <c r="F102" s="2607">
        <v>7968</v>
      </c>
      <c r="G102" s="2463"/>
      <c r="H102" s="2463"/>
      <c r="I102" s="2461"/>
      <c r="J102" s="2452"/>
    </row>
    <row r="103" spans="1:10" ht="15" customHeight="1">
      <c r="A103" s="2462">
        <v>30</v>
      </c>
      <c r="B103" s="2601"/>
      <c r="C103" s="2607"/>
      <c r="D103" s="2601"/>
      <c r="E103" s="2601"/>
      <c r="F103" s="2607"/>
      <c r="G103" s="2463"/>
      <c r="H103" s="2463"/>
      <c r="I103" s="2461"/>
      <c r="J103" s="2452"/>
    </row>
    <row r="104" spans="1:10" ht="15" customHeight="1">
      <c r="A104" s="2462">
        <v>31</v>
      </c>
      <c r="B104" s="2601" t="s">
        <v>3219</v>
      </c>
      <c r="C104" s="2607">
        <v>503040.00000000017</v>
      </c>
      <c r="D104" s="2601" t="s">
        <v>4293</v>
      </c>
      <c r="E104" s="2601" t="s">
        <v>4296</v>
      </c>
      <c r="F104" s="2607">
        <v>105768</v>
      </c>
      <c r="G104" s="2463"/>
      <c r="H104" s="2463"/>
      <c r="I104" s="2461"/>
      <c r="J104" s="2452"/>
    </row>
    <row r="105" spans="1:10" ht="15" customHeight="1">
      <c r="A105" s="2462">
        <v>32</v>
      </c>
      <c r="B105" s="2601" t="s">
        <v>3220</v>
      </c>
      <c r="C105" s="2607">
        <v>503040.00000000017</v>
      </c>
      <c r="D105" s="2601" t="s">
        <v>4294</v>
      </c>
      <c r="E105" s="2601" t="s">
        <v>4296</v>
      </c>
      <c r="F105" s="2607">
        <v>125700</v>
      </c>
      <c r="G105" s="2463"/>
      <c r="H105" s="2463"/>
      <c r="I105" s="2461"/>
      <c r="J105" s="2452"/>
    </row>
    <row r="106" spans="1:10" ht="15" customHeight="1">
      <c r="A106" s="2462">
        <v>33</v>
      </c>
      <c r="B106" s="2446"/>
      <c r="C106" s="2607"/>
      <c r="D106" s="2446"/>
      <c r="E106" s="2446"/>
      <c r="F106" s="2608"/>
      <c r="G106" s="2446"/>
      <c r="H106" s="2446"/>
      <c r="I106" s="2505"/>
      <c r="J106" s="2452"/>
    </row>
    <row r="107" spans="1:10" ht="15" customHeight="1">
      <c r="A107" s="2462">
        <v>34</v>
      </c>
      <c r="B107" s="2446" t="s">
        <v>3221</v>
      </c>
      <c r="C107" s="2607">
        <v>503040.00000000017</v>
      </c>
      <c r="D107" s="2446"/>
      <c r="E107" s="2446"/>
      <c r="F107" s="2446"/>
      <c r="G107" s="2446"/>
      <c r="H107" s="2446"/>
      <c r="I107" s="2505"/>
      <c r="J107" s="2452"/>
    </row>
    <row r="108" spans="1:10" ht="15" customHeight="1">
      <c r="A108" s="2462">
        <v>35</v>
      </c>
      <c r="B108" s="2446" t="s">
        <v>3222</v>
      </c>
      <c r="C108" s="2607"/>
      <c r="D108" s="2446"/>
      <c r="E108" s="2446"/>
      <c r="F108" s="2446"/>
      <c r="G108" s="2446"/>
      <c r="H108" s="2446"/>
      <c r="I108" s="2505"/>
      <c r="J108" s="2452"/>
    </row>
    <row r="109" spans="1:10" ht="15" customHeight="1" thickBot="1">
      <c r="A109" s="2499">
        <v>36</v>
      </c>
      <c r="B109" s="2501" t="s">
        <v>3753</v>
      </c>
      <c r="C109" s="2609">
        <v>503040</v>
      </c>
      <c r="D109" s="2609"/>
      <c r="E109" s="2501"/>
      <c r="F109" s="2501"/>
      <c r="G109" s="2501"/>
      <c r="H109" s="2501"/>
      <c r="I109" s="2502"/>
      <c r="J109" s="2452"/>
    </row>
    <row r="110" spans="1:10" ht="15" customHeight="1">
      <c r="A110" s="2449" t="s">
        <v>3184</v>
      </c>
      <c r="B110" s="2449"/>
      <c r="C110" s="2449"/>
      <c r="D110" s="2592" t="s">
        <v>4354</v>
      </c>
      <c r="E110" s="2449"/>
      <c r="F110" s="2449"/>
      <c r="G110" s="2449"/>
      <c r="H110" s="2449"/>
      <c r="I110" s="2449"/>
    </row>
    <row r="111" spans="1:10" ht="15" customHeight="1" thickBot="1">
      <c r="A111" s="2444" t="str">
        <f>+A1</f>
        <v>Annual Report of New York American Water Company, Inc. (f/k/a Long Island Water Corp)                                   Year Ended  December 31, 2013</v>
      </c>
    </row>
    <row r="112" spans="1:10" ht="15" customHeight="1">
      <c r="A112" s="2448"/>
      <c r="B112" s="2449"/>
      <c r="C112" s="2449"/>
      <c r="D112" s="2449"/>
      <c r="E112" s="2449"/>
      <c r="F112" s="2449"/>
      <c r="G112" s="2449"/>
      <c r="H112" s="2449"/>
      <c r="I112" s="2450"/>
      <c r="J112" s="2610"/>
    </row>
    <row r="113" spans="1:10" ht="14.1" customHeight="1">
      <c r="A113" s="2490" t="s">
        <v>3940</v>
      </c>
      <c r="B113" s="2460"/>
      <c r="C113" s="2460"/>
      <c r="D113" s="2460"/>
      <c r="E113" s="2460"/>
      <c r="F113" s="2460"/>
      <c r="G113" s="2460"/>
      <c r="H113" s="2460"/>
      <c r="I113" s="2491"/>
      <c r="J113" s="2610"/>
    </row>
    <row r="114" spans="1:10" ht="14.1" customHeight="1">
      <c r="A114" s="2452"/>
      <c r="B114" s="2451"/>
      <c r="C114" s="2451"/>
      <c r="D114" s="2451"/>
      <c r="E114" s="2451"/>
      <c r="F114" s="2451"/>
      <c r="G114" s="2451"/>
      <c r="H114" s="2451"/>
      <c r="I114" s="2453"/>
      <c r="J114" s="2610"/>
    </row>
    <row r="115" spans="1:10" ht="14.1" customHeight="1">
      <c r="A115" s="2454"/>
      <c r="B115" s="2445"/>
      <c r="C115" s="2445"/>
      <c r="D115" s="2445"/>
      <c r="E115" s="2445"/>
      <c r="F115" s="2445"/>
      <c r="G115" s="2445"/>
      <c r="H115" s="2445"/>
      <c r="I115" s="2455"/>
      <c r="J115" s="2610"/>
    </row>
    <row r="116" spans="1:10" ht="14.1" customHeight="1">
      <c r="A116" s="2452" t="s">
        <v>2611</v>
      </c>
      <c r="B116" s="2451"/>
      <c r="C116" s="2451"/>
      <c r="D116" s="2451"/>
      <c r="E116" s="2451"/>
      <c r="F116" s="2451"/>
      <c r="G116" s="2451"/>
      <c r="H116" s="2451"/>
      <c r="I116" s="2453"/>
      <c r="J116" s="2610"/>
    </row>
    <row r="117" spans="1:10" ht="14.1" customHeight="1">
      <c r="A117" s="2452" t="s">
        <v>2612</v>
      </c>
      <c r="B117" s="2451"/>
      <c r="C117" s="2451"/>
      <c r="D117" s="2451"/>
      <c r="E117" s="2451"/>
      <c r="F117" s="2451"/>
      <c r="G117" s="2451"/>
      <c r="H117" s="2451"/>
      <c r="I117" s="2453"/>
      <c r="J117" s="2610"/>
    </row>
    <row r="118" spans="1:10" ht="14.1" customHeight="1">
      <c r="A118" s="2452"/>
      <c r="B118" s="2451"/>
      <c r="C118" s="2451"/>
      <c r="D118" s="2451"/>
      <c r="E118" s="2451"/>
      <c r="F118" s="2451"/>
      <c r="G118" s="2451"/>
      <c r="H118" s="2451"/>
      <c r="I118" s="2453"/>
      <c r="J118" s="2610"/>
    </row>
    <row r="119" spans="1:10" ht="14.1" customHeight="1">
      <c r="A119" s="2492"/>
      <c r="B119" s="2464"/>
      <c r="C119" s="2464"/>
      <c r="D119" s="2464"/>
      <c r="E119" s="2464"/>
      <c r="F119" s="2464"/>
      <c r="G119" s="2464"/>
      <c r="H119" s="2464"/>
      <c r="I119" s="2458"/>
      <c r="J119" s="2610"/>
    </row>
    <row r="120" spans="1:10" ht="14.1" customHeight="1">
      <c r="A120" s="2462"/>
      <c r="B120" s="2463" t="s">
        <v>3026</v>
      </c>
      <c r="C120" s="2463" t="s">
        <v>94</v>
      </c>
      <c r="D120" s="2463" t="s">
        <v>3022</v>
      </c>
      <c r="E120" s="2463" t="s">
        <v>2820</v>
      </c>
      <c r="F120" s="2463" t="s">
        <v>3021</v>
      </c>
      <c r="G120" s="2463" t="s">
        <v>2821</v>
      </c>
      <c r="H120" s="2463" t="s">
        <v>2822</v>
      </c>
      <c r="I120" s="2461" t="s">
        <v>930</v>
      </c>
      <c r="J120" s="2610"/>
    </row>
    <row r="121" spans="1:10" ht="14.1" customHeight="1">
      <c r="A121" s="2462" t="s">
        <v>1939</v>
      </c>
      <c r="B121" s="2463" t="s">
        <v>4226</v>
      </c>
      <c r="C121" s="2463"/>
      <c r="D121" s="2463" t="s">
        <v>2823</v>
      </c>
      <c r="E121" s="2463" t="s">
        <v>4398</v>
      </c>
      <c r="F121" s="2463" t="s">
        <v>4398</v>
      </c>
      <c r="G121" s="2463" t="s">
        <v>4398</v>
      </c>
      <c r="H121" s="2463" t="s">
        <v>4399</v>
      </c>
      <c r="I121" s="2461" t="s">
        <v>931</v>
      </c>
      <c r="J121" s="2610"/>
    </row>
    <row r="122" spans="1:10" ht="14.1" customHeight="1">
      <c r="A122" s="2462" t="s">
        <v>1941</v>
      </c>
      <c r="B122" s="2463" t="s">
        <v>4400</v>
      </c>
      <c r="C122" s="2463"/>
      <c r="D122" s="2463" t="s">
        <v>4401</v>
      </c>
      <c r="E122" s="2463"/>
      <c r="F122" s="2463" t="s">
        <v>4402</v>
      </c>
      <c r="G122" s="2463" t="s">
        <v>3039</v>
      </c>
      <c r="H122" s="2463" t="s">
        <v>4403</v>
      </c>
      <c r="I122" s="2461"/>
      <c r="J122" s="2610"/>
    </row>
    <row r="123" spans="1:10" ht="14.1" customHeight="1">
      <c r="A123" s="2462"/>
      <c r="B123" s="2463" t="s">
        <v>932</v>
      </c>
      <c r="C123" s="2463" t="s">
        <v>933</v>
      </c>
      <c r="D123" s="2463" t="s">
        <v>934</v>
      </c>
      <c r="E123" s="2463" t="s">
        <v>935</v>
      </c>
      <c r="F123" s="2463" t="s">
        <v>936</v>
      </c>
      <c r="G123" s="2463" t="s">
        <v>937</v>
      </c>
      <c r="H123" s="2463" t="s">
        <v>938</v>
      </c>
      <c r="I123" s="2461" t="s">
        <v>939</v>
      </c>
      <c r="J123" s="2610"/>
    </row>
    <row r="124" spans="1:10" ht="14.1" customHeight="1">
      <c r="A124" s="2492">
        <v>1</v>
      </c>
      <c r="B124" s="2595" t="s">
        <v>468</v>
      </c>
      <c r="C124" s="2596" t="s">
        <v>3207</v>
      </c>
      <c r="D124" s="2597">
        <v>2013</v>
      </c>
      <c r="E124" s="2597">
        <v>1</v>
      </c>
      <c r="F124" s="2597"/>
      <c r="G124" s="2597"/>
      <c r="H124" s="2597"/>
      <c r="I124" s="2598" t="s">
        <v>987</v>
      </c>
      <c r="J124" s="2610"/>
    </row>
    <row r="125" spans="1:10" ht="14.1" customHeight="1">
      <c r="A125" s="2462">
        <v>2</v>
      </c>
      <c r="B125" s="2599" t="s">
        <v>469</v>
      </c>
      <c r="C125" s="2600" t="s">
        <v>4613</v>
      </c>
      <c r="D125" s="2601">
        <v>1995</v>
      </c>
      <c r="E125" s="2601">
        <v>2</v>
      </c>
      <c r="F125" s="2601"/>
      <c r="G125" s="2601"/>
      <c r="H125" s="2601"/>
      <c r="I125" s="2602" t="s">
        <v>4390</v>
      </c>
      <c r="J125" s="2610"/>
    </row>
    <row r="126" spans="1:10" ht="15" customHeight="1">
      <c r="A126" s="2462">
        <v>3</v>
      </c>
      <c r="B126" s="2599" t="s">
        <v>469</v>
      </c>
      <c r="C126" s="2600" t="s">
        <v>3208</v>
      </c>
      <c r="D126" s="2601">
        <v>1992</v>
      </c>
      <c r="E126" s="2601">
        <v>1</v>
      </c>
      <c r="F126" s="2601"/>
      <c r="G126" s="2601"/>
      <c r="H126" s="2601"/>
      <c r="I126" s="2602" t="s">
        <v>987</v>
      </c>
      <c r="J126" s="2610"/>
    </row>
    <row r="127" spans="1:10" ht="15" customHeight="1">
      <c r="A127" s="2462">
        <v>4</v>
      </c>
      <c r="B127" s="2599" t="s">
        <v>469</v>
      </c>
      <c r="C127" s="2600" t="s">
        <v>3209</v>
      </c>
      <c r="D127" s="2601" t="s">
        <v>1205</v>
      </c>
      <c r="E127" s="2601">
        <v>2</v>
      </c>
      <c r="F127" s="2601"/>
      <c r="G127" s="2601"/>
      <c r="H127" s="2601"/>
      <c r="I127" s="2602" t="s">
        <v>4390</v>
      </c>
      <c r="J127" s="2610"/>
    </row>
    <row r="128" spans="1:10" ht="15" customHeight="1">
      <c r="A128" s="2462">
        <v>5</v>
      </c>
      <c r="B128" s="2599" t="s">
        <v>469</v>
      </c>
      <c r="C128" s="2600" t="s">
        <v>4614</v>
      </c>
      <c r="D128" s="2601">
        <v>2011</v>
      </c>
      <c r="E128" s="2463">
        <v>3</v>
      </c>
      <c r="F128" s="2463"/>
      <c r="G128" s="2463"/>
      <c r="H128" s="2463"/>
      <c r="I128" s="2602" t="s">
        <v>987</v>
      </c>
      <c r="J128" s="2610"/>
    </row>
    <row r="129" spans="1:10" ht="15" customHeight="1">
      <c r="A129" s="2462">
        <v>6</v>
      </c>
      <c r="B129" s="2599" t="s">
        <v>469</v>
      </c>
      <c r="C129" s="2600" t="s">
        <v>4615</v>
      </c>
      <c r="D129" s="2601">
        <v>2011</v>
      </c>
      <c r="E129" s="2463">
        <v>1</v>
      </c>
      <c r="F129" s="2463"/>
      <c r="G129" s="2463"/>
      <c r="H129" s="2463"/>
      <c r="I129" s="2602" t="s">
        <v>4390</v>
      </c>
      <c r="J129" s="2610"/>
    </row>
    <row r="130" spans="1:10" ht="15" customHeight="1">
      <c r="A130" s="2462">
        <v>7</v>
      </c>
      <c r="B130" s="2463"/>
      <c r="C130" s="2463"/>
      <c r="D130" s="2463"/>
      <c r="E130" s="2463"/>
      <c r="F130" s="2463"/>
      <c r="G130" s="2463"/>
      <c r="H130" s="2463"/>
      <c r="I130" s="2461"/>
      <c r="J130" s="2610"/>
    </row>
    <row r="131" spans="1:10" ht="15" customHeight="1">
      <c r="A131" s="2462">
        <v>8</v>
      </c>
      <c r="B131" s="2463"/>
      <c r="C131" s="2463"/>
      <c r="D131" s="2463"/>
      <c r="E131" s="2463"/>
      <c r="F131" s="2463"/>
      <c r="G131" s="2463"/>
      <c r="H131" s="2463"/>
      <c r="I131" s="2461"/>
      <c r="J131" s="2610"/>
    </row>
    <row r="132" spans="1:10" ht="15" customHeight="1">
      <c r="A132" s="2462">
        <v>9</v>
      </c>
      <c r="B132" s="2463"/>
      <c r="C132" s="2463"/>
      <c r="D132" s="2463"/>
      <c r="E132" s="2463"/>
      <c r="F132" s="2463"/>
      <c r="G132" s="2463"/>
      <c r="H132" s="2463"/>
      <c r="I132" s="2461"/>
      <c r="J132" s="2610"/>
    </row>
    <row r="133" spans="1:10" ht="15" customHeight="1">
      <c r="A133" s="2492">
        <v>10</v>
      </c>
      <c r="B133" s="2464" t="s">
        <v>940</v>
      </c>
      <c r="C133" s="2464"/>
      <c r="D133" s="2464"/>
      <c r="E133" s="2464"/>
      <c r="F133" s="2464"/>
      <c r="G133" s="2464"/>
      <c r="H133" s="2464"/>
      <c r="I133" s="2458"/>
      <c r="J133" s="2610"/>
    </row>
    <row r="134" spans="1:10" ht="15" customHeight="1">
      <c r="A134" s="2454"/>
      <c r="B134" s="2445" t="s">
        <v>941</v>
      </c>
      <c r="C134" s="2445"/>
      <c r="D134" s="2445"/>
      <c r="E134" s="2445"/>
      <c r="F134" s="2445"/>
      <c r="G134" s="2445"/>
      <c r="H134" s="2445"/>
      <c r="I134" s="2455"/>
      <c r="J134" s="2610"/>
    </row>
    <row r="135" spans="1:10" ht="15" customHeight="1">
      <c r="A135" s="2452"/>
      <c r="B135" s="2451"/>
      <c r="C135" s="2451"/>
      <c r="D135" s="2451"/>
      <c r="E135" s="2451"/>
      <c r="F135" s="2451"/>
      <c r="G135" s="2451"/>
      <c r="H135" s="2451"/>
      <c r="I135" s="2453"/>
      <c r="J135" s="2610"/>
    </row>
    <row r="136" spans="1:10" ht="14.1" customHeight="1">
      <c r="A136" s="2490" t="s">
        <v>3634</v>
      </c>
      <c r="B136" s="2460"/>
      <c r="C136" s="2460"/>
      <c r="D136" s="2460"/>
      <c r="E136" s="2460"/>
      <c r="F136" s="2460"/>
      <c r="G136" s="2460"/>
      <c r="H136" s="2460"/>
      <c r="I136" s="2491"/>
      <c r="J136" s="2610"/>
    </row>
    <row r="137" spans="1:10" ht="14.1" customHeight="1">
      <c r="A137" s="2452" t="s">
        <v>2348</v>
      </c>
      <c r="B137" s="2451"/>
      <c r="C137" s="2451"/>
      <c r="D137" s="2451"/>
      <c r="E137" s="2451"/>
      <c r="F137" s="2451"/>
      <c r="G137" s="2451"/>
      <c r="H137" s="2451"/>
      <c r="I137" s="2453"/>
      <c r="J137" s="2610"/>
    </row>
    <row r="138" spans="1:10" ht="14.1" customHeight="1">
      <c r="A138" s="2452" t="s">
        <v>4346</v>
      </c>
      <c r="B138" s="2451"/>
      <c r="C138" s="2451"/>
      <c r="D138" s="2451"/>
      <c r="E138" s="2451" t="s">
        <v>2349</v>
      </c>
      <c r="F138" s="2451"/>
      <c r="G138" s="2451"/>
      <c r="H138" s="2451"/>
      <c r="I138" s="2453"/>
      <c r="J138" s="2610"/>
    </row>
    <row r="139" spans="1:10" ht="14.1" customHeight="1">
      <c r="A139" s="2452"/>
      <c r="B139" s="2451"/>
      <c r="C139" s="2451"/>
      <c r="D139" s="2451"/>
      <c r="E139" s="2451" t="s">
        <v>1004</v>
      </c>
      <c r="F139" s="2451"/>
      <c r="G139" s="2451"/>
      <c r="H139" s="2451"/>
      <c r="I139" s="2453"/>
      <c r="J139" s="2610"/>
    </row>
    <row r="140" spans="1:10" ht="14.1" customHeight="1">
      <c r="A140" s="2452" t="s">
        <v>1744</v>
      </c>
      <c r="B140" s="2451"/>
      <c r="C140" s="2451"/>
      <c r="D140" s="2451"/>
      <c r="E140" s="2451"/>
      <c r="F140" s="2451"/>
      <c r="G140" s="2451"/>
      <c r="H140" s="2451"/>
      <c r="I140" s="2453"/>
      <c r="J140" s="2610"/>
    </row>
    <row r="141" spans="1:10" ht="14.1" customHeight="1">
      <c r="A141" s="2452" t="s">
        <v>1005</v>
      </c>
      <c r="B141" s="2451"/>
      <c r="C141" s="2451"/>
      <c r="D141" s="2451"/>
      <c r="E141" s="2451" t="s">
        <v>848</v>
      </c>
      <c r="F141" s="2451"/>
      <c r="G141" s="2451"/>
      <c r="H141" s="2451"/>
      <c r="I141" s="2453"/>
      <c r="J141" s="2610"/>
    </row>
    <row r="142" spans="1:10" ht="14.1" customHeight="1">
      <c r="A142" s="2452"/>
      <c r="B142" s="2451"/>
      <c r="C142" s="2451"/>
      <c r="D142" s="2451"/>
      <c r="E142" s="2451" t="s">
        <v>1737</v>
      </c>
      <c r="F142" s="2451"/>
      <c r="G142" s="2451"/>
      <c r="H142" s="2451"/>
      <c r="I142" s="2453"/>
      <c r="J142" s="2610"/>
    </row>
    <row r="143" spans="1:10" ht="14.1" customHeight="1">
      <c r="A143" s="2452" t="s">
        <v>849</v>
      </c>
      <c r="B143" s="2451"/>
      <c r="C143" s="2451"/>
      <c r="D143" s="2451"/>
      <c r="E143" s="2451"/>
      <c r="F143" s="2451"/>
      <c r="G143" s="2451"/>
      <c r="H143" s="2451"/>
      <c r="I143" s="2453"/>
      <c r="J143" s="2610"/>
    </row>
    <row r="144" spans="1:10" ht="14.1" customHeight="1">
      <c r="A144" s="2452" t="s">
        <v>4345</v>
      </c>
      <c r="B144" s="2451"/>
      <c r="C144" s="2451"/>
      <c r="D144" s="2451"/>
      <c r="E144" s="2451"/>
      <c r="F144" s="2451"/>
      <c r="G144" s="2451"/>
      <c r="H144" s="2451"/>
      <c r="I144" s="2453"/>
      <c r="J144" s="2610"/>
    </row>
    <row r="145" spans="1:10" ht="14.1" customHeight="1">
      <c r="A145" s="2452"/>
      <c r="B145" s="2451"/>
      <c r="C145" s="2451"/>
      <c r="D145" s="2451"/>
      <c r="E145" s="2451"/>
      <c r="F145" s="2451"/>
      <c r="G145" s="2451"/>
      <c r="H145" s="2451"/>
      <c r="I145" s="2453"/>
      <c r="J145" s="2610"/>
    </row>
    <row r="146" spans="1:10" ht="14.1" customHeight="1">
      <c r="A146" s="2492"/>
      <c r="B146" s="2464"/>
      <c r="C146" s="2464"/>
      <c r="D146" s="2464"/>
      <c r="E146" s="2464" t="s">
        <v>1738</v>
      </c>
      <c r="F146" s="2464"/>
      <c r="G146" s="2464"/>
      <c r="H146" s="2580"/>
      <c r="I146" s="2458"/>
      <c r="J146" s="2610"/>
    </row>
    <row r="147" spans="1:10" ht="14.1" customHeight="1">
      <c r="A147" s="2462" t="s">
        <v>1939</v>
      </c>
      <c r="B147" s="2463" t="s">
        <v>1739</v>
      </c>
      <c r="C147" s="2463" t="s">
        <v>3754</v>
      </c>
      <c r="D147" s="2463"/>
      <c r="E147" s="2463"/>
      <c r="F147" s="2463"/>
      <c r="G147" s="2463"/>
      <c r="H147" s="2516"/>
      <c r="I147" s="2461"/>
      <c r="J147" s="2610"/>
    </row>
    <row r="148" spans="1:10" ht="14.1" customHeight="1">
      <c r="A148" s="2462" t="s">
        <v>1941</v>
      </c>
      <c r="B148" s="2463"/>
      <c r="C148" s="2463" t="s">
        <v>1874</v>
      </c>
      <c r="D148" s="2463" t="s">
        <v>3032</v>
      </c>
      <c r="E148" s="2463" t="s">
        <v>1875</v>
      </c>
      <c r="F148" s="2463" t="s">
        <v>1876</v>
      </c>
      <c r="G148" s="2459" t="s">
        <v>1877</v>
      </c>
      <c r="H148" s="2460"/>
      <c r="I148" s="2461" t="s">
        <v>4031</v>
      </c>
      <c r="J148" s="2610"/>
    </row>
    <row r="149" spans="1:10" ht="14.1" customHeight="1">
      <c r="A149" s="2462"/>
      <c r="B149" s="2463"/>
      <c r="C149" s="2463"/>
      <c r="D149" s="2463"/>
      <c r="E149" s="2463"/>
      <c r="F149" s="2463"/>
      <c r="G149" s="2459"/>
      <c r="H149" s="2460"/>
      <c r="I149" s="2461"/>
      <c r="J149" s="2610"/>
    </row>
    <row r="150" spans="1:10" ht="14.1" customHeight="1">
      <c r="A150" s="2462"/>
      <c r="B150" s="2463" t="s">
        <v>932</v>
      </c>
      <c r="C150" s="2463" t="s">
        <v>933</v>
      </c>
      <c r="D150" s="2463" t="s">
        <v>934</v>
      </c>
      <c r="E150" s="2463" t="s">
        <v>935</v>
      </c>
      <c r="F150" s="2463" t="s">
        <v>936</v>
      </c>
      <c r="G150" s="2459" t="s">
        <v>937</v>
      </c>
      <c r="H150" s="2460"/>
      <c r="I150" s="2461" t="s">
        <v>938</v>
      </c>
      <c r="J150" s="2610"/>
    </row>
    <row r="151" spans="1:10" ht="14.1" customHeight="1">
      <c r="A151" s="2492">
        <v>23</v>
      </c>
      <c r="B151" s="2444" t="s">
        <v>3212</v>
      </c>
      <c r="C151" s="2464"/>
      <c r="D151" s="2444"/>
      <c r="E151" s="2444"/>
      <c r="F151" s="2444"/>
      <c r="G151" s="2444"/>
      <c r="H151" s="2444"/>
      <c r="I151" s="2507"/>
      <c r="J151" s="2610"/>
    </row>
    <row r="152" spans="1:10" ht="14.1" customHeight="1">
      <c r="A152" s="2462">
        <v>24</v>
      </c>
      <c r="B152" s="2446" t="s">
        <v>3213</v>
      </c>
      <c r="C152" s="2463"/>
      <c r="D152" s="2446"/>
      <c r="E152" s="2446"/>
      <c r="F152" s="2446"/>
      <c r="G152" s="2446"/>
      <c r="H152" s="2446"/>
      <c r="I152" s="2505"/>
      <c r="J152" s="2610"/>
    </row>
    <row r="153" spans="1:10" ht="15" customHeight="1">
      <c r="A153" s="2462">
        <v>25</v>
      </c>
      <c r="B153" s="2446" t="s">
        <v>3214</v>
      </c>
      <c r="C153" s="2463"/>
      <c r="D153" s="2446"/>
      <c r="E153" s="2446"/>
      <c r="F153" s="2446"/>
      <c r="G153" s="2446"/>
      <c r="H153" s="2446"/>
      <c r="I153" s="2505"/>
      <c r="J153" s="2610"/>
    </row>
    <row r="154" spans="1:10" ht="15" customHeight="1">
      <c r="A154" s="2462">
        <v>26</v>
      </c>
      <c r="B154" s="2446" t="s">
        <v>3215</v>
      </c>
      <c r="C154" s="2463"/>
      <c r="D154" s="2446"/>
      <c r="E154" s="2446"/>
      <c r="F154" s="2446"/>
      <c r="G154" s="2446"/>
      <c r="H154" s="2446"/>
      <c r="I154" s="2505"/>
      <c r="J154" s="2610"/>
    </row>
    <row r="155" spans="1:10" ht="15" customHeight="1">
      <c r="A155" s="2462">
        <v>27</v>
      </c>
      <c r="B155" s="2446" t="s">
        <v>3216</v>
      </c>
      <c r="C155" s="2463"/>
      <c r="D155" s="2446"/>
      <c r="E155" s="2446"/>
      <c r="F155" s="2446"/>
      <c r="G155" s="2446"/>
      <c r="H155" s="2446"/>
      <c r="I155" s="2505"/>
      <c r="J155" s="2610"/>
    </row>
    <row r="156" spans="1:10" ht="15" customHeight="1">
      <c r="A156" s="2462">
        <v>28</v>
      </c>
      <c r="B156" s="2446" t="s">
        <v>3217</v>
      </c>
      <c r="C156" s="2463"/>
      <c r="D156" s="2446"/>
      <c r="E156" s="2446"/>
      <c r="F156" s="2446"/>
      <c r="G156" s="2446"/>
      <c r="H156" s="2446"/>
      <c r="I156" s="2505"/>
      <c r="J156" s="2610"/>
    </row>
    <row r="157" spans="1:10" ht="15" customHeight="1">
      <c r="A157" s="2462">
        <v>29</v>
      </c>
      <c r="B157" s="2601" t="s">
        <v>3218</v>
      </c>
      <c r="C157" s="2607">
        <v>513480.17400000006</v>
      </c>
      <c r="D157" s="2601" t="s">
        <v>4292</v>
      </c>
      <c r="E157" s="2601" t="s">
        <v>4295</v>
      </c>
      <c r="F157" s="2607">
        <v>5637</v>
      </c>
      <c r="G157" s="2463"/>
      <c r="H157" s="2463"/>
      <c r="I157" s="2461"/>
      <c r="J157" s="2610"/>
    </row>
    <row r="158" spans="1:10" ht="15" customHeight="1">
      <c r="A158" s="2462">
        <v>30</v>
      </c>
      <c r="B158" s="2601"/>
      <c r="C158" s="2607"/>
      <c r="D158" s="2601"/>
      <c r="E158" s="2601"/>
      <c r="F158" s="2607"/>
      <c r="G158" s="2463"/>
      <c r="H158" s="2463"/>
      <c r="I158" s="2461"/>
      <c r="J158" s="2610"/>
    </row>
    <row r="159" spans="1:10" ht="15" customHeight="1">
      <c r="A159" s="2462">
        <v>31</v>
      </c>
      <c r="B159" s="2601" t="s">
        <v>3219</v>
      </c>
      <c r="C159" s="2607">
        <v>513480.17400000006</v>
      </c>
      <c r="D159" s="2601" t="s">
        <v>4293</v>
      </c>
      <c r="E159" s="2601" t="s">
        <v>4296</v>
      </c>
      <c r="F159" s="2607">
        <v>108348</v>
      </c>
      <c r="G159" s="2463"/>
      <c r="H159" s="2463"/>
      <c r="I159" s="2461"/>
      <c r="J159" s="2610"/>
    </row>
    <row r="160" spans="1:10" ht="15" customHeight="1">
      <c r="A160" s="2462">
        <v>32</v>
      </c>
      <c r="B160" s="2601" t="s">
        <v>3220</v>
      </c>
      <c r="C160" s="2607">
        <v>513480.17400000006</v>
      </c>
      <c r="D160" s="2601" t="s">
        <v>4294</v>
      </c>
      <c r="E160" s="2601" t="s">
        <v>4296</v>
      </c>
      <c r="F160" s="2607">
        <v>214750</v>
      </c>
      <c r="G160" s="2463"/>
      <c r="H160" s="2463"/>
      <c r="I160" s="2461"/>
      <c r="J160" s="2610"/>
    </row>
    <row r="161" spans="1:10" ht="15" customHeight="1">
      <c r="A161" s="2462">
        <v>33</v>
      </c>
      <c r="B161" s="2446"/>
      <c r="C161" s="2607"/>
      <c r="D161" s="2446"/>
      <c r="E161" s="2446"/>
      <c r="F161" s="2608"/>
      <c r="G161" s="2446"/>
      <c r="H161" s="2446"/>
      <c r="I161" s="2505"/>
      <c r="J161" s="2610"/>
    </row>
    <row r="162" spans="1:10" ht="15" customHeight="1">
      <c r="A162" s="2462">
        <v>34</v>
      </c>
      <c r="B162" s="2446" t="s">
        <v>3221</v>
      </c>
      <c r="C162" s="2607"/>
      <c r="D162" s="2446"/>
      <c r="E162" s="2446"/>
      <c r="F162" s="2446"/>
      <c r="G162" s="2446"/>
      <c r="H162" s="2446"/>
      <c r="I162" s="2505"/>
      <c r="J162" s="2610"/>
    </row>
    <row r="163" spans="1:10" ht="15" customHeight="1">
      <c r="A163" s="2462">
        <v>35</v>
      </c>
      <c r="B163" s="2446" t="s">
        <v>3222</v>
      </c>
      <c r="C163" s="2607"/>
      <c r="D163" s="2446"/>
      <c r="E163" s="2446"/>
      <c r="F163" s="2446"/>
      <c r="G163" s="2446"/>
      <c r="H163" s="2446"/>
      <c r="I163" s="2505"/>
      <c r="J163" s="2610"/>
    </row>
    <row r="164" spans="1:10" ht="15" customHeight="1" thickBot="1">
      <c r="A164" s="2499">
        <v>36</v>
      </c>
      <c r="B164" s="2501" t="s">
        <v>3753</v>
      </c>
      <c r="C164" s="2609">
        <v>513480</v>
      </c>
      <c r="D164" s="2609"/>
      <c r="E164" s="2501"/>
      <c r="F164" s="2501"/>
      <c r="G164" s="2501"/>
      <c r="H164" s="2501"/>
      <c r="I164" s="2502"/>
      <c r="J164" s="2610"/>
    </row>
    <row r="165" spans="1:10" ht="15" customHeight="1">
      <c r="A165" s="2449" t="s">
        <v>3184</v>
      </c>
      <c r="B165" s="2449"/>
      <c r="C165" s="2449"/>
      <c r="D165" s="2592" t="s">
        <v>4355</v>
      </c>
      <c r="E165" s="2449"/>
      <c r="F165" s="2449"/>
      <c r="G165" s="2449"/>
      <c r="H165" s="2449"/>
      <c r="I165" s="2449"/>
    </row>
    <row r="166" spans="1:10" ht="15" customHeight="1" thickBot="1">
      <c r="A166" s="2444" t="str">
        <f>+A1</f>
        <v>Annual Report of New York American Water Company, Inc. (f/k/a Long Island Water Corp)                                   Year Ended  December 31, 2013</v>
      </c>
    </row>
    <row r="167" spans="1:10" ht="15" customHeight="1">
      <c r="A167" s="2448"/>
      <c r="B167" s="2449"/>
      <c r="C167" s="2449"/>
      <c r="D167" s="2449"/>
      <c r="E167" s="2449"/>
      <c r="F167" s="2449"/>
      <c r="G167" s="2449"/>
      <c r="H167" s="2449"/>
      <c r="I167" s="2450"/>
      <c r="J167" s="2610"/>
    </row>
    <row r="168" spans="1:10" ht="15" customHeight="1">
      <c r="A168" s="2490" t="s">
        <v>3940</v>
      </c>
      <c r="B168" s="2460"/>
      <c r="C168" s="2460"/>
      <c r="D168" s="2460"/>
      <c r="E168" s="2460"/>
      <c r="F168" s="2460"/>
      <c r="G168" s="2460"/>
      <c r="H168" s="2460"/>
      <c r="I168" s="2491"/>
      <c r="J168" s="2610"/>
    </row>
    <row r="169" spans="1:10" ht="14.1" customHeight="1">
      <c r="A169" s="2452"/>
      <c r="B169" s="2451"/>
      <c r="C169" s="2451"/>
      <c r="D169" s="2451"/>
      <c r="E169" s="2451"/>
      <c r="F169" s="2451"/>
      <c r="G169" s="2451"/>
      <c r="H169" s="2451"/>
      <c r="I169" s="2453"/>
      <c r="J169" s="2610"/>
    </row>
    <row r="170" spans="1:10" ht="14.1" customHeight="1">
      <c r="A170" s="2454"/>
      <c r="B170" s="2445"/>
      <c r="C170" s="2445"/>
      <c r="D170" s="2445"/>
      <c r="E170" s="2445"/>
      <c r="F170" s="2445"/>
      <c r="G170" s="2445"/>
      <c r="H170" s="2445"/>
      <c r="I170" s="2455"/>
      <c r="J170" s="2610"/>
    </row>
    <row r="171" spans="1:10" ht="14.1" customHeight="1">
      <c r="A171" s="2452" t="s">
        <v>2611</v>
      </c>
      <c r="B171" s="2451"/>
      <c r="C171" s="2451"/>
      <c r="D171" s="2451"/>
      <c r="E171" s="2451"/>
      <c r="F171" s="2451"/>
      <c r="G171" s="2451"/>
      <c r="H171" s="2451"/>
      <c r="I171" s="2453"/>
      <c r="J171" s="2610"/>
    </row>
    <row r="172" spans="1:10" ht="14.1" customHeight="1">
      <c r="A172" s="2452" t="s">
        <v>2612</v>
      </c>
      <c r="B172" s="2451"/>
      <c r="C172" s="2451"/>
      <c r="D172" s="2451"/>
      <c r="E172" s="2451"/>
      <c r="F172" s="2451"/>
      <c r="G172" s="2451"/>
      <c r="H172" s="2451"/>
      <c r="I172" s="2453"/>
      <c r="J172" s="2610"/>
    </row>
    <row r="173" spans="1:10" ht="14.1" customHeight="1">
      <c r="A173" s="2452"/>
      <c r="B173" s="2451"/>
      <c r="C173" s="2451"/>
      <c r="D173" s="2451"/>
      <c r="E173" s="2451"/>
      <c r="F173" s="2451"/>
      <c r="G173" s="2451"/>
      <c r="H173" s="2451"/>
      <c r="I173" s="2453"/>
      <c r="J173" s="2610"/>
    </row>
    <row r="174" spans="1:10" ht="14.1" customHeight="1">
      <c r="A174" s="2492"/>
      <c r="B174" s="2464"/>
      <c r="C174" s="2464"/>
      <c r="D174" s="2464"/>
      <c r="E174" s="2464"/>
      <c r="F174" s="2464"/>
      <c r="G174" s="2464"/>
      <c r="H174" s="2464"/>
      <c r="I174" s="2458"/>
      <c r="J174" s="2610"/>
    </row>
    <row r="175" spans="1:10" ht="14.1" customHeight="1">
      <c r="A175" s="2462"/>
      <c r="B175" s="2463" t="s">
        <v>3026</v>
      </c>
      <c r="C175" s="2463" t="s">
        <v>94</v>
      </c>
      <c r="D175" s="2463" t="s">
        <v>3022</v>
      </c>
      <c r="E175" s="2463" t="s">
        <v>2820</v>
      </c>
      <c r="F175" s="2463" t="s">
        <v>3021</v>
      </c>
      <c r="G175" s="2463" t="s">
        <v>2821</v>
      </c>
      <c r="H175" s="2463" t="s">
        <v>2822</v>
      </c>
      <c r="I175" s="2461" t="s">
        <v>930</v>
      </c>
      <c r="J175" s="2610"/>
    </row>
    <row r="176" spans="1:10" ht="14.1" customHeight="1">
      <c r="A176" s="2462" t="s">
        <v>1939</v>
      </c>
      <c r="B176" s="2463" t="s">
        <v>4226</v>
      </c>
      <c r="C176" s="2463"/>
      <c r="D176" s="2463" t="s">
        <v>2823</v>
      </c>
      <c r="E176" s="2463" t="s">
        <v>4398</v>
      </c>
      <c r="F176" s="2463" t="s">
        <v>4398</v>
      </c>
      <c r="G176" s="2463" t="s">
        <v>4398</v>
      </c>
      <c r="H176" s="2463" t="s">
        <v>4399</v>
      </c>
      <c r="I176" s="2461" t="s">
        <v>931</v>
      </c>
      <c r="J176" s="2610"/>
    </row>
    <row r="177" spans="1:10" ht="14.1" customHeight="1">
      <c r="A177" s="2462" t="s">
        <v>1941</v>
      </c>
      <c r="B177" s="2463" t="s">
        <v>4400</v>
      </c>
      <c r="C177" s="2463"/>
      <c r="D177" s="2463" t="s">
        <v>4401</v>
      </c>
      <c r="E177" s="2463"/>
      <c r="F177" s="2463" t="s">
        <v>4402</v>
      </c>
      <c r="G177" s="2463" t="s">
        <v>3039</v>
      </c>
      <c r="H177" s="2463" t="s">
        <v>4403</v>
      </c>
      <c r="I177" s="2461"/>
      <c r="J177" s="2610"/>
    </row>
    <row r="178" spans="1:10" ht="14.1" customHeight="1">
      <c r="A178" s="2462"/>
      <c r="B178" s="2463" t="s">
        <v>932</v>
      </c>
      <c r="C178" s="2463" t="s">
        <v>933</v>
      </c>
      <c r="D178" s="2463" t="s">
        <v>934</v>
      </c>
      <c r="E178" s="2463" t="s">
        <v>935</v>
      </c>
      <c r="F178" s="2463" t="s">
        <v>936</v>
      </c>
      <c r="G178" s="2463" t="s">
        <v>937</v>
      </c>
      <c r="H178" s="2463" t="s">
        <v>938</v>
      </c>
      <c r="I178" s="2461" t="s">
        <v>939</v>
      </c>
      <c r="J178" s="2610"/>
    </row>
    <row r="179" spans="1:10" ht="14.1" customHeight="1">
      <c r="A179" s="2492">
        <v>1</v>
      </c>
      <c r="B179" s="2595" t="s">
        <v>1586</v>
      </c>
      <c r="C179" s="2596" t="s">
        <v>3207</v>
      </c>
      <c r="D179" s="2597">
        <v>2013</v>
      </c>
      <c r="E179" s="2597">
        <v>2</v>
      </c>
      <c r="F179" s="2597"/>
      <c r="G179" s="2597"/>
      <c r="H179" s="2597"/>
      <c r="I179" s="2598" t="s">
        <v>987</v>
      </c>
      <c r="J179" s="2610"/>
    </row>
    <row r="180" spans="1:10" ht="14.1" customHeight="1">
      <c r="A180" s="2462">
        <v>2</v>
      </c>
      <c r="B180" s="2599" t="s">
        <v>1498</v>
      </c>
      <c r="C180" s="2600" t="s">
        <v>4613</v>
      </c>
      <c r="D180" s="2601">
        <v>1995</v>
      </c>
      <c r="E180" s="2601">
        <v>2</v>
      </c>
      <c r="F180" s="2601"/>
      <c r="G180" s="2601"/>
      <c r="H180" s="2601"/>
      <c r="I180" s="2602" t="s">
        <v>4390</v>
      </c>
      <c r="J180" s="2610"/>
    </row>
    <row r="181" spans="1:10" ht="14.1" customHeight="1">
      <c r="A181" s="2462">
        <v>3</v>
      </c>
      <c r="B181" s="2599" t="s">
        <v>1498</v>
      </c>
      <c r="C181" s="2600" t="s">
        <v>3208</v>
      </c>
      <c r="D181" s="2601">
        <v>1987</v>
      </c>
      <c r="E181" s="2601">
        <v>1</v>
      </c>
      <c r="F181" s="2601"/>
      <c r="G181" s="2601"/>
      <c r="H181" s="2601"/>
      <c r="I181" s="2602" t="s">
        <v>987</v>
      </c>
      <c r="J181" s="2610"/>
    </row>
    <row r="182" spans="1:10" ht="15" customHeight="1">
      <c r="A182" s="2462">
        <v>4</v>
      </c>
      <c r="B182" s="2599" t="s">
        <v>1498</v>
      </c>
      <c r="C182" s="2600" t="s">
        <v>3209</v>
      </c>
      <c r="D182" s="2601" t="s">
        <v>4616</v>
      </c>
      <c r="E182" s="2601">
        <v>2</v>
      </c>
      <c r="F182" s="2601"/>
      <c r="G182" s="2601"/>
      <c r="H182" s="2601"/>
      <c r="I182" s="2602" t="s">
        <v>4390</v>
      </c>
      <c r="J182" s="2610"/>
    </row>
    <row r="183" spans="1:10" ht="15" customHeight="1">
      <c r="A183" s="2462">
        <v>5</v>
      </c>
      <c r="B183" s="2599" t="s">
        <v>1498</v>
      </c>
      <c r="C183" s="2600" t="s">
        <v>4614</v>
      </c>
      <c r="D183" s="2601">
        <v>2012</v>
      </c>
      <c r="E183" s="2463">
        <v>1</v>
      </c>
      <c r="F183" s="2463"/>
      <c r="G183" s="2463"/>
      <c r="H183" s="2463"/>
      <c r="I183" s="2602" t="s">
        <v>987</v>
      </c>
      <c r="J183" s="2610"/>
    </row>
    <row r="184" spans="1:10" ht="15" customHeight="1">
      <c r="A184" s="2462">
        <v>6</v>
      </c>
      <c r="B184" s="2599" t="s">
        <v>1498</v>
      </c>
      <c r="C184" s="2600" t="s">
        <v>4615</v>
      </c>
      <c r="D184" s="2601">
        <v>1973</v>
      </c>
      <c r="E184" s="2463">
        <v>2</v>
      </c>
      <c r="F184" s="2463"/>
      <c r="G184" s="2463"/>
      <c r="H184" s="2463"/>
      <c r="I184" s="2602" t="s">
        <v>4390</v>
      </c>
      <c r="J184" s="2610"/>
    </row>
    <row r="185" spans="1:10" ht="15" customHeight="1">
      <c r="A185" s="2462">
        <v>7</v>
      </c>
      <c r="B185" s="2463"/>
      <c r="C185" s="2463"/>
      <c r="D185" s="2463"/>
      <c r="E185" s="2463"/>
      <c r="F185" s="2463"/>
      <c r="G185" s="2463"/>
      <c r="H185" s="2463"/>
      <c r="I185" s="2461"/>
      <c r="J185" s="2610"/>
    </row>
    <row r="186" spans="1:10" ht="15" customHeight="1">
      <c r="A186" s="2462">
        <v>8</v>
      </c>
      <c r="B186" s="2463"/>
      <c r="C186" s="2463"/>
      <c r="D186" s="2463"/>
      <c r="E186" s="2463"/>
      <c r="F186" s="2463"/>
      <c r="G186" s="2463"/>
      <c r="H186" s="2463"/>
      <c r="I186" s="2461"/>
      <c r="J186" s="2610"/>
    </row>
    <row r="187" spans="1:10" ht="15" customHeight="1">
      <c r="A187" s="2462">
        <v>9</v>
      </c>
      <c r="B187" s="2463"/>
      <c r="C187" s="2463"/>
      <c r="D187" s="2463"/>
      <c r="E187" s="2463"/>
      <c r="F187" s="2463"/>
      <c r="G187" s="2463"/>
      <c r="H187" s="2463"/>
      <c r="I187" s="2461"/>
      <c r="J187" s="2610"/>
    </row>
    <row r="188" spans="1:10" ht="15" customHeight="1">
      <c r="A188" s="2492">
        <v>10</v>
      </c>
      <c r="B188" s="2464" t="s">
        <v>940</v>
      </c>
      <c r="C188" s="2464"/>
      <c r="D188" s="2464"/>
      <c r="E188" s="2464"/>
      <c r="F188" s="2464"/>
      <c r="G188" s="2464"/>
      <c r="H188" s="2464"/>
      <c r="I188" s="2458"/>
      <c r="J188" s="2610"/>
    </row>
    <row r="189" spans="1:10" ht="15" customHeight="1">
      <c r="A189" s="2454"/>
      <c r="B189" s="2445" t="s">
        <v>941</v>
      </c>
      <c r="C189" s="2445"/>
      <c r="D189" s="2445"/>
      <c r="E189" s="2445"/>
      <c r="F189" s="2445"/>
      <c r="G189" s="2445"/>
      <c r="H189" s="2445"/>
      <c r="I189" s="2455"/>
      <c r="J189" s="2610"/>
    </row>
    <row r="190" spans="1:10" ht="15" customHeight="1">
      <c r="A190" s="2452"/>
      <c r="B190" s="2451"/>
      <c r="C190" s="2451"/>
      <c r="D190" s="2451"/>
      <c r="E190" s="2451"/>
      <c r="F190" s="2451"/>
      <c r="G190" s="2451"/>
      <c r="H190" s="2451"/>
      <c r="I190" s="2453"/>
      <c r="J190" s="2610"/>
    </row>
    <row r="191" spans="1:10" ht="15" customHeight="1">
      <c r="A191" s="2490" t="s">
        <v>3634</v>
      </c>
      <c r="B191" s="2460"/>
      <c r="C191" s="2460"/>
      <c r="D191" s="2460"/>
      <c r="E191" s="2460"/>
      <c r="F191" s="2460"/>
      <c r="G191" s="2460"/>
      <c r="H191" s="2460"/>
      <c r="I191" s="2491"/>
      <c r="J191" s="2610"/>
    </row>
    <row r="192" spans="1:10" ht="14.1" customHeight="1">
      <c r="A192" s="2452" t="s">
        <v>2348</v>
      </c>
      <c r="B192" s="2451"/>
      <c r="C192" s="2451"/>
      <c r="D192" s="2451"/>
      <c r="E192" s="2451"/>
      <c r="F192" s="2451"/>
      <c r="G192" s="2451"/>
      <c r="H192" s="2451"/>
      <c r="I192" s="2453"/>
      <c r="J192" s="2610"/>
    </row>
    <row r="193" spans="1:10" ht="14.1" customHeight="1">
      <c r="A193" s="2452" t="s">
        <v>4346</v>
      </c>
      <c r="B193" s="2451"/>
      <c r="C193" s="2451"/>
      <c r="D193" s="2451"/>
      <c r="E193" s="2451" t="s">
        <v>2349</v>
      </c>
      <c r="F193" s="2451"/>
      <c r="G193" s="2451"/>
      <c r="H193" s="2451"/>
      <c r="I193" s="2453"/>
      <c r="J193" s="2610"/>
    </row>
    <row r="194" spans="1:10" ht="14.1" customHeight="1">
      <c r="A194" s="2452"/>
      <c r="B194" s="2451"/>
      <c r="C194" s="2451"/>
      <c r="D194" s="2451"/>
      <c r="E194" s="2451" t="s">
        <v>1004</v>
      </c>
      <c r="F194" s="2451"/>
      <c r="G194" s="2451"/>
      <c r="H194" s="2451"/>
      <c r="I194" s="2453"/>
      <c r="J194" s="2610"/>
    </row>
    <row r="195" spans="1:10" ht="14.1" customHeight="1">
      <c r="A195" s="2452" t="s">
        <v>1744</v>
      </c>
      <c r="B195" s="2451"/>
      <c r="C195" s="2451"/>
      <c r="D195" s="2451"/>
      <c r="E195" s="2451"/>
      <c r="F195" s="2451"/>
      <c r="G195" s="2451"/>
      <c r="H195" s="2451"/>
      <c r="I195" s="2453"/>
      <c r="J195" s="2610"/>
    </row>
    <row r="196" spans="1:10" ht="14.1" customHeight="1">
      <c r="A196" s="2452" t="s">
        <v>1005</v>
      </c>
      <c r="B196" s="2451"/>
      <c r="C196" s="2451"/>
      <c r="D196" s="2451"/>
      <c r="E196" s="2451" t="s">
        <v>848</v>
      </c>
      <c r="F196" s="2451"/>
      <c r="G196" s="2451"/>
      <c r="H196" s="2451"/>
      <c r="I196" s="2453"/>
      <c r="J196" s="2610"/>
    </row>
    <row r="197" spans="1:10" ht="14.1" customHeight="1">
      <c r="A197" s="2452"/>
      <c r="B197" s="2451"/>
      <c r="C197" s="2451"/>
      <c r="D197" s="2451"/>
      <c r="E197" s="2451" t="s">
        <v>1737</v>
      </c>
      <c r="F197" s="2451"/>
      <c r="G197" s="2451"/>
      <c r="H197" s="2451"/>
      <c r="I197" s="2453"/>
      <c r="J197" s="2610"/>
    </row>
    <row r="198" spans="1:10" ht="14.1" customHeight="1">
      <c r="A198" s="2452" t="s">
        <v>849</v>
      </c>
      <c r="B198" s="2451"/>
      <c r="C198" s="2451"/>
      <c r="D198" s="2451"/>
      <c r="E198" s="2451"/>
      <c r="F198" s="2451"/>
      <c r="G198" s="2451"/>
      <c r="H198" s="2451"/>
      <c r="I198" s="2453"/>
      <c r="J198" s="2610"/>
    </row>
    <row r="199" spans="1:10" ht="14.1" customHeight="1">
      <c r="A199" s="2452" t="s">
        <v>4345</v>
      </c>
      <c r="B199" s="2451"/>
      <c r="C199" s="2451"/>
      <c r="D199" s="2451"/>
      <c r="E199" s="2451"/>
      <c r="F199" s="2451"/>
      <c r="G199" s="2451"/>
      <c r="H199" s="2451"/>
      <c r="I199" s="2453"/>
      <c r="J199" s="2610"/>
    </row>
    <row r="200" spans="1:10" ht="14.1" customHeight="1">
      <c r="A200" s="2452"/>
      <c r="B200" s="2451"/>
      <c r="C200" s="2451"/>
      <c r="D200" s="2451"/>
      <c r="E200" s="2451"/>
      <c r="F200" s="2451"/>
      <c r="G200" s="2451"/>
      <c r="H200" s="2451"/>
      <c r="I200" s="2453"/>
      <c r="J200" s="2610"/>
    </row>
    <row r="201" spans="1:10" ht="14.1" customHeight="1">
      <c r="A201" s="2492"/>
      <c r="B201" s="2464"/>
      <c r="C201" s="2464"/>
      <c r="D201" s="2464"/>
      <c r="E201" s="2464" t="s">
        <v>1738</v>
      </c>
      <c r="F201" s="2464"/>
      <c r="G201" s="2464"/>
      <c r="H201" s="2580"/>
      <c r="I201" s="2458"/>
      <c r="J201" s="2610"/>
    </row>
    <row r="202" spans="1:10" ht="14.1" customHeight="1">
      <c r="A202" s="2462" t="s">
        <v>1939</v>
      </c>
      <c r="B202" s="2463" t="s">
        <v>1739</v>
      </c>
      <c r="C202" s="2463" t="s">
        <v>3754</v>
      </c>
      <c r="D202" s="2463"/>
      <c r="E202" s="2463"/>
      <c r="F202" s="2463"/>
      <c r="G202" s="2463"/>
      <c r="H202" s="2516"/>
      <c r="I202" s="2461"/>
      <c r="J202" s="2610"/>
    </row>
    <row r="203" spans="1:10" ht="14.1" customHeight="1">
      <c r="A203" s="2462" t="s">
        <v>1941</v>
      </c>
      <c r="B203" s="2463"/>
      <c r="C203" s="2463" t="s">
        <v>1874</v>
      </c>
      <c r="D203" s="2463" t="s">
        <v>3032</v>
      </c>
      <c r="E203" s="2463" t="s">
        <v>1875</v>
      </c>
      <c r="F203" s="2463" t="s">
        <v>1876</v>
      </c>
      <c r="G203" s="2459" t="s">
        <v>1877</v>
      </c>
      <c r="H203" s="2460"/>
      <c r="I203" s="2461" t="s">
        <v>4031</v>
      </c>
      <c r="J203" s="2610"/>
    </row>
    <row r="204" spans="1:10" ht="14.1" customHeight="1">
      <c r="A204" s="2462"/>
      <c r="B204" s="2463"/>
      <c r="C204" s="2463"/>
      <c r="D204" s="2463"/>
      <c r="E204" s="2463"/>
      <c r="F204" s="2463"/>
      <c r="G204" s="2459"/>
      <c r="H204" s="2460"/>
      <c r="I204" s="2461"/>
      <c r="J204" s="2610"/>
    </row>
    <row r="205" spans="1:10" ht="14.1" customHeight="1">
      <c r="A205" s="2462"/>
      <c r="B205" s="2463" t="s">
        <v>932</v>
      </c>
      <c r="C205" s="2463" t="s">
        <v>933</v>
      </c>
      <c r="D205" s="2463" t="s">
        <v>934</v>
      </c>
      <c r="E205" s="2463" t="s">
        <v>935</v>
      </c>
      <c r="F205" s="2463" t="s">
        <v>936</v>
      </c>
      <c r="G205" s="2459" t="s">
        <v>937</v>
      </c>
      <c r="H205" s="2460"/>
      <c r="I205" s="2461" t="s">
        <v>938</v>
      </c>
      <c r="J205" s="2610"/>
    </row>
    <row r="206" spans="1:10" ht="14.1" customHeight="1">
      <c r="A206" s="2492">
        <v>23</v>
      </c>
      <c r="B206" s="2444" t="s">
        <v>3212</v>
      </c>
      <c r="C206" s="2464"/>
      <c r="D206" s="2444"/>
      <c r="E206" s="2444"/>
      <c r="F206" s="2444"/>
      <c r="G206" s="2444"/>
      <c r="H206" s="2444"/>
      <c r="I206" s="2507"/>
      <c r="J206" s="2610"/>
    </row>
    <row r="207" spans="1:10" ht="14.1" customHeight="1">
      <c r="A207" s="2462">
        <v>24</v>
      </c>
      <c r="B207" s="2446" t="s">
        <v>3213</v>
      </c>
      <c r="C207" s="2463"/>
      <c r="D207" s="2446"/>
      <c r="E207" s="2446"/>
      <c r="F207" s="2446"/>
      <c r="G207" s="2446"/>
      <c r="H207" s="2446"/>
      <c r="I207" s="2505"/>
      <c r="J207" s="2610"/>
    </row>
    <row r="208" spans="1:10" ht="14.1" customHeight="1">
      <c r="A208" s="2462">
        <v>25</v>
      </c>
      <c r="B208" s="2446" t="s">
        <v>3214</v>
      </c>
      <c r="C208" s="2463"/>
      <c r="D208" s="2446"/>
      <c r="E208" s="2446"/>
      <c r="F208" s="2446"/>
      <c r="G208" s="2446"/>
      <c r="H208" s="2446"/>
      <c r="I208" s="2505"/>
      <c r="J208" s="2610"/>
    </row>
    <row r="209" spans="1:10" ht="15" customHeight="1">
      <c r="A209" s="2462">
        <v>26</v>
      </c>
      <c r="B209" s="2446" t="s">
        <v>3215</v>
      </c>
      <c r="C209" s="2463"/>
      <c r="D209" s="2446"/>
      <c r="E209" s="2446"/>
      <c r="F209" s="2446"/>
      <c r="G209" s="2446"/>
      <c r="H209" s="2446"/>
      <c r="I209" s="2505"/>
      <c r="J209" s="2610"/>
    </row>
    <row r="210" spans="1:10" ht="15" customHeight="1">
      <c r="A210" s="2462">
        <v>27</v>
      </c>
      <c r="B210" s="2446" t="s">
        <v>3216</v>
      </c>
      <c r="C210" s="2463"/>
      <c r="D210" s="2446"/>
      <c r="E210" s="2446"/>
      <c r="F210" s="2446"/>
      <c r="G210" s="2446"/>
      <c r="H210" s="2446"/>
      <c r="I210" s="2505"/>
      <c r="J210" s="2610"/>
    </row>
    <row r="211" spans="1:10" ht="15" customHeight="1">
      <c r="A211" s="2462">
        <v>28</v>
      </c>
      <c r="B211" s="2446" t="s">
        <v>3217</v>
      </c>
      <c r="C211" s="2463"/>
      <c r="D211" s="2446"/>
      <c r="E211" s="2446"/>
      <c r="F211" s="2446"/>
      <c r="G211" s="2446"/>
      <c r="H211" s="2446"/>
      <c r="I211" s="2505"/>
      <c r="J211" s="2610"/>
    </row>
    <row r="212" spans="1:10" ht="15" customHeight="1">
      <c r="A212" s="2462">
        <v>29</v>
      </c>
      <c r="B212" s="2601" t="s">
        <v>3218</v>
      </c>
      <c r="C212" s="2607">
        <v>628768</v>
      </c>
      <c r="D212" s="2601" t="s">
        <v>4292</v>
      </c>
      <c r="E212" s="2601" t="s">
        <v>4295</v>
      </c>
      <c r="F212" s="2607">
        <v>8887</v>
      </c>
      <c r="G212" s="2463"/>
      <c r="H212" s="2463"/>
      <c r="I212" s="2461"/>
      <c r="J212" s="2610"/>
    </row>
    <row r="213" spans="1:10" ht="15" customHeight="1">
      <c r="A213" s="2462">
        <v>30</v>
      </c>
      <c r="B213" s="2601"/>
      <c r="C213" s="2607"/>
      <c r="D213" s="2601"/>
      <c r="E213" s="2601"/>
      <c r="F213" s="2607"/>
      <c r="G213" s="2463"/>
      <c r="H213" s="2463"/>
      <c r="I213" s="2461"/>
      <c r="J213" s="2610"/>
    </row>
    <row r="214" spans="1:10" ht="15" customHeight="1">
      <c r="A214" s="2462">
        <v>31</v>
      </c>
      <c r="B214" s="2601" t="s">
        <v>3219</v>
      </c>
      <c r="C214" s="2607">
        <v>628768</v>
      </c>
      <c r="D214" s="2601" t="s">
        <v>4293</v>
      </c>
      <c r="E214" s="2601" t="s">
        <v>4296</v>
      </c>
      <c r="F214" s="2607">
        <v>169299</v>
      </c>
      <c r="G214" s="2463"/>
      <c r="H214" s="2463"/>
      <c r="I214" s="2461"/>
      <c r="J214" s="2610"/>
    </row>
    <row r="215" spans="1:10" ht="15" customHeight="1">
      <c r="A215" s="2462">
        <v>32</v>
      </c>
      <c r="B215" s="2601" t="s">
        <v>3220</v>
      </c>
      <c r="C215" s="2607">
        <v>628768</v>
      </c>
      <c r="D215" s="2601" t="s">
        <v>4294</v>
      </c>
      <c r="E215" s="2601" t="s">
        <v>4296</v>
      </c>
      <c r="F215" s="2607">
        <v>199850</v>
      </c>
      <c r="G215" s="2463"/>
      <c r="H215" s="2463"/>
      <c r="I215" s="2461"/>
      <c r="J215" s="2610"/>
    </row>
    <row r="216" spans="1:10" ht="15" customHeight="1">
      <c r="A216" s="2462">
        <v>33</v>
      </c>
      <c r="B216" s="2446"/>
      <c r="C216" s="2607"/>
      <c r="D216" s="2446"/>
      <c r="E216" s="2446"/>
      <c r="F216" s="2608"/>
      <c r="G216" s="2446"/>
      <c r="H216" s="2446"/>
      <c r="I216" s="2505"/>
      <c r="J216" s="2610"/>
    </row>
    <row r="217" spans="1:10" ht="15" customHeight="1">
      <c r="A217" s="2462">
        <v>34</v>
      </c>
      <c r="B217" s="2446" t="s">
        <v>3221</v>
      </c>
      <c r="C217" s="2607">
        <v>628768</v>
      </c>
      <c r="D217" s="2446"/>
      <c r="E217" s="2446"/>
      <c r="F217" s="2446"/>
      <c r="G217" s="2446"/>
      <c r="H217" s="2446"/>
      <c r="I217" s="2505"/>
      <c r="J217" s="2610"/>
    </row>
    <row r="218" spans="1:10" ht="15" customHeight="1">
      <c r="A218" s="2462">
        <v>35</v>
      </c>
      <c r="B218" s="2446" t="s">
        <v>3222</v>
      </c>
      <c r="C218" s="2607"/>
      <c r="D218" s="2446"/>
      <c r="E218" s="2446"/>
      <c r="F218" s="2446"/>
      <c r="G218" s="2446"/>
      <c r="H218" s="2446"/>
      <c r="I218" s="2505"/>
      <c r="J218" s="2610"/>
    </row>
    <row r="219" spans="1:10" ht="15" customHeight="1" thickBot="1">
      <c r="A219" s="2499">
        <v>36</v>
      </c>
      <c r="B219" s="2501" t="s">
        <v>3753</v>
      </c>
      <c r="C219" s="2609">
        <v>628768</v>
      </c>
      <c r="D219" s="2609"/>
      <c r="E219" s="2501"/>
      <c r="F219" s="2501"/>
      <c r="G219" s="2501"/>
      <c r="H219" s="2501"/>
      <c r="I219" s="2502"/>
      <c r="J219" s="2610"/>
    </row>
    <row r="220" spans="1:10" ht="15" customHeight="1">
      <c r="A220" s="2449" t="s">
        <v>3184</v>
      </c>
      <c r="B220" s="2449"/>
      <c r="C220" s="2449"/>
      <c r="D220" s="2592" t="s">
        <v>4356</v>
      </c>
      <c r="E220" s="2449"/>
      <c r="F220" s="2449"/>
      <c r="G220" s="2449"/>
      <c r="H220" s="2449"/>
      <c r="I220" s="2449"/>
    </row>
    <row r="221" spans="1:10" ht="15" customHeight="1" thickBot="1">
      <c r="A221" s="2444" t="str">
        <f>+A1</f>
        <v>Annual Report of New York American Water Company, Inc. (f/k/a Long Island Water Corp)                                   Year Ended  December 31, 2013</v>
      </c>
    </row>
    <row r="222" spans="1:10" ht="15" customHeight="1">
      <c r="A222" s="2448"/>
      <c r="B222" s="2449"/>
      <c r="C222" s="2449"/>
      <c r="D222" s="2449"/>
      <c r="E222" s="2449"/>
      <c r="F222" s="2449"/>
      <c r="G222" s="2449"/>
      <c r="H222" s="2449"/>
      <c r="I222" s="2450"/>
      <c r="J222" s="2610"/>
    </row>
    <row r="223" spans="1:10" ht="15" customHeight="1">
      <c r="A223" s="2490" t="s">
        <v>3940</v>
      </c>
      <c r="B223" s="2460"/>
      <c r="C223" s="2460"/>
      <c r="D223" s="2460"/>
      <c r="E223" s="2460"/>
      <c r="F223" s="2460"/>
      <c r="G223" s="2460"/>
      <c r="H223" s="2460"/>
      <c r="I223" s="2491"/>
      <c r="J223" s="2610"/>
    </row>
    <row r="224" spans="1:10" ht="15" customHeight="1">
      <c r="A224" s="2452"/>
      <c r="B224" s="2451"/>
      <c r="C224" s="2451"/>
      <c r="D224" s="2451"/>
      <c r="E224" s="2451"/>
      <c r="F224" s="2451"/>
      <c r="G224" s="2451"/>
      <c r="H224" s="2451"/>
      <c r="I224" s="2453"/>
      <c r="J224" s="2610"/>
    </row>
    <row r="225" spans="1:10" ht="14.1" customHeight="1">
      <c r="A225" s="2454"/>
      <c r="B225" s="2445"/>
      <c r="C225" s="2445"/>
      <c r="D225" s="2445"/>
      <c r="E225" s="2445"/>
      <c r="F225" s="2445"/>
      <c r="G225" s="2445"/>
      <c r="H225" s="2445"/>
      <c r="I225" s="2455"/>
      <c r="J225" s="2610"/>
    </row>
    <row r="226" spans="1:10" ht="14.1" customHeight="1">
      <c r="A226" s="2452" t="s">
        <v>2611</v>
      </c>
      <c r="B226" s="2451"/>
      <c r="C226" s="2451"/>
      <c r="D226" s="2451"/>
      <c r="E226" s="2451"/>
      <c r="F226" s="2451"/>
      <c r="G226" s="2451"/>
      <c r="H226" s="2451"/>
      <c r="I226" s="2453"/>
      <c r="J226" s="2610"/>
    </row>
    <row r="227" spans="1:10" ht="14.1" customHeight="1">
      <c r="A227" s="2452" t="s">
        <v>2612</v>
      </c>
      <c r="B227" s="2451"/>
      <c r="C227" s="2451"/>
      <c r="D227" s="2451"/>
      <c r="E227" s="2451"/>
      <c r="F227" s="2451"/>
      <c r="G227" s="2451"/>
      <c r="H227" s="2451"/>
      <c r="I227" s="2453"/>
      <c r="J227" s="2610"/>
    </row>
    <row r="228" spans="1:10" ht="14.1" customHeight="1">
      <c r="A228" s="2452"/>
      <c r="B228" s="2451"/>
      <c r="C228" s="2451"/>
      <c r="D228" s="2451"/>
      <c r="E228" s="2451"/>
      <c r="F228" s="2451"/>
      <c r="G228" s="2451"/>
      <c r="H228" s="2451"/>
      <c r="I228" s="2453"/>
      <c r="J228" s="2610"/>
    </row>
    <row r="229" spans="1:10" ht="14.1" customHeight="1">
      <c r="A229" s="2492"/>
      <c r="B229" s="2464"/>
      <c r="C229" s="2464"/>
      <c r="D229" s="2464"/>
      <c r="E229" s="2464"/>
      <c r="F229" s="2464"/>
      <c r="G229" s="2464"/>
      <c r="H229" s="2464"/>
      <c r="I229" s="2458"/>
      <c r="J229" s="2610"/>
    </row>
    <row r="230" spans="1:10" ht="14.1" customHeight="1">
      <c r="A230" s="2462"/>
      <c r="B230" s="2463" t="s">
        <v>3026</v>
      </c>
      <c r="C230" s="2463" t="s">
        <v>94</v>
      </c>
      <c r="D230" s="2463" t="s">
        <v>3022</v>
      </c>
      <c r="E230" s="2463" t="s">
        <v>2820</v>
      </c>
      <c r="F230" s="2463" t="s">
        <v>3021</v>
      </c>
      <c r="G230" s="2463" t="s">
        <v>2821</v>
      </c>
      <c r="H230" s="2463" t="s">
        <v>2822</v>
      </c>
      <c r="I230" s="2461" t="s">
        <v>930</v>
      </c>
      <c r="J230" s="2610"/>
    </row>
    <row r="231" spans="1:10" ht="14.1" customHeight="1">
      <c r="A231" s="2462" t="s">
        <v>1939</v>
      </c>
      <c r="B231" s="2463" t="s">
        <v>4226</v>
      </c>
      <c r="C231" s="2463"/>
      <c r="D231" s="2463" t="s">
        <v>2823</v>
      </c>
      <c r="E231" s="2463" t="s">
        <v>4398</v>
      </c>
      <c r="F231" s="2463" t="s">
        <v>4398</v>
      </c>
      <c r="G231" s="2463" t="s">
        <v>4398</v>
      </c>
      <c r="H231" s="2463" t="s">
        <v>4399</v>
      </c>
      <c r="I231" s="2461" t="s">
        <v>931</v>
      </c>
      <c r="J231" s="2610"/>
    </row>
    <row r="232" spans="1:10" ht="14.1" customHeight="1">
      <c r="A232" s="2462" t="s">
        <v>1941</v>
      </c>
      <c r="B232" s="2463" t="s">
        <v>4400</v>
      </c>
      <c r="C232" s="2463"/>
      <c r="D232" s="2463" t="s">
        <v>4401</v>
      </c>
      <c r="E232" s="2463"/>
      <c r="F232" s="2463" t="s">
        <v>4402</v>
      </c>
      <c r="G232" s="2463" t="s">
        <v>3039</v>
      </c>
      <c r="H232" s="2463" t="s">
        <v>4617</v>
      </c>
      <c r="I232" s="2461"/>
      <c r="J232" s="2610"/>
    </row>
    <row r="233" spans="1:10" ht="14.1" customHeight="1">
      <c r="A233" s="2462"/>
      <c r="B233" s="2463" t="s">
        <v>932</v>
      </c>
      <c r="C233" s="2463" t="s">
        <v>933</v>
      </c>
      <c r="D233" s="2463" t="s">
        <v>934</v>
      </c>
      <c r="E233" s="2463" t="s">
        <v>935</v>
      </c>
      <c r="F233" s="2463" t="s">
        <v>936</v>
      </c>
      <c r="G233" s="2463" t="s">
        <v>937</v>
      </c>
      <c r="H233" s="2463" t="s">
        <v>938</v>
      </c>
      <c r="I233" s="2461" t="s">
        <v>939</v>
      </c>
      <c r="J233" s="2610"/>
    </row>
    <row r="234" spans="1:10" ht="14.1" customHeight="1">
      <c r="A234" s="2492">
        <v>1</v>
      </c>
      <c r="B234" s="2595" t="s">
        <v>1499</v>
      </c>
      <c r="C234" s="2596" t="s">
        <v>3207</v>
      </c>
      <c r="D234" s="2611" t="s">
        <v>4618</v>
      </c>
      <c r="E234" s="2597">
        <v>3</v>
      </c>
      <c r="F234" s="2597"/>
      <c r="G234" s="2597"/>
      <c r="H234" s="2597"/>
      <c r="I234" s="2598" t="s">
        <v>987</v>
      </c>
      <c r="J234" s="2610"/>
    </row>
    <row r="235" spans="1:10" ht="14.1" customHeight="1">
      <c r="A235" s="2462">
        <v>2</v>
      </c>
      <c r="B235" s="2599" t="s">
        <v>1950</v>
      </c>
      <c r="C235" s="2600" t="s">
        <v>4613</v>
      </c>
      <c r="D235" s="2601" t="s">
        <v>4619</v>
      </c>
      <c r="E235" s="2601">
        <v>7</v>
      </c>
      <c r="F235" s="2601"/>
      <c r="G235" s="2601"/>
      <c r="H235" s="2601"/>
      <c r="I235" s="2602" t="s">
        <v>4390</v>
      </c>
      <c r="J235" s="2610"/>
    </row>
    <row r="236" spans="1:10" ht="14.1" customHeight="1">
      <c r="A236" s="2462">
        <v>3</v>
      </c>
      <c r="B236" s="2599" t="s">
        <v>1950</v>
      </c>
      <c r="C236" s="2600" t="s">
        <v>3208</v>
      </c>
      <c r="D236" s="2601">
        <v>2007</v>
      </c>
      <c r="E236" s="2601">
        <v>1</v>
      </c>
      <c r="F236" s="2601"/>
      <c r="G236" s="2601"/>
      <c r="H236" s="2601"/>
      <c r="I236" s="2602" t="s">
        <v>987</v>
      </c>
      <c r="J236" s="2610"/>
    </row>
    <row r="237" spans="1:10" ht="14.1" customHeight="1">
      <c r="A237" s="2462">
        <v>4</v>
      </c>
      <c r="B237" s="2599" t="s">
        <v>1950</v>
      </c>
      <c r="C237" s="2600" t="s">
        <v>3209</v>
      </c>
      <c r="D237" s="2601">
        <v>2007</v>
      </c>
      <c r="E237" s="2601">
        <v>2</v>
      </c>
      <c r="F237" s="2601"/>
      <c r="G237" s="2601"/>
      <c r="H237" s="2601"/>
      <c r="I237" s="2602" t="s">
        <v>4390</v>
      </c>
      <c r="J237" s="2610"/>
    </row>
    <row r="238" spans="1:10" ht="15" customHeight="1">
      <c r="A238" s="2462">
        <v>5</v>
      </c>
      <c r="B238" s="2599" t="s">
        <v>1950</v>
      </c>
      <c r="C238" s="2600" t="s">
        <v>4614</v>
      </c>
      <c r="D238" s="2601">
        <v>1996</v>
      </c>
      <c r="E238" s="2463">
        <v>1</v>
      </c>
      <c r="F238" s="2463"/>
      <c r="G238" s="2463"/>
      <c r="H238" s="2463"/>
      <c r="I238" s="2602" t="s">
        <v>987</v>
      </c>
      <c r="J238" s="2610"/>
    </row>
    <row r="239" spans="1:10" ht="15" customHeight="1">
      <c r="A239" s="2462">
        <v>6</v>
      </c>
      <c r="B239" s="2599" t="s">
        <v>1950</v>
      </c>
      <c r="C239" s="2600" t="s">
        <v>4615</v>
      </c>
      <c r="D239" s="2601">
        <v>1996</v>
      </c>
      <c r="E239" s="2463">
        <v>2</v>
      </c>
      <c r="F239" s="2463"/>
      <c r="G239" s="2463"/>
      <c r="H239" s="2463"/>
      <c r="I239" s="2602" t="s">
        <v>4390</v>
      </c>
      <c r="J239" s="2610"/>
    </row>
    <row r="240" spans="1:10" ht="15" customHeight="1">
      <c r="A240" s="2462">
        <v>7</v>
      </c>
      <c r="B240" s="2599" t="s">
        <v>1950</v>
      </c>
      <c r="C240" s="2612" t="s">
        <v>1500</v>
      </c>
      <c r="D240" s="2601" t="s">
        <v>4620</v>
      </c>
      <c r="E240" s="2601">
        <v>8</v>
      </c>
      <c r="F240" s="2601">
        <v>1408</v>
      </c>
      <c r="G240" s="2601">
        <v>9</v>
      </c>
      <c r="H240" s="2601">
        <v>8000</v>
      </c>
      <c r="I240" s="2602" t="s">
        <v>1501</v>
      </c>
      <c r="J240" s="2610"/>
    </row>
    <row r="241" spans="1:10" ht="15" customHeight="1">
      <c r="A241" s="2462">
        <v>8</v>
      </c>
      <c r="B241" s="2599" t="s">
        <v>1950</v>
      </c>
      <c r="C241" s="2612" t="s">
        <v>1951</v>
      </c>
      <c r="D241" s="2601">
        <v>1993</v>
      </c>
      <c r="E241" s="2601">
        <v>2</v>
      </c>
      <c r="F241" s="2601"/>
      <c r="G241" s="2601"/>
      <c r="H241" s="2601"/>
      <c r="I241" s="2602" t="s">
        <v>4390</v>
      </c>
      <c r="J241" s="2610"/>
    </row>
    <row r="242" spans="1:10" ht="15" customHeight="1">
      <c r="A242" s="2462">
        <v>9</v>
      </c>
      <c r="B242" s="2599"/>
      <c r="C242" s="2535"/>
      <c r="D242" s="2463"/>
      <c r="E242" s="2463"/>
      <c r="F242" s="2463"/>
      <c r="G242" s="2463"/>
      <c r="H242" s="2463"/>
      <c r="I242" s="2461"/>
      <c r="J242" s="2610"/>
    </row>
    <row r="243" spans="1:10" ht="15" customHeight="1">
      <c r="A243" s="2492">
        <v>10</v>
      </c>
      <c r="B243" s="2464" t="s">
        <v>940</v>
      </c>
      <c r="C243" s="2464"/>
      <c r="D243" s="2464"/>
      <c r="E243" s="2464"/>
      <c r="F243" s="2464"/>
      <c r="G243" s="2464"/>
      <c r="H243" s="2464"/>
      <c r="I243" s="2458"/>
      <c r="J243" s="2610"/>
    </row>
    <row r="244" spans="1:10" ht="15" customHeight="1">
      <c r="A244" s="2454"/>
      <c r="B244" s="2445" t="s">
        <v>941</v>
      </c>
      <c r="C244" s="2445"/>
      <c r="D244" s="2445"/>
      <c r="E244" s="2445"/>
      <c r="F244" s="2445"/>
      <c r="G244" s="2445"/>
      <c r="H244" s="2445"/>
      <c r="I244" s="2455"/>
      <c r="J244" s="2610"/>
    </row>
    <row r="245" spans="1:10" ht="15" customHeight="1">
      <c r="A245" s="2452"/>
      <c r="B245" s="2451"/>
      <c r="C245" s="2451"/>
      <c r="D245" s="2451"/>
      <c r="E245" s="2451"/>
      <c r="F245" s="2451"/>
      <c r="G245" s="2451"/>
      <c r="H245" s="2451"/>
      <c r="I245" s="2453"/>
      <c r="J245" s="2610"/>
    </row>
    <row r="246" spans="1:10" ht="15" customHeight="1">
      <c r="A246" s="2490" t="s">
        <v>3634</v>
      </c>
      <c r="B246" s="2460"/>
      <c r="C246" s="2460"/>
      <c r="D246" s="2460"/>
      <c r="E246" s="2460"/>
      <c r="F246" s="2460"/>
      <c r="G246" s="2460"/>
      <c r="H246" s="2460"/>
      <c r="I246" s="2491"/>
      <c r="J246" s="2610"/>
    </row>
    <row r="247" spans="1:10" ht="15" customHeight="1">
      <c r="A247" s="2452" t="s">
        <v>2348</v>
      </c>
      <c r="B247" s="2451"/>
      <c r="C247" s="2451"/>
      <c r="D247" s="2451"/>
      <c r="E247" s="2451"/>
      <c r="F247" s="2451"/>
      <c r="G247" s="2451"/>
      <c r="H247" s="2451"/>
      <c r="I247" s="2453"/>
      <c r="J247" s="2610"/>
    </row>
    <row r="248" spans="1:10" ht="14.1" customHeight="1">
      <c r="A248" s="2452" t="s">
        <v>4346</v>
      </c>
      <c r="B248" s="2451"/>
      <c r="C248" s="2451"/>
      <c r="D248" s="2451"/>
      <c r="E248" s="2451" t="s">
        <v>2349</v>
      </c>
      <c r="F248" s="2451"/>
      <c r="G248" s="2451"/>
      <c r="H248" s="2451"/>
      <c r="I248" s="2453"/>
      <c r="J248" s="2610"/>
    </row>
    <row r="249" spans="1:10" ht="14.1" customHeight="1">
      <c r="A249" s="2452"/>
      <c r="B249" s="2451"/>
      <c r="C249" s="2451"/>
      <c r="D249" s="2451"/>
      <c r="E249" s="2451" t="s">
        <v>1004</v>
      </c>
      <c r="F249" s="2451"/>
      <c r="G249" s="2451"/>
      <c r="H249" s="2451"/>
      <c r="I249" s="2453"/>
      <c r="J249" s="2610"/>
    </row>
    <row r="250" spans="1:10" ht="14.1" customHeight="1">
      <c r="A250" s="2452" t="s">
        <v>1744</v>
      </c>
      <c r="B250" s="2451"/>
      <c r="C250" s="2451"/>
      <c r="D250" s="2451"/>
      <c r="E250" s="2451"/>
      <c r="F250" s="2451"/>
      <c r="G250" s="2451"/>
      <c r="H250" s="2451"/>
      <c r="I250" s="2453"/>
      <c r="J250" s="2610"/>
    </row>
    <row r="251" spans="1:10" ht="14.1" customHeight="1">
      <c r="A251" s="2452" t="s">
        <v>1005</v>
      </c>
      <c r="B251" s="2451"/>
      <c r="C251" s="2451"/>
      <c r="D251" s="2451"/>
      <c r="E251" s="2451" t="s">
        <v>848</v>
      </c>
      <c r="F251" s="2451"/>
      <c r="G251" s="2451"/>
      <c r="H251" s="2451"/>
      <c r="I251" s="2453"/>
      <c r="J251" s="2610"/>
    </row>
    <row r="252" spans="1:10" ht="14.1" customHeight="1">
      <c r="A252" s="2452"/>
      <c r="B252" s="2451"/>
      <c r="C252" s="2451"/>
      <c r="D252" s="2451"/>
      <c r="E252" s="2451" t="s">
        <v>1737</v>
      </c>
      <c r="F252" s="2451"/>
      <c r="G252" s="2451"/>
      <c r="H252" s="2451"/>
      <c r="I252" s="2453"/>
      <c r="J252" s="2610"/>
    </row>
    <row r="253" spans="1:10" ht="14.1" customHeight="1">
      <c r="A253" s="2452" t="s">
        <v>849</v>
      </c>
      <c r="B253" s="2451"/>
      <c r="C253" s="2451"/>
      <c r="D253" s="2451"/>
      <c r="E253" s="2451"/>
      <c r="F253" s="2451"/>
      <c r="G253" s="2451"/>
      <c r="H253" s="2451"/>
      <c r="I253" s="2453"/>
      <c r="J253" s="2610"/>
    </row>
    <row r="254" spans="1:10" ht="14.1" customHeight="1">
      <c r="A254" s="2452" t="s">
        <v>4345</v>
      </c>
      <c r="B254" s="2451"/>
      <c r="C254" s="2451"/>
      <c r="D254" s="2451"/>
      <c r="E254" s="2451"/>
      <c r="F254" s="2451"/>
      <c r="G254" s="2451"/>
      <c r="H254" s="2451"/>
      <c r="I254" s="2453"/>
      <c r="J254" s="2610"/>
    </row>
    <row r="255" spans="1:10" ht="14.1" customHeight="1">
      <c r="A255" s="2452"/>
      <c r="B255" s="2451"/>
      <c r="C255" s="2451"/>
      <c r="D255" s="2451"/>
      <c r="E255" s="2451"/>
      <c r="F255" s="2451"/>
      <c r="G255" s="2451"/>
      <c r="H255" s="2451"/>
      <c r="I255" s="2453"/>
      <c r="J255" s="2610"/>
    </row>
    <row r="256" spans="1:10" ht="14.1" customHeight="1">
      <c r="A256" s="2492"/>
      <c r="B256" s="2464"/>
      <c r="C256" s="2464"/>
      <c r="D256" s="2464"/>
      <c r="E256" s="2464" t="s">
        <v>1738</v>
      </c>
      <c r="F256" s="2464"/>
      <c r="G256" s="2464"/>
      <c r="H256" s="2580"/>
      <c r="I256" s="2458"/>
      <c r="J256" s="2610"/>
    </row>
    <row r="257" spans="1:10" ht="14.1" customHeight="1">
      <c r="A257" s="2462" t="s">
        <v>1939</v>
      </c>
      <c r="B257" s="2463" t="s">
        <v>1739</v>
      </c>
      <c r="C257" s="2463" t="s">
        <v>3754</v>
      </c>
      <c r="D257" s="2463"/>
      <c r="E257" s="2463"/>
      <c r="F257" s="2463"/>
      <c r="G257" s="2463"/>
      <c r="H257" s="2516"/>
      <c r="I257" s="2461"/>
      <c r="J257" s="2610"/>
    </row>
    <row r="258" spans="1:10" ht="14.1" customHeight="1">
      <c r="A258" s="2462" t="s">
        <v>1941</v>
      </c>
      <c r="B258" s="2463"/>
      <c r="C258" s="2463" t="s">
        <v>1874</v>
      </c>
      <c r="D258" s="2463" t="s">
        <v>3032</v>
      </c>
      <c r="E258" s="2463" t="s">
        <v>1875</v>
      </c>
      <c r="F258" s="2463" t="s">
        <v>1876</v>
      </c>
      <c r="G258" s="2459" t="s">
        <v>1877</v>
      </c>
      <c r="H258" s="2460"/>
      <c r="I258" s="2461" t="s">
        <v>4031</v>
      </c>
      <c r="J258" s="2610"/>
    </row>
    <row r="259" spans="1:10" ht="14.1" customHeight="1">
      <c r="A259" s="2462"/>
      <c r="B259" s="2463"/>
      <c r="C259" s="2463"/>
      <c r="D259" s="2463"/>
      <c r="E259" s="2463"/>
      <c r="F259" s="2463"/>
      <c r="G259" s="2459"/>
      <c r="H259" s="2460"/>
      <c r="I259" s="2461"/>
      <c r="J259" s="2610"/>
    </row>
    <row r="260" spans="1:10" ht="14.1" customHeight="1">
      <c r="A260" s="2462"/>
      <c r="B260" s="2463" t="s">
        <v>932</v>
      </c>
      <c r="C260" s="2463" t="s">
        <v>933</v>
      </c>
      <c r="D260" s="2463" t="s">
        <v>934</v>
      </c>
      <c r="E260" s="2463" t="s">
        <v>935</v>
      </c>
      <c r="F260" s="2463" t="s">
        <v>936</v>
      </c>
      <c r="G260" s="2459" t="s">
        <v>937</v>
      </c>
      <c r="H260" s="2460"/>
      <c r="I260" s="2461" t="s">
        <v>938</v>
      </c>
      <c r="J260" s="2610"/>
    </row>
    <row r="261" spans="1:10" ht="14.1" customHeight="1">
      <c r="A261" s="2492">
        <v>23</v>
      </c>
      <c r="B261" s="2444" t="s">
        <v>3212</v>
      </c>
      <c r="C261" s="2464"/>
      <c r="D261" s="2444"/>
      <c r="E261" s="2444"/>
      <c r="F261" s="2444"/>
      <c r="G261" s="2444"/>
      <c r="H261" s="2444"/>
      <c r="I261" s="2507"/>
      <c r="J261" s="2610"/>
    </row>
    <row r="262" spans="1:10" ht="14.1" customHeight="1">
      <c r="A262" s="2462">
        <v>24</v>
      </c>
      <c r="B262" s="2446" t="s">
        <v>3213</v>
      </c>
      <c r="C262" s="2463"/>
      <c r="D262" s="2446"/>
      <c r="E262" s="2446"/>
      <c r="F262" s="2446"/>
      <c r="G262" s="2446"/>
      <c r="H262" s="2446"/>
      <c r="I262" s="2505"/>
      <c r="J262" s="2610"/>
    </row>
    <row r="263" spans="1:10" ht="14.1" customHeight="1">
      <c r="A263" s="2462">
        <v>25</v>
      </c>
      <c r="B263" s="2446" t="s">
        <v>3214</v>
      </c>
      <c r="C263" s="2463"/>
      <c r="D263" s="2446"/>
      <c r="E263" s="2446"/>
      <c r="F263" s="2446"/>
      <c r="G263" s="2446"/>
      <c r="H263" s="2446"/>
      <c r="I263" s="2505"/>
      <c r="J263" s="2610"/>
    </row>
    <row r="264" spans="1:10" ht="14.1" customHeight="1">
      <c r="A264" s="2462">
        <v>26</v>
      </c>
      <c r="B264" s="2446" t="s">
        <v>3215</v>
      </c>
      <c r="C264" s="2607">
        <v>1487541.3</v>
      </c>
      <c r="D264" s="2446"/>
      <c r="E264" s="2446"/>
      <c r="F264" s="2446"/>
      <c r="G264" s="2446"/>
      <c r="H264" s="2446"/>
      <c r="I264" s="2505"/>
      <c r="J264" s="2610"/>
    </row>
    <row r="265" spans="1:10" ht="15" customHeight="1">
      <c r="A265" s="2462">
        <v>27</v>
      </c>
      <c r="B265" s="2446" t="s">
        <v>1952</v>
      </c>
      <c r="C265" s="2607">
        <v>1487541.3</v>
      </c>
      <c r="D265" s="2446"/>
      <c r="E265" s="2446"/>
      <c r="F265" s="2446"/>
      <c r="G265" s="2446"/>
      <c r="H265" s="2446"/>
      <c r="I265" s="2505"/>
      <c r="J265" s="2610"/>
    </row>
    <row r="266" spans="1:10" ht="15" customHeight="1">
      <c r="A266" s="2462">
        <v>28</v>
      </c>
      <c r="B266" s="2446" t="s">
        <v>3217</v>
      </c>
      <c r="C266" s="2607">
        <v>1487541.3</v>
      </c>
      <c r="D266" s="2446"/>
      <c r="E266" s="2446"/>
      <c r="F266" s="2446"/>
      <c r="G266" s="2446"/>
      <c r="H266" s="2446"/>
      <c r="I266" s="2505"/>
      <c r="J266" s="2610"/>
    </row>
    <row r="267" spans="1:10" ht="15" customHeight="1">
      <c r="A267" s="2462">
        <v>29</v>
      </c>
      <c r="B267" s="2601" t="s">
        <v>3218</v>
      </c>
      <c r="C267" s="2607">
        <v>1487541.3</v>
      </c>
      <c r="D267" s="2601" t="s">
        <v>4292</v>
      </c>
      <c r="E267" s="2601" t="s">
        <v>4295</v>
      </c>
      <c r="F267" s="2607">
        <v>29954</v>
      </c>
      <c r="G267" s="2463"/>
      <c r="H267" s="2463"/>
      <c r="I267" s="2461"/>
      <c r="J267" s="2610"/>
    </row>
    <row r="268" spans="1:10" ht="15" customHeight="1">
      <c r="A268" s="2462">
        <v>30</v>
      </c>
      <c r="B268" s="2601"/>
      <c r="C268" s="2607"/>
      <c r="D268" s="2601"/>
      <c r="E268" s="2601"/>
      <c r="F268" s="2607"/>
      <c r="G268" s="2463"/>
      <c r="H268" s="2463"/>
      <c r="I268" s="2461"/>
      <c r="J268" s="2610"/>
    </row>
    <row r="269" spans="1:10" ht="15" customHeight="1">
      <c r="A269" s="2462">
        <v>31</v>
      </c>
      <c r="B269" s="2601" t="s">
        <v>3219</v>
      </c>
      <c r="C269" s="2607">
        <v>1487541.3</v>
      </c>
      <c r="D269" s="2601" t="s">
        <v>4293</v>
      </c>
      <c r="E269" s="2601" t="s">
        <v>4296</v>
      </c>
      <c r="F269" s="2607">
        <v>192820</v>
      </c>
      <c r="G269" s="2463"/>
      <c r="H269" s="2463"/>
      <c r="I269" s="2461"/>
      <c r="J269" s="2610"/>
    </row>
    <row r="270" spans="1:10" ht="15" customHeight="1">
      <c r="A270" s="2462">
        <v>32</v>
      </c>
      <c r="B270" s="2601" t="s">
        <v>3220</v>
      </c>
      <c r="C270" s="2607">
        <v>1487541.3</v>
      </c>
      <c r="D270" s="2601" t="s">
        <v>4294</v>
      </c>
      <c r="E270" s="2601" t="s">
        <v>4296</v>
      </c>
      <c r="F270" s="2607">
        <v>415650</v>
      </c>
      <c r="G270" s="2463"/>
      <c r="H270" s="2463"/>
      <c r="I270" s="2461"/>
      <c r="J270" s="2610"/>
    </row>
    <row r="271" spans="1:10" ht="15" customHeight="1">
      <c r="A271" s="2462">
        <v>33</v>
      </c>
      <c r="B271" s="2446"/>
      <c r="C271" s="2607"/>
      <c r="D271" s="2446"/>
      <c r="E271" s="2446"/>
      <c r="F271" s="2608"/>
      <c r="G271" s="2446"/>
      <c r="H271" s="2446"/>
      <c r="I271" s="2505"/>
      <c r="J271" s="2610"/>
    </row>
    <row r="272" spans="1:10" ht="15" customHeight="1">
      <c r="A272" s="2462">
        <v>34</v>
      </c>
      <c r="B272" s="2446" t="s">
        <v>3221</v>
      </c>
      <c r="C272" s="2607">
        <v>1487541.3</v>
      </c>
      <c r="D272" s="2446"/>
      <c r="E272" s="2446"/>
      <c r="F272" s="2446"/>
      <c r="G272" s="2446"/>
      <c r="H272" s="2446"/>
      <c r="I272" s="2505"/>
      <c r="J272" s="2610"/>
    </row>
    <row r="273" spans="1:10" ht="15" customHeight="1">
      <c r="A273" s="2462">
        <v>35</v>
      </c>
      <c r="B273" s="2446" t="s">
        <v>3222</v>
      </c>
      <c r="C273" s="2607"/>
      <c r="D273" s="2446"/>
      <c r="E273" s="2446"/>
      <c r="F273" s="2446"/>
      <c r="G273" s="2446"/>
      <c r="H273" s="2446"/>
      <c r="I273" s="2505"/>
      <c r="J273" s="2610"/>
    </row>
    <row r="274" spans="1:10" ht="15" customHeight="1" thickBot="1">
      <c r="A274" s="2499">
        <v>36</v>
      </c>
      <c r="B274" s="2501" t="s">
        <v>3753</v>
      </c>
      <c r="C274" s="2609">
        <v>1295259</v>
      </c>
      <c r="D274" s="2609"/>
      <c r="E274" s="2501"/>
      <c r="F274" s="2501"/>
      <c r="G274" s="2501"/>
      <c r="H274" s="2501"/>
      <c r="I274" s="2502"/>
      <c r="J274" s="2610"/>
    </row>
    <row r="275" spans="1:10" ht="15" customHeight="1">
      <c r="A275" s="2449" t="s">
        <v>3184</v>
      </c>
      <c r="B275" s="2449"/>
      <c r="C275" s="2449"/>
      <c r="D275" s="2592" t="s">
        <v>4357</v>
      </c>
      <c r="E275" s="2449"/>
      <c r="F275" s="2449"/>
      <c r="G275" s="2449"/>
      <c r="H275" s="2449"/>
      <c r="I275" s="2449"/>
    </row>
    <row r="276" spans="1:10" ht="15" customHeight="1" thickBot="1">
      <c r="A276" s="2444" t="str">
        <f>+A1</f>
        <v>Annual Report of New York American Water Company, Inc. (f/k/a Long Island Water Corp)                                   Year Ended  December 31, 2013</v>
      </c>
    </row>
    <row r="277" spans="1:10" ht="15" customHeight="1">
      <c r="A277" s="2448"/>
      <c r="B277" s="2449"/>
      <c r="C277" s="2449"/>
      <c r="D277" s="2449"/>
      <c r="E277" s="2449"/>
      <c r="F277" s="2449"/>
      <c r="G277" s="2449"/>
      <c r="H277" s="2449"/>
      <c r="I277" s="2450"/>
      <c r="J277" s="2610"/>
    </row>
    <row r="278" spans="1:10" ht="15" customHeight="1">
      <c r="A278" s="2490" t="s">
        <v>3940</v>
      </c>
      <c r="B278" s="2460"/>
      <c r="C278" s="2460"/>
      <c r="D278" s="2460"/>
      <c r="E278" s="2460"/>
      <c r="F278" s="2460"/>
      <c r="G278" s="2460"/>
      <c r="H278" s="2460"/>
      <c r="I278" s="2491"/>
      <c r="J278" s="2610"/>
    </row>
    <row r="279" spans="1:10" ht="15" customHeight="1">
      <c r="A279" s="2452"/>
      <c r="B279" s="2451"/>
      <c r="C279" s="2451"/>
      <c r="D279" s="2451"/>
      <c r="E279" s="2451"/>
      <c r="F279" s="2451"/>
      <c r="G279" s="2451"/>
      <c r="H279" s="2451"/>
      <c r="I279" s="2453"/>
      <c r="J279" s="2610"/>
    </row>
    <row r="280" spans="1:10" ht="15" customHeight="1">
      <c r="A280" s="2454"/>
      <c r="B280" s="2445"/>
      <c r="C280" s="2445"/>
      <c r="D280" s="2445"/>
      <c r="E280" s="2445"/>
      <c r="F280" s="2445"/>
      <c r="G280" s="2445"/>
      <c r="H280" s="2445"/>
      <c r="I280" s="2455"/>
      <c r="J280" s="2610"/>
    </row>
    <row r="281" spans="1:10" ht="14.1" customHeight="1">
      <c r="A281" s="2452" t="s">
        <v>2611</v>
      </c>
      <c r="B281" s="2451"/>
      <c r="C281" s="2451"/>
      <c r="D281" s="2451"/>
      <c r="E281" s="2451"/>
      <c r="F281" s="2451"/>
      <c r="G281" s="2451"/>
      <c r="H281" s="2451"/>
      <c r="I281" s="2453"/>
      <c r="J281" s="2610"/>
    </row>
    <row r="282" spans="1:10" ht="14.1" customHeight="1">
      <c r="A282" s="2452" t="s">
        <v>2612</v>
      </c>
      <c r="B282" s="2451"/>
      <c r="C282" s="2451"/>
      <c r="D282" s="2451"/>
      <c r="E282" s="2451"/>
      <c r="F282" s="2451"/>
      <c r="G282" s="2451"/>
      <c r="H282" s="2451"/>
      <c r="I282" s="2453"/>
      <c r="J282" s="2610"/>
    </row>
    <row r="283" spans="1:10" ht="14.1" customHeight="1">
      <c r="A283" s="2452"/>
      <c r="B283" s="2451"/>
      <c r="C283" s="2451"/>
      <c r="D283" s="2451"/>
      <c r="E283" s="2451"/>
      <c r="F283" s="2451"/>
      <c r="G283" s="2451"/>
      <c r="H283" s="2451"/>
      <c r="I283" s="2453"/>
      <c r="J283" s="2610"/>
    </row>
    <row r="284" spans="1:10" ht="14.1" customHeight="1">
      <c r="A284" s="2492"/>
      <c r="B284" s="2464"/>
      <c r="C284" s="2464"/>
      <c r="D284" s="2464"/>
      <c r="E284" s="2464"/>
      <c r="F284" s="2464"/>
      <c r="G284" s="2464"/>
      <c r="H284" s="2464"/>
      <c r="I284" s="2458"/>
      <c r="J284" s="2610"/>
    </row>
    <row r="285" spans="1:10" ht="14.1" customHeight="1">
      <c r="A285" s="2462"/>
      <c r="B285" s="2463" t="s">
        <v>3026</v>
      </c>
      <c r="C285" s="2463" t="s">
        <v>94</v>
      </c>
      <c r="D285" s="2463" t="s">
        <v>3022</v>
      </c>
      <c r="E285" s="2463" t="s">
        <v>2820</v>
      </c>
      <c r="F285" s="2463" t="s">
        <v>3021</v>
      </c>
      <c r="G285" s="2463" t="s">
        <v>2821</v>
      </c>
      <c r="H285" s="2463" t="s">
        <v>2822</v>
      </c>
      <c r="I285" s="2461" t="s">
        <v>930</v>
      </c>
      <c r="J285" s="2610"/>
    </row>
    <row r="286" spans="1:10" ht="14.1" customHeight="1">
      <c r="A286" s="2462" t="s">
        <v>1939</v>
      </c>
      <c r="B286" s="2463" t="s">
        <v>4226</v>
      </c>
      <c r="C286" s="2463"/>
      <c r="D286" s="2463" t="s">
        <v>2823</v>
      </c>
      <c r="E286" s="2463" t="s">
        <v>4398</v>
      </c>
      <c r="F286" s="2463" t="s">
        <v>4398</v>
      </c>
      <c r="G286" s="2463" t="s">
        <v>4398</v>
      </c>
      <c r="H286" s="2463" t="s">
        <v>4399</v>
      </c>
      <c r="I286" s="2461" t="s">
        <v>931</v>
      </c>
      <c r="J286" s="2610"/>
    </row>
    <row r="287" spans="1:10" ht="14.1" customHeight="1">
      <c r="A287" s="2462" t="s">
        <v>1941</v>
      </c>
      <c r="B287" s="2463" t="s">
        <v>4400</v>
      </c>
      <c r="C287" s="2463"/>
      <c r="D287" s="2463" t="s">
        <v>4401</v>
      </c>
      <c r="E287" s="2463"/>
      <c r="F287" s="2463" t="s">
        <v>4402</v>
      </c>
      <c r="G287" s="2463" t="s">
        <v>3039</v>
      </c>
      <c r="H287" s="2463" t="s">
        <v>4617</v>
      </c>
      <c r="I287" s="2461"/>
      <c r="J287" s="2610"/>
    </row>
    <row r="288" spans="1:10" ht="14.1" customHeight="1">
      <c r="A288" s="2462"/>
      <c r="B288" s="2463" t="s">
        <v>932</v>
      </c>
      <c r="C288" s="2463" t="s">
        <v>933</v>
      </c>
      <c r="D288" s="2463" t="s">
        <v>934</v>
      </c>
      <c r="E288" s="2463" t="s">
        <v>935</v>
      </c>
      <c r="F288" s="2463" t="s">
        <v>936</v>
      </c>
      <c r="G288" s="2463" t="s">
        <v>937</v>
      </c>
      <c r="H288" s="2463" t="s">
        <v>938</v>
      </c>
      <c r="I288" s="2461" t="s">
        <v>939</v>
      </c>
      <c r="J288" s="2610"/>
    </row>
    <row r="289" spans="1:11" ht="14.1" customHeight="1">
      <c r="A289" s="2492">
        <v>1</v>
      </c>
      <c r="B289" s="2595" t="s">
        <v>4621</v>
      </c>
      <c r="C289" s="2596" t="s">
        <v>3207</v>
      </c>
      <c r="D289" s="2611" t="s">
        <v>5308</v>
      </c>
      <c r="E289" s="2597">
        <v>1</v>
      </c>
      <c r="F289" s="2597"/>
      <c r="G289" s="2597"/>
      <c r="H289" s="2597"/>
      <c r="I289" s="2598" t="s">
        <v>987</v>
      </c>
      <c r="J289" s="2610"/>
    </row>
    <row r="290" spans="1:11" ht="14.1" customHeight="1">
      <c r="A290" s="2462">
        <v>2</v>
      </c>
      <c r="B290" s="2599" t="s">
        <v>3206</v>
      </c>
      <c r="C290" s="2600" t="s">
        <v>4613</v>
      </c>
      <c r="D290" s="2601">
        <v>2007</v>
      </c>
      <c r="E290" s="2601">
        <v>1</v>
      </c>
      <c r="F290" s="2601"/>
      <c r="G290" s="2601"/>
      <c r="H290" s="2601"/>
      <c r="I290" s="2602" t="s">
        <v>4390</v>
      </c>
      <c r="J290" s="2610"/>
    </row>
    <row r="291" spans="1:11" ht="14.1" customHeight="1">
      <c r="A291" s="2462">
        <v>3</v>
      </c>
      <c r="B291" s="2599" t="s">
        <v>3206</v>
      </c>
      <c r="C291" s="2600" t="s">
        <v>3208</v>
      </c>
      <c r="D291" s="2601">
        <v>1993</v>
      </c>
      <c r="E291" s="2601">
        <v>1</v>
      </c>
      <c r="F291" s="2601"/>
      <c r="G291" s="2601"/>
      <c r="H291" s="2601"/>
      <c r="I291" s="2602" t="s">
        <v>987</v>
      </c>
      <c r="J291" s="2610"/>
    </row>
    <row r="292" spans="1:11" ht="14.1" customHeight="1">
      <c r="A292" s="2462">
        <v>4</v>
      </c>
      <c r="B292" s="2599" t="s">
        <v>3206</v>
      </c>
      <c r="C292" s="2600" t="s">
        <v>3209</v>
      </c>
      <c r="D292" s="2601">
        <v>2007</v>
      </c>
      <c r="E292" s="2601">
        <v>2</v>
      </c>
      <c r="F292" s="2601"/>
      <c r="G292" s="2601"/>
      <c r="H292" s="2601"/>
      <c r="I292" s="2602" t="s">
        <v>4390</v>
      </c>
      <c r="J292" s="2610"/>
    </row>
    <row r="293" spans="1:11" ht="14.1" customHeight="1">
      <c r="A293" s="2462">
        <v>5</v>
      </c>
      <c r="B293" s="2599" t="s">
        <v>3206</v>
      </c>
      <c r="C293" s="2600" t="s">
        <v>4614</v>
      </c>
      <c r="D293" s="2601">
        <v>2013</v>
      </c>
      <c r="E293" s="2463">
        <v>1</v>
      </c>
      <c r="F293" s="2463"/>
      <c r="G293" s="2463"/>
      <c r="H293" s="2463"/>
      <c r="I293" s="2602" t="s">
        <v>987</v>
      </c>
      <c r="J293" s="2613"/>
      <c r="K293" s="2610"/>
    </row>
    <row r="294" spans="1:11" ht="15" customHeight="1">
      <c r="A294" s="2462">
        <v>6</v>
      </c>
      <c r="B294" s="2599" t="s">
        <v>3206</v>
      </c>
      <c r="C294" s="2600" t="s">
        <v>4615</v>
      </c>
      <c r="D294" s="2601">
        <v>2007</v>
      </c>
      <c r="E294" s="2463">
        <v>1</v>
      </c>
      <c r="F294" s="2463"/>
      <c r="G294" s="2463"/>
      <c r="H294" s="2463"/>
      <c r="I294" s="2602" t="s">
        <v>4390</v>
      </c>
      <c r="J294" s="2610"/>
    </row>
    <row r="295" spans="1:11" ht="15" customHeight="1">
      <c r="A295" s="2462">
        <v>7</v>
      </c>
      <c r="B295" s="2599" t="s">
        <v>3206</v>
      </c>
      <c r="C295" s="2600" t="s">
        <v>1448</v>
      </c>
      <c r="D295" s="2601">
        <v>1954</v>
      </c>
      <c r="E295" s="2601">
        <v>4</v>
      </c>
      <c r="F295" s="2601" t="s">
        <v>4622</v>
      </c>
      <c r="G295" s="2601" t="s">
        <v>4623</v>
      </c>
      <c r="H295" s="2601">
        <v>2000</v>
      </c>
      <c r="I295" s="2602" t="s">
        <v>2141</v>
      </c>
      <c r="J295" s="2610"/>
      <c r="K295" s="2614"/>
    </row>
    <row r="296" spans="1:11" ht="15" customHeight="1">
      <c r="A296" s="2462">
        <v>8</v>
      </c>
      <c r="B296" s="2463"/>
      <c r="C296" s="2463"/>
      <c r="D296" s="2463"/>
      <c r="E296" s="2463"/>
      <c r="F296" s="2463"/>
      <c r="G296" s="2463"/>
      <c r="H296" s="2463"/>
      <c r="I296" s="2461"/>
      <c r="J296" s="2610"/>
    </row>
    <row r="297" spans="1:11" ht="15" customHeight="1">
      <c r="A297" s="2462">
        <v>9</v>
      </c>
      <c r="B297" s="2463"/>
      <c r="C297" s="2463"/>
      <c r="D297" s="2463"/>
      <c r="E297" s="2463"/>
      <c r="F297" s="2463"/>
      <c r="G297" s="2463"/>
      <c r="H297" s="2463"/>
      <c r="I297" s="2461"/>
      <c r="J297" s="2610"/>
    </row>
    <row r="298" spans="1:11" ht="15" customHeight="1">
      <c r="A298" s="2492">
        <v>10</v>
      </c>
      <c r="B298" s="2464" t="s">
        <v>940</v>
      </c>
      <c r="C298" s="2464"/>
      <c r="D298" s="2464"/>
      <c r="E298" s="2464"/>
      <c r="F298" s="2464"/>
      <c r="G298" s="2464"/>
      <c r="H298" s="2464"/>
      <c r="I298" s="2458"/>
      <c r="J298" s="2610"/>
    </row>
    <row r="299" spans="1:11" ht="15" customHeight="1">
      <c r="A299" s="2454"/>
      <c r="B299" s="2445" t="s">
        <v>941</v>
      </c>
      <c r="C299" s="2445"/>
      <c r="D299" s="2445"/>
      <c r="E299" s="2445"/>
      <c r="F299" s="2445"/>
      <c r="G299" s="2445"/>
      <c r="H299" s="2445"/>
      <c r="I299" s="2455"/>
      <c r="J299" s="2610"/>
    </row>
    <row r="300" spans="1:11" ht="15" customHeight="1">
      <c r="A300" s="2452"/>
      <c r="B300" s="2451"/>
      <c r="C300" s="2451"/>
      <c r="D300" s="2451"/>
      <c r="E300" s="2451"/>
      <c r="F300" s="2451"/>
      <c r="G300" s="2451"/>
      <c r="H300" s="2451"/>
      <c r="I300" s="2453"/>
      <c r="J300" s="2610"/>
    </row>
    <row r="301" spans="1:11" ht="15" customHeight="1">
      <c r="A301" s="2490" t="s">
        <v>3634</v>
      </c>
      <c r="B301" s="2460"/>
      <c r="C301" s="2460"/>
      <c r="D301" s="2460"/>
      <c r="E301" s="2460"/>
      <c r="F301" s="2460"/>
      <c r="G301" s="2460"/>
      <c r="H301" s="2460"/>
      <c r="I301" s="2491"/>
      <c r="J301" s="2610"/>
    </row>
    <row r="302" spans="1:11" ht="15" customHeight="1">
      <c r="A302" s="2452" t="s">
        <v>2348</v>
      </c>
      <c r="B302" s="2451"/>
      <c r="C302" s="2451"/>
      <c r="D302" s="2451"/>
      <c r="E302" s="2451"/>
      <c r="F302" s="2451"/>
      <c r="G302" s="2451"/>
      <c r="H302" s="2451"/>
      <c r="I302" s="2453"/>
      <c r="J302" s="2610"/>
    </row>
    <row r="303" spans="1:11" ht="15" customHeight="1">
      <c r="A303" s="2452" t="s">
        <v>4346</v>
      </c>
      <c r="B303" s="2451"/>
      <c r="C303" s="2451"/>
      <c r="D303" s="2451"/>
      <c r="E303" s="2451" t="s">
        <v>2349</v>
      </c>
      <c r="F303" s="2451"/>
      <c r="G303" s="2451"/>
      <c r="H303" s="2451"/>
      <c r="I303" s="2453"/>
      <c r="J303" s="2610"/>
    </row>
    <row r="304" spans="1:11" ht="14.1" customHeight="1">
      <c r="A304" s="2452"/>
      <c r="B304" s="2451"/>
      <c r="C304" s="2451"/>
      <c r="D304" s="2451"/>
      <c r="E304" s="2451" t="s">
        <v>1004</v>
      </c>
      <c r="F304" s="2451"/>
      <c r="G304" s="2451"/>
      <c r="H304" s="2451"/>
      <c r="I304" s="2453"/>
      <c r="J304" s="2610"/>
    </row>
    <row r="305" spans="1:10" ht="14.1" customHeight="1">
      <c r="A305" s="2452" t="s">
        <v>1744</v>
      </c>
      <c r="B305" s="2451"/>
      <c r="C305" s="2451"/>
      <c r="D305" s="2451"/>
      <c r="E305" s="2451"/>
      <c r="F305" s="2451"/>
      <c r="G305" s="2451"/>
      <c r="H305" s="2451"/>
      <c r="I305" s="2453"/>
      <c r="J305" s="2610"/>
    </row>
    <row r="306" spans="1:10" ht="14.1" customHeight="1">
      <c r="A306" s="2452" t="s">
        <v>1005</v>
      </c>
      <c r="B306" s="2451"/>
      <c r="C306" s="2451"/>
      <c r="D306" s="2451"/>
      <c r="E306" s="2451" t="s">
        <v>848</v>
      </c>
      <c r="F306" s="2451"/>
      <c r="G306" s="2451"/>
      <c r="H306" s="2451"/>
      <c r="I306" s="2453"/>
      <c r="J306" s="2610"/>
    </row>
    <row r="307" spans="1:10" ht="14.1" customHeight="1">
      <c r="A307" s="2452"/>
      <c r="B307" s="2451"/>
      <c r="C307" s="2451"/>
      <c r="D307" s="2451"/>
      <c r="E307" s="2451" t="s">
        <v>1737</v>
      </c>
      <c r="F307" s="2451"/>
      <c r="G307" s="2451"/>
      <c r="H307" s="2451"/>
      <c r="I307" s="2453"/>
      <c r="J307" s="2610"/>
    </row>
    <row r="308" spans="1:10" ht="14.1" customHeight="1">
      <c r="A308" s="2452" t="s">
        <v>849</v>
      </c>
      <c r="B308" s="2451"/>
      <c r="C308" s="2451"/>
      <c r="D308" s="2451"/>
      <c r="E308" s="2451"/>
      <c r="F308" s="2451"/>
      <c r="G308" s="2451"/>
      <c r="H308" s="2451"/>
      <c r="I308" s="2453"/>
      <c r="J308" s="2610"/>
    </row>
    <row r="309" spans="1:10" ht="14.1" customHeight="1">
      <c r="A309" s="2452" t="s">
        <v>4345</v>
      </c>
      <c r="B309" s="2451"/>
      <c r="C309" s="2451"/>
      <c r="D309" s="2451"/>
      <c r="E309" s="2451"/>
      <c r="F309" s="2451"/>
      <c r="G309" s="2451"/>
      <c r="H309" s="2451"/>
      <c r="I309" s="2453"/>
      <c r="J309" s="2610"/>
    </row>
    <row r="310" spans="1:10" ht="14.1" customHeight="1">
      <c r="A310" s="2452"/>
      <c r="B310" s="2451"/>
      <c r="C310" s="2451"/>
      <c r="D310" s="2451"/>
      <c r="E310" s="2451"/>
      <c r="F310" s="2451"/>
      <c r="G310" s="2451"/>
      <c r="H310" s="2451"/>
      <c r="I310" s="2453"/>
      <c r="J310" s="2610"/>
    </row>
    <row r="311" spans="1:10" ht="14.1" customHeight="1">
      <c r="A311" s="2492"/>
      <c r="B311" s="2464"/>
      <c r="C311" s="2464"/>
      <c r="D311" s="2464"/>
      <c r="E311" s="2464" t="s">
        <v>1738</v>
      </c>
      <c r="F311" s="2464"/>
      <c r="G311" s="2464"/>
      <c r="H311" s="2580"/>
      <c r="I311" s="2458"/>
      <c r="J311" s="2610"/>
    </row>
    <row r="312" spans="1:10" ht="14.1" customHeight="1">
      <c r="A312" s="2462" t="s">
        <v>1939</v>
      </c>
      <c r="B312" s="2463" t="s">
        <v>1739</v>
      </c>
      <c r="C312" s="2463" t="s">
        <v>3754</v>
      </c>
      <c r="D312" s="2463"/>
      <c r="E312" s="2463"/>
      <c r="F312" s="2463"/>
      <c r="G312" s="2463"/>
      <c r="H312" s="2516"/>
      <c r="I312" s="2461"/>
      <c r="J312" s="2610"/>
    </row>
    <row r="313" spans="1:10" ht="14.1" customHeight="1">
      <c r="A313" s="2462" t="s">
        <v>1941</v>
      </c>
      <c r="B313" s="2463"/>
      <c r="C313" s="2463" t="s">
        <v>1874</v>
      </c>
      <c r="D313" s="2463" t="s">
        <v>3032</v>
      </c>
      <c r="E313" s="2463" t="s">
        <v>1875</v>
      </c>
      <c r="F313" s="2463" t="s">
        <v>1876</v>
      </c>
      <c r="G313" s="2459" t="s">
        <v>1877</v>
      </c>
      <c r="H313" s="2460"/>
      <c r="I313" s="2461" t="s">
        <v>4031</v>
      </c>
      <c r="J313" s="2610"/>
    </row>
    <row r="314" spans="1:10" ht="14.1" customHeight="1">
      <c r="A314" s="2462"/>
      <c r="B314" s="2463"/>
      <c r="C314" s="2463"/>
      <c r="D314" s="2463"/>
      <c r="E314" s="2463"/>
      <c r="F314" s="2463"/>
      <c r="G314" s="2459"/>
      <c r="H314" s="2460"/>
      <c r="I314" s="2461"/>
      <c r="J314" s="2610"/>
    </row>
    <row r="315" spans="1:10" ht="14.1" customHeight="1">
      <c r="A315" s="2462"/>
      <c r="B315" s="2463" t="s">
        <v>932</v>
      </c>
      <c r="C315" s="2463" t="s">
        <v>933</v>
      </c>
      <c r="D315" s="2463" t="s">
        <v>934</v>
      </c>
      <c r="E315" s="2463" t="s">
        <v>935</v>
      </c>
      <c r="F315" s="2463" t="s">
        <v>936</v>
      </c>
      <c r="G315" s="2459" t="s">
        <v>937</v>
      </c>
      <c r="H315" s="2460"/>
      <c r="I315" s="2461" t="s">
        <v>938</v>
      </c>
      <c r="J315" s="2610"/>
    </row>
    <row r="316" spans="1:10" ht="14.1" customHeight="1">
      <c r="A316" s="2492">
        <v>23</v>
      </c>
      <c r="B316" s="2444" t="s">
        <v>3212</v>
      </c>
      <c r="C316" s="2464"/>
      <c r="D316" s="2444"/>
      <c r="E316" s="2444"/>
      <c r="F316" s="2444"/>
      <c r="G316" s="2444"/>
      <c r="H316" s="2444"/>
      <c r="I316" s="2507"/>
      <c r="J316" s="2610"/>
    </row>
    <row r="317" spans="1:10" ht="14.1" customHeight="1">
      <c r="A317" s="2462">
        <v>24</v>
      </c>
      <c r="B317" s="2446" t="s">
        <v>3213</v>
      </c>
      <c r="C317" s="2463"/>
      <c r="D317" s="2446"/>
      <c r="E317" s="2446"/>
      <c r="F317" s="2446"/>
      <c r="G317" s="2446"/>
      <c r="H317" s="2446"/>
      <c r="I317" s="2505"/>
      <c r="J317" s="2610"/>
    </row>
    <row r="318" spans="1:10" ht="14.1" customHeight="1">
      <c r="A318" s="2462">
        <v>25</v>
      </c>
      <c r="B318" s="2446" t="s">
        <v>3214</v>
      </c>
      <c r="C318" s="2463"/>
      <c r="D318" s="2446"/>
      <c r="E318" s="2446"/>
      <c r="F318" s="2446"/>
      <c r="G318" s="2446"/>
      <c r="H318" s="2446"/>
      <c r="I318" s="2505"/>
      <c r="J318" s="2610"/>
    </row>
    <row r="319" spans="1:10" ht="14.1" customHeight="1">
      <c r="A319" s="2462">
        <v>26</v>
      </c>
      <c r="B319" s="2446" t="s">
        <v>3215</v>
      </c>
      <c r="C319" s="2607">
        <v>37586</v>
      </c>
      <c r="D319" s="2446"/>
      <c r="E319" s="2446"/>
      <c r="F319" s="2446"/>
      <c r="G319" s="2446"/>
      <c r="H319" s="2446"/>
      <c r="I319" s="2505"/>
      <c r="J319" s="2610"/>
    </row>
    <row r="320" spans="1:10" ht="14.1" customHeight="1">
      <c r="A320" s="2462">
        <v>27</v>
      </c>
      <c r="B320" s="2446" t="s">
        <v>1449</v>
      </c>
      <c r="C320" s="2607">
        <v>37586</v>
      </c>
      <c r="D320" s="2446"/>
      <c r="E320" s="2446"/>
      <c r="F320" s="2446"/>
      <c r="G320" s="2446"/>
      <c r="H320" s="2446"/>
      <c r="I320" s="2505"/>
      <c r="J320" s="2610"/>
    </row>
    <row r="321" spans="1:10" ht="15" customHeight="1">
      <c r="A321" s="2462">
        <v>28</v>
      </c>
      <c r="B321" s="2446" t="s">
        <v>3217</v>
      </c>
      <c r="C321" s="2607">
        <v>37586</v>
      </c>
      <c r="D321" s="2446"/>
      <c r="E321" s="2446"/>
      <c r="F321" s="2446"/>
      <c r="G321" s="2446"/>
      <c r="H321" s="2446"/>
      <c r="I321" s="2505"/>
      <c r="J321" s="2610"/>
    </row>
    <row r="322" spans="1:10" ht="15" customHeight="1">
      <c r="A322" s="2462">
        <v>29</v>
      </c>
      <c r="B322" s="2601" t="s">
        <v>3218</v>
      </c>
      <c r="C322" s="2607">
        <v>37586</v>
      </c>
      <c r="D322" s="2601" t="s">
        <v>4292</v>
      </c>
      <c r="E322" s="2601" t="s">
        <v>4295</v>
      </c>
      <c r="F322" s="2607">
        <v>576</v>
      </c>
      <c r="G322" s="2463"/>
      <c r="H322" s="2463"/>
      <c r="I322" s="2461"/>
      <c r="J322" s="2610"/>
    </row>
    <row r="323" spans="1:10" ht="15" customHeight="1">
      <c r="A323" s="2462">
        <v>30</v>
      </c>
      <c r="B323" s="2601"/>
      <c r="C323" s="2607"/>
      <c r="D323" s="2601"/>
      <c r="E323" s="2601"/>
      <c r="F323" s="2607"/>
      <c r="G323" s="2463"/>
      <c r="H323" s="2463"/>
      <c r="I323" s="2461"/>
      <c r="J323" s="2610"/>
    </row>
    <row r="324" spans="1:10" ht="15" customHeight="1">
      <c r="A324" s="2462">
        <v>31</v>
      </c>
      <c r="B324" s="2601" t="s">
        <v>3219</v>
      </c>
      <c r="C324" s="2607">
        <v>37586</v>
      </c>
      <c r="D324" s="2601" t="s">
        <v>4293</v>
      </c>
      <c r="E324" s="2601" t="s">
        <v>4296</v>
      </c>
      <c r="F324" s="2607">
        <v>6376</v>
      </c>
      <c r="G324" s="2463"/>
      <c r="H324" s="2463"/>
      <c r="I324" s="2461"/>
      <c r="J324" s="2610"/>
    </row>
    <row r="325" spans="1:10" ht="15" customHeight="1">
      <c r="A325" s="2462">
        <v>32</v>
      </c>
      <c r="B325" s="2601" t="s">
        <v>3220</v>
      </c>
      <c r="C325" s="2607">
        <v>37586</v>
      </c>
      <c r="D325" s="2601" t="s">
        <v>4294</v>
      </c>
      <c r="E325" s="2601" t="s">
        <v>4296</v>
      </c>
      <c r="F325" s="2607">
        <v>9850</v>
      </c>
      <c r="G325" s="2463"/>
      <c r="H325" s="2463"/>
      <c r="I325" s="2461"/>
      <c r="J325" s="2610"/>
    </row>
    <row r="326" spans="1:10" ht="15" customHeight="1">
      <c r="A326" s="2462">
        <v>33</v>
      </c>
      <c r="B326" s="2446"/>
      <c r="C326" s="2607"/>
      <c r="D326" s="2446"/>
      <c r="E326" s="2446"/>
      <c r="F326" s="2608"/>
      <c r="G326" s="2446"/>
      <c r="H326" s="2446"/>
      <c r="I326" s="2505"/>
      <c r="J326" s="2610"/>
    </row>
    <row r="327" spans="1:10" ht="15" customHeight="1">
      <c r="A327" s="2462">
        <v>34</v>
      </c>
      <c r="B327" s="2446" t="s">
        <v>3221</v>
      </c>
      <c r="C327" s="2607">
        <v>37586</v>
      </c>
      <c r="D327" s="2446"/>
      <c r="E327" s="2446"/>
      <c r="F327" s="2446"/>
      <c r="G327" s="2446"/>
      <c r="H327" s="2446"/>
      <c r="I327" s="2505"/>
      <c r="J327" s="2610"/>
    </row>
    <row r="328" spans="1:10" ht="15" customHeight="1">
      <c r="A328" s="2462">
        <v>35</v>
      </c>
      <c r="B328" s="2446" t="s">
        <v>3222</v>
      </c>
      <c r="C328" s="2607"/>
      <c r="D328" s="2446"/>
      <c r="E328" s="2446"/>
      <c r="F328" s="2446"/>
      <c r="G328" s="2446"/>
      <c r="H328" s="2446"/>
      <c r="I328" s="2505"/>
      <c r="J328" s="2610"/>
    </row>
    <row r="329" spans="1:10" ht="15" customHeight="1" thickBot="1">
      <c r="A329" s="2499">
        <v>36</v>
      </c>
      <c r="B329" s="2501" t="s">
        <v>3753</v>
      </c>
      <c r="C329" s="2609">
        <v>35125</v>
      </c>
      <c r="D329" s="2609"/>
      <c r="E329" s="2501"/>
      <c r="F329" s="2501"/>
      <c r="G329" s="2501"/>
      <c r="H329" s="2501"/>
      <c r="I329" s="2502"/>
      <c r="J329" s="2610"/>
    </row>
    <row r="330" spans="1:10" ht="15" customHeight="1">
      <c r="A330" s="2449" t="s">
        <v>3184</v>
      </c>
      <c r="B330" s="2449"/>
      <c r="C330" s="2449"/>
      <c r="D330" s="2592" t="s">
        <v>709</v>
      </c>
      <c r="E330" s="2449"/>
      <c r="F330" s="2449"/>
      <c r="G330" s="2449"/>
      <c r="H330" s="2449"/>
      <c r="I330" s="2449"/>
    </row>
    <row r="331" spans="1:10" ht="15" customHeight="1" thickBot="1">
      <c r="A331" s="2444" t="str">
        <f>+A1</f>
        <v>Annual Report of New York American Water Company, Inc. (f/k/a Long Island Water Corp)                                   Year Ended  December 31, 2013</v>
      </c>
    </row>
    <row r="332" spans="1:10" ht="15" customHeight="1">
      <c r="A332" s="2448"/>
      <c r="B332" s="2449"/>
      <c r="C332" s="2449"/>
      <c r="D332" s="2449"/>
      <c r="E332" s="2449"/>
      <c r="F332" s="2449"/>
      <c r="G332" s="2449"/>
      <c r="H332" s="2449"/>
      <c r="I332" s="2450"/>
      <c r="J332" s="2610"/>
    </row>
    <row r="333" spans="1:10" ht="15" customHeight="1">
      <c r="A333" s="2490" t="s">
        <v>3940</v>
      </c>
      <c r="B333" s="2460"/>
      <c r="C333" s="2460"/>
      <c r="D333" s="2460"/>
      <c r="E333" s="2460"/>
      <c r="F333" s="2460"/>
      <c r="G333" s="2460"/>
      <c r="H333" s="2460"/>
      <c r="I333" s="2491"/>
      <c r="J333" s="2610"/>
    </row>
    <row r="334" spans="1:10" ht="15" customHeight="1">
      <c r="A334" s="2452"/>
      <c r="B334" s="2451"/>
      <c r="C334" s="2451"/>
      <c r="D334" s="2451"/>
      <c r="E334" s="2451"/>
      <c r="F334" s="2451"/>
      <c r="G334" s="2451"/>
      <c r="H334" s="2451"/>
      <c r="I334" s="2453"/>
      <c r="J334" s="2610"/>
    </row>
    <row r="335" spans="1:10" ht="15" customHeight="1">
      <c r="A335" s="2454"/>
      <c r="B335" s="2445"/>
      <c r="C335" s="2445"/>
      <c r="D335" s="2445"/>
      <c r="E335" s="2445"/>
      <c r="F335" s="2445"/>
      <c r="G335" s="2445"/>
      <c r="H335" s="2445"/>
      <c r="I335" s="2455"/>
      <c r="J335" s="2610"/>
    </row>
    <row r="336" spans="1:10" ht="15" customHeight="1">
      <c r="A336" s="2452" t="s">
        <v>2611</v>
      </c>
      <c r="B336" s="2451"/>
      <c r="C336" s="2451"/>
      <c r="D336" s="2451"/>
      <c r="E336" s="2451"/>
      <c r="F336" s="2451"/>
      <c r="G336" s="2451"/>
      <c r="H336" s="2451"/>
      <c r="I336" s="2453"/>
      <c r="J336" s="2610"/>
    </row>
    <row r="337" spans="1:10" ht="14.1" customHeight="1">
      <c r="A337" s="2452" t="s">
        <v>2612</v>
      </c>
      <c r="B337" s="2451"/>
      <c r="C337" s="2451"/>
      <c r="D337" s="2451"/>
      <c r="E337" s="2451"/>
      <c r="F337" s="2451"/>
      <c r="G337" s="2451"/>
      <c r="H337" s="2451"/>
      <c r="I337" s="2453"/>
      <c r="J337" s="2610"/>
    </row>
    <row r="338" spans="1:10" ht="14.1" customHeight="1">
      <c r="A338" s="2452"/>
      <c r="B338" s="2451"/>
      <c r="C338" s="2451"/>
      <c r="D338" s="2451"/>
      <c r="E338" s="2451"/>
      <c r="F338" s="2451"/>
      <c r="G338" s="2451"/>
      <c r="H338" s="2451"/>
      <c r="I338" s="2453"/>
      <c r="J338" s="2610"/>
    </row>
    <row r="339" spans="1:10" ht="14.1" customHeight="1">
      <c r="A339" s="2492"/>
      <c r="B339" s="2464"/>
      <c r="C339" s="2464"/>
      <c r="D339" s="2464"/>
      <c r="E339" s="2464"/>
      <c r="F339" s="2464"/>
      <c r="G339" s="2464"/>
      <c r="H339" s="2464"/>
      <c r="I339" s="2458"/>
      <c r="J339" s="2610"/>
    </row>
    <row r="340" spans="1:10" ht="14.1" customHeight="1">
      <c r="A340" s="2462"/>
      <c r="B340" s="2463" t="s">
        <v>3026</v>
      </c>
      <c r="C340" s="2463" t="s">
        <v>94</v>
      </c>
      <c r="D340" s="2463" t="s">
        <v>3022</v>
      </c>
      <c r="E340" s="2463" t="s">
        <v>2820</v>
      </c>
      <c r="F340" s="2463" t="s">
        <v>3021</v>
      </c>
      <c r="G340" s="2463" t="s">
        <v>2821</v>
      </c>
      <c r="H340" s="2463" t="s">
        <v>2822</v>
      </c>
      <c r="I340" s="2461" t="s">
        <v>930</v>
      </c>
      <c r="J340" s="2610"/>
    </row>
    <row r="341" spans="1:10" ht="14.1" customHeight="1">
      <c r="A341" s="2462" t="s">
        <v>1939</v>
      </c>
      <c r="B341" s="2463" t="s">
        <v>4226</v>
      </c>
      <c r="C341" s="2463"/>
      <c r="D341" s="2463" t="s">
        <v>2823</v>
      </c>
      <c r="E341" s="2463" t="s">
        <v>4398</v>
      </c>
      <c r="F341" s="2463" t="s">
        <v>4398</v>
      </c>
      <c r="G341" s="2463" t="s">
        <v>4398</v>
      </c>
      <c r="H341" s="2463" t="s">
        <v>4399</v>
      </c>
      <c r="I341" s="2461" t="s">
        <v>931</v>
      </c>
      <c r="J341" s="2610"/>
    </row>
    <row r="342" spans="1:10" ht="14.1" customHeight="1">
      <c r="A342" s="2462" t="s">
        <v>1941</v>
      </c>
      <c r="B342" s="2463" t="s">
        <v>4400</v>
      </c>
      <c r="C342" s="2463"/>
      <c r="D342" s="2463" t="s">
        <v>4401</v>
      </c>
      <c r="E342" s="2463"/>
      <c r="F342" s="2463" t="s">
        <v>4402</v>
      </c>
      <c r="G342" s="2463" t="s">
        <v>3039</v>
      </c>
      <c r="H342" s="2463" t="s">
        <v>4617</v>
      </c>
      <c r="I342" s="2461"/>
      <c r="J342" s="2610"/>
    </row>
    <row r="343" spans="1:10" ht="14.1" customHeight="1">
      <c r="A343" s="2462"/>
      <c r="B343" s="2463" t="s">
        <v>932</v>
      </c>
      <c r="C343" s="2463" t="s">
        <v>933</v>
      </c>
      <c r="D343" s="2463" t="s">
        <v>934</v>
      </c>
      <c r="E343" s="2463" t="s">
        <v>935</v>
      </c>
      <c r="F343" s="2463" t="s">
        <v>936</v>
      </c>
      <c r="G343" s="2463" t="s">
        <v>937</v>
      </c>
      <c r="H343" s="2463" t="s">
        <v>938</v>
      </c>
      <c r="I343" s="2461" t="s">
        <v>939</v>
      </c>
      <c r="J343" s="2610"/>
    </row>
    <row r="344" spans="1:10" ht="14.1" customHeight="1">
      <c r="A344" s="2492">
        <v>1</v>
      </c>
      <c r="B344" s="2595" t="s">
        <v>2558</v>
      </c>
      <c r="C344" s="2596" t="s">
        <v>3207</v>
      </c>
      <c r="D344" s="2611" t="s">
        <v>5309</v>
      </c>
      <c r="E344" s="2597">
        <v>2</v>
      </c>
      <c r="F344" s="2597"/>
      <c r="G344" s="2597"/>
      <c r="H344" s="2597"/>
      <c r="I344" s="2598" t="s">
        <v>987</v>
      </c>
      <c r="J344" s="2610"/>
    </row>
    <row r="345" spans="1:10" ht="14.1" customHeight="1">
      <c r="A345" s="2462">
        <v>2</v>
      </c>
      <c r="B345" s="2599" t="s">
        <v>2559</v>
      </c>
      <c r="C345" s="2600" t="s">
        <v>4613</v>
      </c>
      <c r="D345" s="2601">
        <v>2007</v>
      </c>
      <c r="E345" s="2601">
        <v>2</v>
      </c>
      <c r="F345" s="2601"/>
      <c r="G345" s="2601"/>
      <c r="H345" s="2601"/>
      <c r="I345" s="2602" t="s">
        <v>4390</v>
      </c>
      <c r="J345" s="2610"/>
    </row>
    <row r="346" spans="1:10" ht="14.1" customHeight="1">
      <c r="A346" s="2462">
        <v>3</v>
      </c>
      <c r="B346" s="2599" t="s">
        <v>2559</v>
      </c>
      <c r="C346" s="2600" t="s">
        <v>3208</v>
      </c>
      <c r="D346" s="2601">
        <v>1989</v>
      </c>
      <c r="E346" s="2601">
        <v>1</v>
      </c>
      <c r="F346" s="2601"/>
      <c r="G346" s="2601"/>
      <c r="H346" s="2601"/>
      <c r="I346" s="2602" t="s">
        <v>987</v>
      </c>
      <c r="J346" s="2610"/>
    </row>
    <row r="347" spans="1:10" ht="14.1" customHeight="1">
      <c r="A347" s="2462">
        <v>4</v>
      </c>
      <c r="B347" s="2599" t="s">
        <v>2559</v>
      </c>
      <c r="C347" s="2600" t="s">
        <v>3209</v>
      </c>
      <c r="D347" s="2601" t="s">
        <v>4624</v>
      </c>
      <c r="E347" s="2601">
        <v>2</v>
      </c>
      <c r="F347" s="2601"/>
      <c r="G347" s="2601"/>
      <c r="H347" s="2601"/>
      <c r="I347" s="2602" t="s">
        <v>4390</v>
      </c>
      <c r="J347" s="2610"/>
    </row>
    <row r="348" spans="1:10" ht="14.1" customHeight="1">
      <c r="A348" s="2462">
        <v>5</v>
      </c>
      <c r="B348" s="2599" t="s">
        <v>2559</v>
      </c>
      <c r="C348" s="2600" t="s">
        <v>4614</v>
      </c>
      <c r="D348" s="2601">
        <v>1973</v>
      </c>
      <c r="E348" s="2463">
        <v>1</v>
      </c>
      <c r="F348" s="2463"/>
      <c r="G348" s="2463"/>
      <c r="H348" s="2463"/>
      <c r="I348" s="2602" t="s">
        <v>987</v>
      </c>
      <c r="J348" s="2610"/>
    </row>
    <row r="349" spans="1:10" ht="14.1" customHeight="1">
      <c r="A349" s="2462">
        <v>6</v>
      </c>
      <c r="B349" s="2599" t="s">
        <v>2559</v>
      </c>
      <c r="C349" s="2600" t="s">
        <v>4615</v>
      </c>
      <c r="D349" s="2601">
        <v>1973</v>
      </c>
      <c r="E349" s="2463">
        <v>1</v>
      </c>
      <c r="F349" s="2463"/>
      <c r="G349" s="2463"/>
      <c r="H349" s="2463"/>
      <c r="I349" s="2602" t="s">
        <v>4390</v>
      </c>
      <c r="J349" s="2610"/>
    </row>
    <row r="350" spans="1:10" ht="15" customHeight="1">
      <c r="A350" s="2462">
        <v>7</v>
      </c>
      <c r="B350" s="2612" t="s">
        <v>2559</v>
      </c>
      <c r="C350" s="2600" t="s">
        <v>2560</v>
      </c>
      <c r="D350" s="2601">
        <v>1989</v>
      </c>
      <c r="E350" s="2463">
        <v>2</v>
      </c>
      <c r="F350" s="2463"/>
      <c r="G350" s="2463"/>
      <c r="H350" s="2463"/>
      <c r="I350" s="2602" t="s">
        <v>2561</v>
      </c>
      <c r="J350" s="2610"/>
    </row>
    <row r="351" spans="1:10" ht="15" customHeight="1">
      <c r="A351" s="2462">
        <v>8</v>
      </c>
      <c r="B351" s="2612" t="s">
        <v>2559</v>
      </c>
      <c r="C351" s="2612" t="s">
        <v>1500</v>
      </c>
      <c r="D351" s="2601">
        <v>1989</v>
      </c>
      <c r="E351" s="2601">
        <v>4</v>
      </c>
      <c r="F351" s="2601">
        <v>1368</v>
      </c>
      <c r="G351" s="2601">
        <v>19</v>
      </c>
      <c r="H351" s="2601">
        <v>5750</v>
      </c>
      <c r="I351" s="2602" t="s">
        <v>1501</v>
      </c>
      <c r="J351" s="2610"/>
    </row>
    <row r="352" spans="1:10" ht="15" customHeight="1">
      <c r="A352" s="2462">
        <v>9</v>
      </c>
      <c r="B352" s="2599"/>
      <c r="C352" s="2463"/>
      <c r="D352" s="2463"/>
      <c r="E352" s="2463"/>
      <c r="F352" s="2463"/>
      <c r="G352" s="2463"/>
      <c r="H352" s="2463"/>
      <c r="I352" s="2461"/>
      <c r="J352" s="2610"/>
    </row>
    <row r="353" spans="1:10" ht="15" customHeight="1">
      <c r="A353" s="2492">
        <v>10</v>
      </c>
      <c r="B353" s="2464" t="s">
        <v>940</v>
      </c>
      <c r="C353" s="2464"/>
      <c r="D353" s="2464"/>
      <c r="E353" s="2464"/>
      <c r="F353" s="2464"/>
      <c r="G353" s="2464"/>
      <c r="H353" s="2464"/>
      <c r="I353" s="2458"/>
      <c r="J353" s="2610"/>
    </row>
    <row r="354" spans="1:10" ht="15" customHeight="1">
      <c r="A354" s="2454"/>
      <c r="B354" s="2445" t="s">
        <v>941</v>
      </c>
      <c r="C354" s="2445"/>
      <c r="D354" s="2445"/>
      <c r="E354" s="2445"/>
      <c r="F354" s="2445"/>
      <c r="G354" s="2445"/>
      <c r="H354" s="2445"/>
      <c r="I354" s="2455"/>
      <c r="J354" s="2610"/>
    </row>
    <row r="355" spans="1:10" ht="15" customHeight="1">
      <c r="A355" s="2452"/>
      <c r="B355" s="2451"/>
      <c r="C355" s="2451"/>
      <c r="D355" s="2451"/>
      <c r="E355" s="2451"/>
      <c r="F355" s="2451"/>
      <c r="G355" s="2451"/>
      <c r="H355" s="2451"/>
      <c r="I355" s="2453"/>
      <c r="J355" s="2610"/>
    </row>
    <row r="356" spans="1:10" ht="15" customHeight="1">
      <c r="A356" s="2490" t="s">
        <v>3634</v>
      </c>
      <c r="B356" s="2460"/>
      <c r="C356" s="2460"/>
      <c r="D356" s="2460"/>
      <c r="E356" s="2460"/>
      <c r="F356" s="2460"/>
      <c r="G356" s="2460"/>
      <c r="H356" s="2460"/>
      <c r="I356" s="2491"/>
      <c r="J356" s="2610"/>
    </row>
    <row r="357" spans="1:10" ht="15" customHeight="1">
      <c r="A357" s="2452" t="s">
        <v>2348</v>
      </c>
      <c r="B357" s="2451"/>
      <c r="C357" s="2451"/>
      <c r="D357" s="2451"/>
      <c r="E357" s="2451"/>
      <c r="F357" s="2451"/>
      <c r="G357" s="2451"/>
      <c r="H357" s="2451"/>
      <c r="I357" s="2453"/>
      <c r="J357" s="2610"/>
    </row>
    <row r="358" spans="1:10" ht="15" customHeight="1">
      <c r="A358" s="2452" t="s">
        <v>4346</v>
      </c>
      <c r="B358" s="2451"/>
      <c r="C358" s="2451"/>
      <c r="D358" s="2451"/>
      <c r="E358" s="2451" t="s">
        <v>2349</v>
      </c>
      <c r="F358" s="2451"/>
      <c r="G358" s="2451"/>
      <c r="H358" s="2451"/>
      <c r="I358" s="2453"/>
      <c r="J358" s="2610"/>
    </row>
    <row r="359" spans="1:10" ht="15" customHeight="1">
      <c r="A359" s="2452"/>
      <c r="B359" s="2451"/>
      <c r="C359" s="2451"/>
      <c r="D359" s="2451"/>
      <c r="E359" s="2451" t="s">
        <v>1004</v>
      </c>
      <c r="F359" s="2451"/>
      <c r="G359" s="2451"/>
      <c r="H359" s="2451"/>
      <c r="I359" s="2453"/>
      <c r="J359" s="2610"/>
    </row>
    <row r="360" spans="1:10" ht="14.1" customHeight="1">
      <c r="A360" s="2452" t="s">
        <v>1744</v>
      </c>
      <c r="B360" s="2451"/>
      <c r="C360" s="2451"/>
      <c r="D360" s="2451"/>
      <c r="E360" s="2451"/>
      <c r="F360" s="2451"/>
      <c r="G360" s="2451"/>
      <c r="H360" s="2451"/>
      <c r="I360" s="2453"/>
      <c r="J360" s="2610"/>
    </row>
    <row r="361" spans="1:10" ht="14.1" customHeight="1">
      <c r="A361" s="2452" t="s">
        <v>1005</v>
      </c>
      <c r="B361" s="2451"/>
      <c r="C361" s="2451"/>
      <c r="D361" s="2451"/>
      <c r="E361" s="2451" t="s">
        <v>848</v>
      </c>
      <c r="F361" s="2451"/>
      <c r="G361" s="2451"/>
      <c r="H361" s="2451"/>
      <c r="I361" s="2453"/>
      <c r="J361" s="2610"/>
    </row>
    <row r="362" spans="1:10" ht="14.1" customHeight="1">
      <c r="A362" s="2452"/>
      <c r="B362" s="2451"/>
      <c r="C362" s="2451"/>
      <c r="D362" s="2451"/>
      <c r="E362" s="2451" t="s">
        <v>1737</v>
      </c>
      <c r="F362" s="2451"/>
      <c r="G362" s="2451"/>
      <c r="H362" s="2451"/>
      <c r="I362" s="2453"/>
      <c r="J362" s="2610"/>
    </row>
    <row r="363" spans="1:10" ht="14.1" customHeight="1">
      <c r="A363" s="2452" t="s">
        <v>849</v>
      </c>
      <c r="B363" s="2451"/>
      <c r="C363" s="2451"/>
      <c r="D363" s="2451"/>
      <c r="E363" s="2451"/>
      <c r="F363" s="2451"/>
      <c r="G363" s="2451"/>
      <c r="H363" s="2451"/>
      <c r="I363" s="2453"/>
      <c r="J363" s="2610"/>
    </row>
    <row r="364" spans="1:10" ht="14.1" customHeight="1">
      <c r="A364" s="2452" t="s">
        <v>4345</v>
      </c>
      <c r="B364" s="2451"/>
      <c r="C364" s="2451"/>
      <c r="D364" s="2451"/>
      <c r="E364" s="2451"/>
      <c r="F364" s="2451"/>
      <c r="G364" s="2451"/>
      <c r="H364" s="2451"/>
      <c r="I364" s="2453"/>
      <c r="J364" s="2610"/>
    </row>
    <row r="365" spans="1:10" ht="14.1" customHeight="1">
      <c r="A365" s="2452"/>
      <c r="B365" s="2451"/>
      <c r="C365" s="2451"/>
      <c r="D365" s="2451"/>
      <c r="E365" s="2451"/>
      <c r="F365" s="2451"/>
      <c r="G365" s="2451"/>
      <c r="H365" s="2451"/>
      <c r="I365" s="2453"/>
      <c r="J365" s="2610"/>
    </row>
    <row r="366" spans="1:10" ht="14.1" customHeight="1">
      <c r="A366" s="2492"/>
      <c r="B366" s="2464"/>
      <c r="C366" s="2464"/>
      <c r="D366" s="2464"/>
      <c r="E366" s="2464" t="s">
        <v>1738</v>
      </c>
      <c r="F366" s="2464"/>
      <c r="G366" s="2464"/>
      <c r="H366" s="2580"/>
      <c r="I366" s="2458"/>
      <c r="J366" s="2610"/>
    </row>
    <row r="367" spans="1:10" ht="14.1" customHeight="1">
      <c r="A367" s="2462" t="s">
        <v>1939</v>
      </c>
      <c r="B367" s="2463" t="s">
        <v>1739</v>
      </c>
      <c r="C367" s="2463" t="s">
        <v>3754</v>
      </c>
      <c r="D367" s="2463"/>
      <c r="E367" s="2463"/>
      <c r="F367" s="2463"/>
      <c r="G367" s="2463"/>
      <c r="H367" s="2516"/>
      <c r="I367" s="2461"/>
      <c r="J367" s="2610"/>
    </row>
    <row r="368" spans="1:10" ht="14.1" customHeight="1">
      <c r="A368" s="2462" t="s">
        <v>1941</v>
      </c>
      <c r="B368" s="2463"/>
      <c r="C368" s="2463" t="s">
        <v>1874</v>
      </c>
      <c r="D368" s="2463" t="s">
        <v>3032</v>
      </c>
      <c r="E368" s="2463" t="s">
        <v>1875</v>
      </c>
      <c r="F368" s="2463" t="s">
        <v>1876</v>
      </c>
      <c r="G368" s="2459" t="s">
        <v>1877</v>
      </c>
      <c r="H368" s="2460"/>
      <c r="I368" s="2461" t="s">
        <v>4031</v>
      </c>
      <c r="J368" s="2610"/>
    </row>
    <row r="369" spans="1:10" ht="14.1" customHeight="1">
      <c r="A369" s="2462"/>
      <c r="B369" s="2463"/>
      <c r="C369" s="2463"/>
      <c r="D369" s="2463"/>
      <c r="E369" s="2463"/>
      <c r="F369" s="2463"/>
      <c r="G369" s="2459"/>
      <c r="H369" s="2460"/>
      <c r="I369" s="2461"/>
      <c r="J369" s="2610"/>
    </row>
    <row r="370" spans="1:10" ht="14.1" customHeight="1">
      <c r="A370" s="2462"/>
      <c r="B370" s="2463" t="s">
        <v>932</v>
      </c>
      <c r="C370" s="2463" t="s">
        <v>933</v>
      </c>
      <c r="D370" s="2463" t="s">
        <v>934</v>
      </c>
      <c r="E370" s="2463" t="s">
        <v>935</v>
      </c>
      <c r="F370" s="2463" t="s">
        <v>936</v>
      </c>
      <c r="G370" s="2459" t="s">
        <v>937</v>
      </c>
      <c r="H370" s="2460"/>
      <c r="I370" s="2461" t="s">
        <v>938</v>
      </c>
      <c r="J370" s="2610"/>
    </row>
    <row r="371" spans="1:10" ht="14.1" customHeight="1">
      <c r="A371" s="2492">
        <v>23</v>
      </c>
      <c r="B371" s="2444" t="s">
        <v>3212</v>
      </c>
      <c r="C371" s="2464"/>
      <c r="D371" s="2444"/>
      <c r="E371" s="2444"/>
      <c r="F371" s="2444"/>
      <c r="G371" s="2444"/>
      <c r="H371" s="2444"/>
      <c r="I371" s="2507"/>
      <c r="J371" s="2610"/>
    </row>
    <row r="372" spans="1:10" ht="14.1" customHeight="1">
      <c r="A372" s="2462">
        <v>24</v>
      </c>
      <c r="B372" s="2446" t="s">
        <v>3213</v>
      </c>
      <c r="C372" s="2463"/>
      <c r="D372" s="2446"/>
      <c r="E372" s="2446"/>
      <c r="F372" s="2446"/>
      <c r="G372" s="2446"/>
      <c r="H372" s="2446"/>
      <c r="I372" s="2505"/>
      <c r="J372" s="2610"/>
    </row>
    <row r="373" spans="1:10" ht="14.1" customHeight="1">
      <c r="A373" s="2462">
        <v>25</v>
      </c>
      <c r="B373" s="2446" t="s">
        <v>3214</v>
      </c>
      <c r="C373" s="2463"/>
      <c r="D373" s="2446"/>
      <c r="E373" s="2446"/>
      <c r="F373" s="2446"/>
      <c r="G373" s="2446"/>
      <c r="H373" s="2446"/>
      <c r="I373" s="2505"/>
      <c r="J373" s="2610"/>
    </row>
    <row r="374" spans="1:10" ht="14.1" customHeight="1">
      <c r="A374" s="2462">
        <v>26</v>
      </c>
      <c r="B374" s="2446" t="s">
        <v>3215</v>
      </c>
      <c r="C374" s="2607">
        <v>796834.64500000002</v>
      </c>
      <c r="D374" s="2446"/>
      <c r="E374" s="2446"/>
      <c r="F374" s="2446"/>
      <c r="G374" s="2446"/>
      <c r="H374" s="2446"/>
      <c r="I374" s="2505"/>
      <c r="J374" s="2610"/>
    </row>
    <row r="375" spans="1:10" ht="14.1" customHeight="1">
      <c r="A375" s="2462">
        <v>27</v>
      </c>
      <c r="B375" s="2446" t="s">
        <v>2562</v>
      </c>
      <c r="C375" s="2607">
        <v>796834.64500000002</v>
      </c>
      <c r="D375" s="2446"/>
      <c r="E375" s="2446"/>
      <c r="F375" s="2446"/>
      <c r="G375" s="2446"/>
      <c r="H375" s="2446"/>
      <c r="I375" s="2505"/>
      <c r="J375" s="2610"/>
    </row>
    <row r="376" spans="1:10" ht="14.1" customHeight="1">
      <c r="A376" s="2462">
        <v>28</v>
      </c>
      <c r="B376" s="2446" t="s">
        <v>3217</v>
      </c>
      <c r="C376" s="2607">
        <v>796834.64500000002</v>
      </c>
      <c r="D376" s="2446"/>
      <c r="E376" s="2446"/>
      <c r="F376" s="2446"/>
      <c r="G376" s="2446"/>
      <c r="H376" s="2446"/>
      <c r="I376" s="2505"/>
      <c r="J376" s="2610"/>
    </row>
    <row r="377" spans="1:10" ht="15" customHeight="1">
      <c r="A377" s="2462">
        <v>29</v>
      </c>
      <c r="B377" s="2601" t="s">
        <v>3218</v>
      </c>
      <c r="C377" s="2607">
        <v>796834.64500000002</v>
      </c>
      <c r="D377" s="2601" t="s">
        <v>4292</v>
      </c>
      <c r="E377" s="2601" t="s">
        <v>4295</v>
      </c>
      <c r="F377" s="2607">
        <v>8140</v>
      </c>
      <c r="G377" s="2463"/>
      <c r="H377" s="2463"/>
      <c r="I377" s="2461"/>
      <c r="J377" s="2610"/>
    </row>
    <row r="378" spans="1:10" ht="15" customHeight="1">
      <c r="A378" s="2462">
        <v>30</v>
      </c>
      <c r="B378" s="2601"/>
      <c r="C378" s="2607"/>
      <c r="D378" s="2601"/>
      <c r="E378" s="2601"/>
      <c r="F378" s="2607"/>
      <c r="G378" s="2463"/>
      <c r="H378" s="2463"/>
      <c r="I378" s="2461"/>
      <c r="J378" s="2610"/>
    </row>
    <row r="379" spans="1:10" ht="15" customHeight="1">
      <c r="A379" s="2462">
        <v>31</v>
      </c>
      <c r="B379" s="2601" t="s">
        <v>3219</v>
      </c>
      <c r="C379" s="2607">
        <v>796834.64500000002</v>
      </c>
      <c r="D379" s="2601" t="s">
        <v>4293</v>
      </c>
      <c r="E379" s="2601" t="s">
        <v>4296</v>
      </c>
      <c r="F379" s="2607">
        <v>105103</v>
      </c>
      <c r="G379" s="2463"/>
      <c r="H379" s="2463"/>
      <c r="I379" s="2461"/>
      <c r="J379" s="2610"/>
    </row>
    <row r="380" spans="1:10" ht="15" customHeight="1">
      <c r="A380" s="2462">
        <v>32</v>
      </c>
      <c r="B380" s="2601" t="s">
        <v>3220</v>
      </c>
      <c r="C380" s="2607">
        <v>796834.64500000002</v>
      </c>
      <c r="D380" s="2601" t="s">
        <v>4294</v>
      </c>
      <c r="E380" s="2601" t="s">
        <v>4296</v>
      </c>
      <c r="F380" s="2607">
        <v>324200</v>
      </c>
      <c r="G380" s="2463"/>
      <c r="H380" s="2463"/>
      <c r="I380" s="2461"/>
      <c r="J380" s="2610"/>
    </row>
    <row r="381" spans="1:10" ht="15" customHeight="1">
      <c r="A381" s="2462">
        <v>33</v>
      </c>
      <c r="B381" s="2446"/>
      <c r="C381" s="2607"/>
      <c r="D381" s="2446"/>
      <c r="E381" s="2446"/>
      <c r="F381" s="2608"/>
      <c r="G381" s="2446"/>
      <c r="H381" s="2446"/>
      <c r="I381" s="2505"/>
      <c r="J381" s="2610"/>
    </row>
    <row r="382" spans="1:10" ht="15" customHeight="1">
      <c r="A382" s="2462">
        <v>34</v>
      </c>
      <c r="B382" s="2446" t="s">
        <v>3221</v>
      </c>
      <c r="C382" s="2607">
        <v>796834.64500000002</v>
      </c>
      <c r="D382" s="2446"/>
      <c r="E382" s="2446"/>
      <c r="F382" s="2446"/>
      <c r="G382" s="2446"/>
      <c r="H382" s="2446"/>
      <c r="I382" s="2505"/>
      <c r="J382" s="2610"/>
    </row>
    <row r="383" spans="1:10" ht="15" customHeight="1">
      <c r="A383" s="2462">
        <v>35</v>
      </c>
      <c r="B383" s="2446" t="s">
        <v>3222</v>
      </c>
      <c r="C383" s="2607"/>
      <c r="D383" s="2446"/>
      <c r="E383" s="2446"/>
      <c r="F383" s="2446"/>
      <c r="G383" s="2446"/>
      <c r="H383" s="2446"/>
      <c r="I383" s="2505"/>
      <c r="J383" s="2610"/>
    </row>
    <row r="384" spans="1:10" ht="15" customHeight="1" thickBot="1">
      <c r="A384" s="2499">
        <v>36</v>
      </c>
      <c r="B384" s="2501" t="s">
        <v>3753</v>
      </c>
      <c r="C384" s="2609">
        <v>732644</v>
      </c>
      <c r="D384" s="2609"/>
      <c r="E384" s="2501"/>
      <c r="F384" s="2501"/>
      <c r="G384" s="2501"/>
      <c r="H384" s="2501"/>
      <c r="I384" s="2502"/>
      <c r="J384" s="2610"/>
    </row>
    <row r="385" spans="1:10" ht="15" customHeight="1">
      <c r="A385" s="2449" t="s">
        <v>3184</v>
      </c>
      <c r="B385" s="2449"/>
      <c r="C385" s="2449"/>
      <c r="D385" s="2592" t="s">
        <v>710</v>
      </c>
      <c r="E385" s="2449"/>
      <c r="F385" s="2449"/>
      <c r="G385" s="2449"/>
      <c r="H385" s="2449"/>
      <c r="I385" s="2449"/>
    </row>
    <row r="386" spans="1:10" ht="15" customHeight="1" thickBot="1">
      <c r="A386" s="2444" t="str">
        <f>+A1</f>
        <v>Annual Report of New York American Water Company, Inc. (f/k/a Long Island Water Corp)                                   Year Ended  December 31, 2013</v>
      </c>
    </row>
    <row r="387" spans="1:10" ht="15" customHeight="1">
      <c r="A387" s="2448"/>
      <c r="B387" s="2449"/>
      <c r="C387" s="2449"/>
      <c r="D387" s="2449"/>
      <c r="E387" s="2449"/>
      <c r="F387" s="2449"/>
      <c r="G387" s="2449"/>
      <c r="H387" s="2449"/>
      <c r="I387" s="2450"/>
      <c r="J387" s="2610"/>
    </row>
    <row r="388" spans="1:10" ht="15" customHeight="1">
      <c r="A388" s="2490" t="s">
        <v>3940</v>
      </c>
      <c r="B388" s="2460"/>
      <c r="C388" s="2460"/>
      <c r="D388" s="2460"/>
      <c r="E388" s="2460"/>
      <c r="F388" s="2460"/>
      <c r="G388" s="2460"/>
      <c r="H388" s="2460"/>
      <c r="I388" s="2491"/>
      <c r="J388" s="2610"/>
    </row>
    <row r="389" spans="1:10" ht="15" customHeight="1">
      <c r="A389" s="2452"/>
      <c r="B389" s="2451"/>
      <c r="C389" s="2451"/>
      <c r="D389" s="2451"/>
      <c r="E389" s="2451"/>
      <c r="F389" s="2451"/>
      <c r="G389" s="2451"/>
      <c r="H389" s="2451"/>
      <c r="I389" s="2453"/>
      <c r="J389" s="2610"/>
    </row>
    <row r="390" spans="1:10" ht="15" customHeight="1">
      <c r="A390" s="2454"/>
      <c r="B390" s="2445"/>
      <c r="C390" s="2445"/>
      <c r="D390" s="2445"/>
      <c r="E390" s="2445"/>
      <c r="F390" s="2445"/>
      <c r="G390" s="2445"/>
      <c r="H390" s="2445"/>
      <c r="I390" s="2455"/>
      <c r="J390" s="2610"/>
    </row>
    <row r="391" spans="1:10" ht="15" customHeight="1">
      <c r="A391" s="2452" t="s">
        <v>2611</v>
      </c>
      <c r="B391" s="2451"/>
      <c r="C391" s="2451"/>
      <c r="D391" s="2451"/>
      <c r="E391" s="2451"/>
      <c r="F391" s="2451"/>
      <c r="G391" s="2451"/>
      <c r="H391" s="2451"/>
      <c r="I391" s="2453"/>
      <c r="J391" s="2610"/>
    </row>
    <row r="392" spans="1:10" ht="15" customHeight="1">
      <c r="A392" s="2452" t="s">
        <v>2612</v>
      </c>
      <c r="B392" s="2451"/>
      <c r="C392" s="2451"/>
      <c r="D392" s="2451"/>
      <c r="E392" s="2451"/>
      <c r="F392" s="2451"/>
      <c r="G392" s="2451"/>
      <c r="H392" s="2451"/>
      <c r="I392" s="2453"/>
      <c r="J392" s="2610"/>
    </row>
    <row r="393" spans="1:10" ht="14.1" customHeight="1">
      <c r="A393" s="2452"/>
      <c r="B393" s="2451"/>
      <c r="C393" s="2451"/>
      <c r="D393" s="2451"/>
      <c r="E393" s="2451"/>
      <c r="F393" s="2451"/>
      <c r="G393" s="2451"/>
      <c r="H393" s="2451"/>
      <c r="I393" s="2453"/>
      <c r="J393" s="2610"/>
    </row>
    <row r="394" spans="1:10" ht="14.1" customHeight="1">
      <c r="A394" s="2492"/>
      <c r="B394" s="2464"/>
      <c r="C394" s="2464"/>
      <c r="D394" s="2464"/>
      <c r="E394" s="2464"/>
      <c r="F394" s="2464"/>
      <c r="G394" s="2464"/>
      <c r="H394" s="2464"/>
      <c r="I394" s="2458"/>
      <c r="J394" s="2610"/>
    </row>
    <row r="395" spans="1:10" ht="14.1" customHeight="1">
      <c r="A395" s="2462"/>
      <c r="B395" s="2463" t="s">
        <v>3026</v>
      </c>
      <c r="C395" s="2463" t="s">
        <v>94</v>
      </c>
      <c r="D395" s="2463" t="s">
        <v>3022</v>
      </c>
      <c r="E395" s="2463" t="s">
        <v>2820</v>
      </c>
      <c r="F395" s="2463" t="s">
        <v>3021</v>
      </c>
      <c r="G395" s="2463" t="s">
        <v>2821</v>
      </c>
      <c r="H395" s="2463" t="s">
        <v>2822</v>
      </c>
      <c r="I395" s="2461" t="s">
        <v>930</v>
      </c>
      <c r="J395" s="2610"/>
    </row>
    <row r="396" spans="1:10" ht="14.1" customHeight="1">
      <c r="A396" s="2462" t="s">
        <v>1939</v>
      </c>
      <c r="B396" s="2463" t="s">
        <v>4226</v>
      </c>
      <c r="C396" s="2463"/>
      <c r="D396" s="2463" t="s">
        <v>2823</v>
      </c>
      <c r="E396" s="2463" t="s">
        <v>4398</v>
      </c>
      <c r="F396" s="2463" t="s">
        <v>4398</v>
      </c>
      <c r="G396" s="2463" t="s">
        <v>4398</v>
      </c>
      <c r="H396" s="2463" t="s">
        <v>4399</v>
      </c>
      <c r="I396" s="2461" t="s">
        <v>931</v>
      </c>
      <c r="J396" s="2610"/>
    </row>
    <row r="397" spans="1:10" ht="14.1" customHeight="1">
      <c r="A397" s="2462" t="s">
        <v>1941</v>
      </c>
      <c r="B397" s="2463" t="s">
        <v>4400</v>
      </c>
      <c r="C397" s="2463"/>
      <c r="D397" s="2463" t="s">
        <v>4401</v>
      </c>
      <c r="E397" s="2463"/>
      <c r="F397" s="2463" t="s">
        <v>4402</v>
      </c>
      <c r="G397" s="2463" t="s">
        <v>3039</v>
      </c>
      <c r="H397" s="2463" t="s">
        <v>4625</v>
      </c>
      <c r="I397" s="2461"/>
      <c r="J397" s="2610"/>
    </row>
    <row r="398" spans="1:10" ht="14.1" customHeight="1">
      <c r="A398" s="2462"/>
      <c r="B398" s="2463" t="s">
        <v>932</v>
      </c>
      <c r="C398" s="2463" t="s">
        <v>933</v>
      </c>
      <c r="D398" s="2463" t="s">
        <v>934</v>
      </c>
      <c r="E398" s="2463" t="s">
        <v>935</v>
      </c>
      <c r="F398" s="2463" t="s">
        <v>936</v>
      </c>
      <c r="G398" s="2463" t="s">
        <v>937</v>
      </c>
      <c r="H398" s="2463" t="s">
        <v>938</v>
      </c>
      <c r="I398" s="2461" t="s">
        <v>939</v>
      </c>
      <c r="J398" s="2610"/>
    </row>
    <row r="399" spans="1:10" ht="14.1" customHeight="1">
      <c r="A399" s="2492">
        <v>1</v>
      </c>
      <c r="B399" s="2595" t="s">
        <v>2563</v>
      </c>
      <c r="C399" s="2596" t="s">
        <v>3207</v>
      </c>
      <c r="D399" s="2611" t="s">
        <v>4626</v>
      </c>
      <c r="E399" s="2597">
        <v>2</v>
      </c>
      <c r="F399" s="2597"/>
      <c r="G399" s="2597"/>
      <c r="H399" s="2597"/>
      <c r="I399" s="2598" t="s">
        <v>987</v>
      </c>
      <c r="J399" s="2610"/>
    </row>
    <row r="400" spans="1:10" ht="14.1" customHeight="1">
      <c r="A400" s="2462">
        <v>2</v>
      </c>
      <c r="B400" s="2599" t="s">
        <v>2564</v>
      </c>
      <c r="C400" s="2600" t="s">
        <v>4613</v>
      </c>
      <c r="D400" s="2601">
        <v>2011</v>
      </c>
      <c r="E400" s="2601">
        <v>3</v>
      </c>
      <c r="F400" s="2601"/>
      <c r="G400" s="2601"/>
      <c r="H400" s="2601"/>
      <c r="I400" s="2602" t="s">
        <v>4390</v>
      </c>
      <c r="J400" s="2610"/>
    </row>
    <row r="401" spans="1:10" ht="14.1" customHeight="1">
      <c r="A401" s="2462">
        <v>3</v>
      </c>
      <c r="B401" s="2599" t="s">
        <v>2564</v>
      </c>
      <c r="C401" s="2600" t="s">
        <v>3208</v>
      </c>
      <c r="D401" s="2601">
        <v>2011</v>
      </c>
      <c r="E401" s="2601">
        <v>1</v>
      </c>
      <c r="F401" s="2601"/>
      <c r="G401" s="2601"/>
      <c r="H401" s="2601"/>
      <c r="I401" s="2602" t="s">
        <v>987</v>
      </c>
      <c r="J401" s="2610"/>
    </row>
    <row r="402" spans="1:10" ht="14.1" customHeight="1">
      <c r="A402" s="2462">
        <v>4</v>
      </c>
      <c r="B402" s="2599" t="s">
        <v>2564</v>
      </c>
      <c r="C402" s="2600" t="s">
        <v>3209</v>
      </c>
      <c r="D402" s="2601">
        <v>2011</v>
      </c>
      <c r="E402" s="2601">
        <v>3</v>
      </c>
      <c r="F402" s="2601"/>
      <c r="G402" s="2601"/>
      <c r="H402" s="2601"/>
      <c r="I402" s="2602" t="s">
        <v>4390</v>
      </c>
      <c r="J402" s="2610"/>
    </row>
    <row r="403" spans="1:10" ht="14.1" customHeight="1">
      <c r="A403" s="2462">
        <v>5</v>
      </c>
      <c r="B403" s="2599" t="s">
        <v>2564</v>
      </c>
      <c r="C403" s="2600" t="s">
        <v>4614</v>
      </c>
      <c r="D403" s="2601">
        <v>2011</v>
      </c>
      <c r="E403" s="2463">
        <v>1</v>
      </c>
      <c r="F403" s="2463"/>
      <c r="G403" s="2463"/>
      <c r="H403" s="2463"/>
      <c r="I403" s="2602" t="s">
        <v>987</v>
      </c>
      <c r="J403" s="2610"/>
    </row>
    <row r="404" spans="1:10" ht="14.1" customHeight="1">
      <c r="A404" s="2462">
        <v>6</v>
      </c>
      <c r="B404" s="2599" t="s">
        <v>2564</v>
      </c>
      <c r="C404" s="2600" t="s">
        <v>4615</v>
      </c>
      <c r="D404" s="2601">
        <v>2011</v>
      </c>
      <c r="E404" s="2463">
        <v>3</v>
      </c>
      <c r="F404" s="2463"/>
      <c r="G404" s="2463"/>
      <c r="H404" s="2463"/>
      <c r="I404" s="2602" t="s">
        <v>4390</v>
      </c>
      <c r="J404" s="2610"/>
    </row>
    <row r="405" spans="1:10" ht="14.1" customHeight="1">
      <c r="A405" s="2462">
        <v>7</v>
      </c>
      <c r="B405" s="2599" t="s">
        <v>2564</v>
      </c>
      <c r="C405" s="2612" t="s">
        <v>1448</v>
      </c>
      <c r="D405" s="2601">
        <v>2011</v>
      </c>
      <c r="E405" s="2601" t="s">
        <v>4627</v>
      </c>
      <c r="F405" s="2601" t="s">
        <v>4628</v>
      </c>
      <c r="G405" s="2601" t="s">
        <v>4629</v>
      </c>
      <c r="H405" s="2601">
        <v>4000</v>
      </c>
      <c r="I405" s="2602" t="s">
        <v>2141</v>
      </c>
      <c r="J405" s="2610"/>
    </row>
    <row r="406" spans="1:10" ht="15" customHeight="1">
      <c r="A406" s="2462">
        <v>8</v>
      </c>
      <c r="B406" s="2601"/>
      <c r="C406" s="2601"/>
      <c r="D406" s="2601"/>
      <c r="E406" s="2601"/>
      <c r="F406" s="2601"/>
      <c r="G406" s="2601"/>
      <c r="H406" s="2601"/>
      <c r="I406" s="2602"/>
      <c r="J406" s="2610"/>
    </row>
    <row r="407" spans="1:10" ht="15" customHeight="1">
      <c r="A407" s="2462">
        <v>9</v>
      </c>
      <c r="B407" s="2463"/>
      <c r="C407" s="2463"/>
      <c r="D407" s="2463"/>
      <c r="E407" s="2463"/>
      <c r="F407" s="2463"/>
      <c r="G407" s="2463"/>
      <c r="H407" s="2463"/>
      <c r="I407" s="2461"/>
      <c r="J407" s="2610"/>
    </row>
    <row r="408" spans="1:10" ht="15" customHeight="1">
      <c r="A408" s="2492">
        <v>10</v>
      </c>
      <c r="B408" s="2464" t="s">
        <v>940</v>
      </c>
      <c r="C408" s="2464"/>
      <c r="D408" s="2464"/>
      <c r="E408" s="2464"/>
      <c r="F408" s="2464"/>
      <c r="G408" s="2464"/>
      <c r="H408" s="2464"/>
      <c r="I408" s="2458"/>
      <c r="J408" s="2610"/>
    </row>
    <row r="409" spans="1:10" ht="15" customHeight="1">
      <c r="A409" s="2454"/>
      <c r="B409" s="2445" t="s">
        <v>941</v>
      </c>
      <c r="C409" s="2445"/>
      <c r="D409" s="2445"/>
      <c r="E409" s="2445"/>
      <c r="F409" s="2445"/>
      <c r="G409" s="2445"/>
      <c r="H409" s="2445"/>
      <c r="I409" s="2455"/>
      <c r="J409" s="2610"/>
    </row>
    <row r="410" spans="1:10" ht="15" customHeight="1">
      <c r="A410" s="2452"/>
      <c r="B410" s="2451"/>
      <c r="C410" s="2451"/>
      <c r="D410" s="2451"/>
      <c r="E410" s="2451"/>
      <c r="F410" s="2451"/>
      <c r="G410" s="2451"/>
      <c r="H410" s="2451"/>
      <c r="I410" s="2453"/>
      <c r="J410" s="2610"/>
    </row>
    <row r="411" spans="1:10" ht="15" customHeight="1">
      <c r="A411" s="2490" t="s">
        <v>3634</v>
      </c>
      <c r="B411" s="2460"/>
      <c r="C411" s="2460"/>
      <c r="D411" s="2460"/>
      <c r="E411" s="2460"/>
      <c r="F411" s="2460"/>
      <c r="G411" s="2460"/>
      <c r="H411" s="2460"/>
      <c r="I411" s="2491"/>
      <c r="J411" s="2610"/>
    </row>
    <row r="412" spans="1:10" ht="15" customHeight="1">
      <c r="A412" s="2452" t="s">
        <v>2348</v>
      </c>
      <c r="B412" s="2451"/>
      <c r="C412" s="2451"/>
      <c r="D412" s="2451"/>
      <c r="E412" s="2451"/>
      <c r="F412" s="2451"/>
      <c r="G412" s="2451"/>
      <c r="H412" s="2451"/>
      <c r="I412" s="2453"/>
      <c r="J412" s="2610"/>
    </row>
    <row r="413" spans="1:10" ht="15" customHeight="1">
      <c r="A413" s="2452" t="s">
        <v>4346</v>
      </c>
      <c r="B413" s="2451"/>
      <c r="C413" s="2451"/>
      <c r="D413" s="2451"/>
      <c r="E413" s="2451" t="s">
        <v>2349</v>
      </c>
      <c r="F413" s="2451"/>
      <c r="G413" s="2451"/>
      <c r="H413" s="2451"/>
      <c r="I413" s="2453"/>
      <c r="J413" s="2610"/>
    </row>
    <row r="414" spans="1:10" ht="15" customHeight="1">
      <c r="A414" s="2452"/>
      <c r="B414" s="2451"/>
      <c r="C414" s="2451"/>
      <c r="D414" s="2451"/>
      <c r="E414" s="2451" t="s">
        <v>1004</v>
      </c>
      <c r="F414" s="2451"/>
      <c r="G414" s="2451"/>
      <c r="H414" s="2451"/>
      <c r="I414" s="2453"/>
      <c r="J414" s="2610"/>
    </row>
    <row r="415" spans="1:10" ht="15" customHeight="1">
      <c r="A415" s="2452" t="s">
        <v>1744</v>
      </c>
      <c r="B415" s="2451"/>
      <c r="C415" s="2451"/>
      <c r="D415" s="2451"/>
      <c r="E415" s="2451"/>
      <c r="F415" s="2451"/>
      <c r="G415" s="2451"/>
      <c r="H415" s="2451"/>
      <c r="I415" s="2453"/>
      <c r="J415" s="2610"/>
    </row>
    <row r="416" spans="1:10" ht="14.1" customHeight="1">
      <c r="A416" s="2452" t="s">
        <v>1005</v>
      </c>
      <c r="B416" s="2451"/>
      <c r="C416" s="2451"/>
      <c r="D416" s="2451"/>
      <c r="E416" s="2451" t="s">
        <v>848</v>
      </c>
      <c r="F416" s="2451"/>
      <c r="G416" s="2451"/>
      <c r="H416" s="2451"/>
      <c r="I416" s="2453"/>
      <c r="J416" s="2610"/>
    </row>
    <row r="417" spans="1:10" ht="14.1" customHeight="1">
      <c r="A417" s="2452"/>
      <c r="B417" s="2451"/>
      <c r="C417" s="2451"/>
      <c r="D417" s="2451"/>
      <c r="E417" s="2451" t="s">
        <v>1737</v>
      </c>
      <c r="F417" s="2451"/>
      <c r="G417" s="2451"/>
      <c r="H417" s="2451"/>
      <c r="I417" s="2453"/>
      <c r="J417" s="2610"/>
    </row>
    <row r="418" spans="1:10" ht="14.1" customHeight="1">
      <c r="A418" s="2452" t="s">
        <v>849</v>
      </c>
      <c r="B418" s="2451"/>
      <c r="C418" s="2451"/>
      <c r="D418" s="2451"/>
      <c r="E418" s="2451"/>
      <c r="F418" s="2451"/>
      <c r="G418" s="2451"/>
      <c r="H418" s="2451"/>
      <c r="I418" s="2453"/>
      <c r="J418" s="2610"/>
    </row>
    <row r="419" spans="1:10" ht="14.1" customHeight="1">
      <c r="A419" s="2452" t="s">
        <v>4345</v>
      </c>
      <c r="B419" s="2451"/>
      <c r="C419" s="2451"/>
      <c r="D419" s="2451"/>
      <c r="E419" s="2451"/>
      <c r="F419" s="2451"/>
      <c r="G419" s="2451"/>
      <c r="H419" s="2451"/>
      <c r="I419" s="2453"/>
      <c r="J419" s="2610"/>
    </row>
    <row r="420" spans="1:10" ht="14.1" customHeight="1">
      <c r="A420" s="2452"/>
      <c r="B420" s="2451"/>
      <c r="C420" s="2451"/>
      <c r="D420" s="2451"/>
      <c r="E420" s="2451"/>
      <c r="F420" s="2451"/>
      <c r="G420" s="2451"/>
      <c r="H420" s="2451"/>
      <c r="I420" s="2453"/>
      <c r="J420" s="2610"/>
    </row>
    <row r="421" spans="1:10" ht="14.1" customHeight="1">
      <c r="A421" s="2492"/>
      <c r="B421" s="2464"/>
      <c r="C421" s="2464"/>
      <c r="D421" s="2464"/>
      <c r="E421" s="2464" t="s">
        <v>1738</v>
      </c>
      <c r="F421" s="2464"/>
      <c r="G421" s="2464"/>
      <c r="H421" s="2580"/>
      <c r="I421" s="2458"/>
      <c r="J421" s="2610"/>
    </row>
    <row r="422" spans="1:10" ht="14.1" customHeight="1">
      <c r="A422" s="2462" t="s">
        <v>1939</v>
      </c>
      <c r="B422" s="2463" t="s">
        <v>1739</v>
      </c>
      <c r="C422" s="2463" t="s">
        <v>3754</v>
      </c>
      <c r="D422" s="2463"/>
      <c r="E422" s="2463"/>
      <c r="F422" s="2463"/>
      <c r="G422" s="2463"/>
      <c r="H422" s="2516"/>
      <c r="I422" s="2461"/>
      <c r="J422" s="2610"/>
    </row>
    <row r="423" spans="1:10" ht="14.1" customHeight="1">
      <c r="A423" s="2462" t="s">
        <v>1941</v>
      </c>
      <c r="B423" s="2463"/>
      <c r="C423" s="2463" t="s">
        <v>1874</v>
      </c>
      <c r="D423" s="2463" t="s">
        <v>3032</v>
      </c>
      <c r="E423" s="2463" t="s">
        <v>1875</v>
      </c>
      <c r="F423" s="2463" t="s">
        <v>1876</v>
      </c>
      <c r="G423" s="2459" t="s">
        <v>1877</v>
      </c>
      <c r="H423" s="2460"/>
      <c r="I423" s="2461" t="s">
        <v>4031</v>
      </c>
      <c r="J423" s="2610"/>
    </row>
    <row r="424" spans="1:10" ht="14.1" customHeight="1">
      <c r="A424" s="2462"/>
      <c r="B424" s="2463"/>
      <c r="C424" s="2463"/>
      <c r="D424" s="2463"/>
      <c r="E424" s="2463"/>
      <c r="F424" s="2463"/>
      <c r="G424" s="2459"/>
      <c r="H424" s="2460"/>
      <c r="I424" s="2461"/>
      <c r="J424" s="2610"/>
    </row>
    <row r="425" spans="1:10" ht="14.1" customHeight="1">
      <c r="A425" s="2462"/>
      <c r="B425" s="2463" t="s">
        <v>932</v>
      </c>
      <c r="C425" s="2463" t="s">
        <v>933</v>
      </c>
      <c r="D425" s="2463" t="s">
        <v>934</v>
      </c>
      <c r="E425" s="2463" t="s">
        <v>935</v>
      </c>
      <c r="F425" s="2463" t="s">
        <v>936</v>
      </c>
      <c r="G425" s="2459" t="s">
        <v>937</v>
      </c>
      <c r="H425" s="2460"/>
      <c r="I425" s="2461" t="s">
        <v>938</v>
      </c>
      <c r="J425" s="2610"/>
    </row>
    <row r="426" spans="1:10" ht="14.1" customHeight="1">
      <c r="A426" s="2492">
        <v>23</v>
      </c>
      <c r="B426" s="2444" t="s">
        <v>3212</v>
      </c>
      <c r="C426" s="2464"/>
      <c r="D426" s="2444"/>
      <c r="E426" s="2444"/>
      <c r="F426" s="2444"/>
      <c r="G426" s="2444"/>
      <c r="H426" s="2444"/>
      <c r="I426" s="2507"/>
      <c r="J426" s="2610"/>
    </row>
    <row r="427" spans="1:10" ht="14.1" customHeight="1">
      <c r="A427" s="2462">
        <v>24</v>
      </c>
      <c r="B427" s="2446" t="s">
        <v>3213</v>
      </c>
      <c r="C427" s="2463"/>
      <c r="D427" s="2446"/>
      <c r="E427" s="2446"/>
      <c r="F427" s="2446"/>
      <c r="G427" s="2446"/>
      <c r="H427" s="2446"/>
      <c r="I427" s="2505"/>
      <c r="J427" s="2610"/>
    </row>
    <row r="428" spans="1:10" ht="14.1" customHeight="1">
      <c r="A428" s="2462">
        <v>25</v>
      </c>
      <c r="B428" s="2446" t="s">
        <v>3214</v>
      </c>
      <c r="C428" s="2463"/>
      <c r="D428" s="2446"/>
      <c r="E428" s="2446"/>
      <c r="F428" s="2446"/>
      <c r="G428" s="2446"/>
      <c r="H428" s="2446"/>
      <c r="I428" s="2505"/>
      <c r="J428" s="2610"/>
    </row>
    <row r="429" spans="1:10" ht="14.1" customHeight="1">
      <c r="A429" s="2462">
        <v>26</v>
      </c>
      <c r="B429" s="2446" t="s">
        <v>3215</v>
      </c>
      <c r="C429" s="2607">
        <v>1289851</v>
      </c>
      <c r="D429" s="2446"/>
      <c r="E429" s="2446"/>
      <c r="F429" s="2446"/>
      <c r="G429" s="2446"/>
      <c r="H429" s="2446"/>
      <c r="I429" s="2505"/>
      <c r="J429" s="2610"/>
    </row>
    <row r="430" spans="1:10" ht="14.1" customHeight="1">
      <c r="A430" s="2462">
        <v>27</v>
      </c>
      <c r="B430" s="2446" t="s">
        <v>1449</v>
      </c>
      <c r="C430" s="2607">
        <v>1289851</v>
      </c>
      <c r="D430" s="2446"/>
      <c r="E430" s="2446"/>
      <c r="F430" s="2446"/>
      <c r="G430" s="2446"/>
      <c r="H430" s="2446"/>
      <c r="I430" s="2505"/>
      <c r="J430" s="2610"/>
    </row>
    <row r="431" spans="1:10" ht="14.1" customHeight="1">
      <c r="A431" s="2462">
        <v>28</v>
      </c>
      <c r="B431" s="2446" t="s">
        <v>3217</v>
      </c>
      <c r="C431" s="2463"/>
      <c r="D431" s="2446"/>
      <c r="E431" s="2446"/>
      <c r="F431" s="2446"/>
      <c r="G431" s="2446"/>
      <c r="H431" s="2446"/>
      <c r="I431" s="2505"/>
      <c r="J431" s="2610"/>
    </row>
    <row r="432" spans="1:10" ht="14.1" customHeight="1">
      <c r="A432" s="2462">
        <v>29</v>
      </c>
      <c r="B432" s="2601" t="s">
        <v>3218</v>
      </c>
      <c r="C432" s="2607">
        <v>1289851</v>
      </c>
      <c r="D432" s="2601" t="s">
        <v>4292</v>
      </c>
      <c r="E432" s="2601" t="s">
        <v>4295</v>
      </c>
      <c r="F432" s="2607">
        <v>34660</v>
      </c>
      <c r="G432" s="2463"/>
      <c r="H432" s="2463"/>
      <c r="I432" s="2461"/>
      <c r="J432" s="2610"/>
    </row>
    <row r="433" spans="1:10" ht="15" customHeight="1">
      <c r="A433" s="2462">
        <v>30</v>
      </c>
      <c r="B433" s="2601"/>
      <c r="C433" s="2607"/>
      <c r="D433" s="2601"/>
      <c r="E433" s="2601"/>
      <c r="F433" s="2607"/>
      <c r="G433" s="2463"/>
      <c r="H433" s="2463"/>
      <c r="I433" s="2461"/>
      <c r="J433" s="2610"/>
    </row>
    <row r="434" spans="1:10" ht="15" customHeight="1">
      <c r="A434" s="2462">
        <v>31</v>
      </c>
      <c r="B434" s="2601" t="s">
        <v>3219</v>
      </c>
      <c r="C434" s="2607">
        <v>1289851</v>
      </c>
      <c r="D434" s="2601" t="s">
        <v>4293</v>
      </c>
      <c r="E434" s="2601" t="s">
        <v>4296</v>
      </c>
      <c r="F434" s="2607">
        <v>125544</v>
      </c>
      <c r="G434" s="2463"/>
      <c r="H434" s="2463"/>
      <c r="I434" s="2461"/>
      <c r="J434" s="2610"/>
    </row>
    <row r="435" spans="1:10" ht="15" customHeight="1">
      <c r="A435" s="2462">
        <v>32</v>
      </c>
      <c r="B435" s="2601" t="s">
        <v>3220</v>
      </c>
      <c r="C435" s="2607">
        <v>1289851</v>
      </c>
      <c r="D435" s="2601" t="s">
        <v>4294</v>
      </c>
      <c r="E435" s="2601" t="s">
        <v>4296</v>
      </c>
      <c r="F435" s="2607">
        <v>480400</v>
      </c>
      <c r="G435" s="2463"/>
      <c r="H435" s="2463"/>
      <c r="I435" s="2461"/>
      <c r="J435" s="2610"/>
    </row>
    <row r="436" spans="1:10" ht="15" customHeight="1">
      <c r="A436" s="2462">
        <v>33</v>
      </c>
      <c r="B436" s="2446"/>
      <c r="C436" s="2607"/>
      <c r="D436" s="2446"/>
      <c r="E436" s="2446"/>
      <c r="F436" s="2608"/>
      <c r="G436" s="2446"/>
      <c r="H436" s="2446"/>
      <c r="I436" s="2505"/>
      <c r="J436" s="2610"/>
    </row>
    <row r="437" spans="1:10" ht="15" customHeight="1">
      <c r="A437" s="2462">
        <v>34</v>
      </c>
      <c r="B437" s="2446" t="s">
        <v>3221</v>
      </c>
      <c r="C437" s="2607">
        <v>1289851</v>
      </c>
      <c r="D437" s="2446"/>
      <c r="E437" s="2446"/>
      <c r="F437" s="2446"/>
      <c r="G437" s="2446"/>
      <c r="H437" s="2446"/>
      <c r="I437" s="2505"/>
      <c r="J437" s="2610"/>
    </row>
    <row r="438" spans="1:10" ht="15" customHeight="1">
      <c r="A438" s="2462">
        <v>35</v>
      </c>
      <c r="B438" s="2446" t="s">
        <v>3222</v>
      </c>
      <c r="C438" s="2607"/>
      <c r="D438" s="2446"/>
      <c r="E438" s="2446"/>
      <c r="F438" s="2446"/>
      <c r="G438" s="2446"/>
      <c r="H438" s="2446"/>
      <c r="I438" s="2505"/>
      <c r="J438" s="2610"/>
    </row>
    <row r="439" spans="1:10" ht="15" customHeight="1" thickBot="1">
      <c r="A439" s="2499">
        <v>36</v>
      </c>
      <c r="B439" s="2501" t="s">
        <v>3753</v>
      </c>
      <c r="C439" s="2609">
        <v>1238929</v>
      </c>
      <c r="D439" s="2609"/>
      <c r="E439" s="2501"/>
      <c r="F439" s="2501"/>
      <c r="G439" s="2501"/>
      <c r="H439" s="2501"/>
      <c r="I439" s="2502"/>
      <c r="J439" s="2610"/>
    </row>
    <row r="440" spans="1:10" ht="15" customHeight="1">
      <c r="A440" s="2449" t="s">
        <v>3184</v>
      </c>
      <c r="B440" s="2449"/>
      <c r="C440" s="2449"/>
      <c r="D440" s="2592" t="s">
        <v>711</v>
      </c>
      <c r="E440" s="2449"/>
      <c r="F440" s="2449"/>
      <c r="G440" s="2449"/>
      <c r="H440" s="2449"/>
      <c r="I440" s="2449"/>
    </row>
    <row r="441" spans="1:10" ht="15" customHeight="1" thickBot="1">
      <c r="A441" s="2444" t="str">
        <f>+A1</f>
        <v>Annual Report of New York American Water Company, Inc. (f/k/a Long Island Water Corp)                                   Year Ended  December 31, 2013</v>
      </c>
    </row>
    <row r="442" spans="1:10" ht="15" customHeight="1">
      <c r="A442" s="2448"/>
      <c r="B442" s="2449"/>
      <c r="C442" s="2449"/>
      <c r="D442" s="2449"/>
      <c r="E442" s="2449"/>
      <c r="F442" s="2449"/>
      <c r="G442" s="2449"/>
      <c r="H442" s="2449"/>
      <c r="I442" s="2450"/>
      <c r="J442" s="2610"/>
    </row>
    <row r="443" spans="1:10" ht="15" customHeight="1">
      <c r="A443" s="2490" t="s">
        <v>3940</v>
      </c>
      <c r="B443" s="2460"/>
      <c r="C443" s="2460"/>
      <c r="D443" s="2460"/>
      <c r="E443" s="2460"/>
      <c r="F443" s="2460"/>
      <c r="G443" s="2460"/>
      <c r="H443" s="2460"/>
      <c r="I443" s="2491"/>
      <c r="J443" s="2610"/>
    </row>
    <row r="444" spans="1:10" ht="15" customHeight="1">
      <c r="A444" s="2452"/>
      <c r="B444" s="2451"/>
      <c r="C444" s="2451"/>
      <c r="D444" s="2451"/>
      <c r="E444" s="2451"/>
      <c r="F444" s="2451"/>
      <c r="G444" s="2451"/>
      <c r="H444" s="2451"/>
      <c r="I444" s="2453"/>
      <c r="J444" s="2610"/>
    </row>
    <row r="445" spans="1:10" ht="15" customHeight="1">
      <c r="A445" s="2454"/>
      <c r="B445" s="2445"/>
      <c r="C445" s="2445"/>
      <c r="D445" s="2445"/>
      <c r="E445" s="2445"/>
      <c r="F445" s="2445"/>
      <c r="G445" s="2445"/>
      <c r="H445" s="2445"/>
      <c r="I445" s="2455"/>
      <c r="J445" s="2610"/>
    </row>
    <row r="446" spans="1:10" ht="15" customHeight="1">
      <c r="A446" s="2452" t="s">
        <v>2611</v>
      </c>
      <c r="B446" s="2451"/>
      <c r="C446" s="2451"/>
      <c r="D446" s="2451"/>
      <c r="E446" s="2451"/>
      <c r="F446" s="2451"/>
      <c r="G446" s="2451"/>
      <c r="H446" s="2451"/>
      <c r="I446" s="2453"/>
      <c r="J446" s="2610"/>
    </row>
    <row r="447" spans="1:10" ht="15" customHeight="1">
      <c r="A447" s="2452" t="s">
        <v>2612</v>
      </c>
      <c r="B447" s="2451"/>
      <c r="C447" s="2451"/>
      <c r="D447" s="2451"/>
      <c r="E447" s="2451"/>
      <c r="F447" s="2451"/>
      <c r="G447" s="2451"/>
      <c r="H447" s="2451"/>
      <c r="I447" s="2453"/>
      <c r="J447" s="2610"/>
    </row>
    <row r="448" spans="1:10" ht="15" customHeight="1">
      <c r="A448" s="2452"/>
      <c r="B448" s="2451"/>
      <c r="C448" s="2451"/>
      <c r="D448" s="2451"/>
      <c r="E448" s="2451"/>
      <c r="F448" s="2451"/>
      <c r="G448" s="2451"/>
      <c r="H448" s="2451"/>
      <c r="I448" s="2453"/>
      <c r="J448" s="2610"/>
    </row>
    <row r="449" spans="1:10" ht="14.1" customHeight="1">
      <c r="A449" s="2492"/>
      <c r="B449" s="2464"/>
      <c r="C449" s="2464"/>
      <c r="D449" s="2464"/>
      <c r="E449" s="2464"/>
      <c r="F449" s="2464"/>
      <c r="G449" s="2464"/>
      <c r="H449" s="2464"/>
      <c r="I449" s="2458"/>
      <c r="J449" s="2610"/>
    </row>
    <row r="450" spans="1:10" ht="14.1" customHeight="1">
      <c r="A450" s="2462"/>
      <c r="B450" s="2463" t="s">
        <v>3026</v>
      </c>
      <c r="C450" s="2463" t="s">
        <v>94</v>
      </c>
      <c r="D450" s="2463" t="s">
        <v>3022</v>
      </c>
      <c r="E450" s="2463" t="s">
        <v>2820</v>
      </c>
      <c r="F450" s="2463" t="s">
        <v>3021</v>
      </c>
      <c r="G450" s="2463" t="s">
        <v>2821</v>
      </c>
      <c r="H450" s="2463" t="s">
        <v>2822</v>
      </c>
      <c r="I450" s="2461" t="s">
        <v>930</v>
      </c>
      <c r="J450" s="2610"/>
    </row>
    <row r="451" spans="1:10" ht="14.1" customHeight="1">
      <c r="A451" s="2462" t="s">
        <v>1939</v>
      </c>
      <c r="B451" s="2463" t="s">
        <v>4226</v>
      </c>
      <c r="C451" s="2463"/>
      <c r="D451" s="2463" t="s">
        <v>2823</v>
      </c>
      <c r="E451" s="2463" t="s">
        <v>4398</v>
      </c>
      <c r="F451" s="2463" t="s">
        <v>4398</v>
      </c>
      <c r="G451" s="2463" t="s">
        <v>4398</v>
      </c>
      <c r="H451" s="2463" t="s">
        <v>4399</v>
      </c>
      <c r="I451" s="2461" t="s">
        <v>931</v>
      </c>
      <c r="J451" s="2610"/>
    </row>
    <row r="452" spans="1:10" ht="14.1" customHeight="1">
      <c r="A452" s="2462" t="s">
        <v>1941</v>
      </c>
      <c r="B452" s="2463" t="s">
        <v>4400</v>
      </c>
      <c r="C452" s="2463"/>
      <c r="D452" s="2463" t="s">
        <v>4401</v>
      </c>
      <c r="E452" s="2463"/>
      <c r="F452" s="2463" t="s">
        <v>4402</v>
      </c>
      <c r="G452" s="2463" t="s">
        <v>3039</v>
      </c>
      <c r="H452" s="2463" t="s">
        <v>4403</v>
      </c>
      <c r="I452" s="2461"/>
      <c r="J452" s="2610"/>
    </row>
    <row r="453" spans="1:10" ht="14.1" customHeight="1">
      <c r="A453" s="2462"/>
      <c r="B453" s="2463" t="s">
        <v>932</v>
      </c>
      <c r="C453" s="2463" t="s">
        <v>933</v>
      </c>
      <c r="D453" s="2463" t="s">
        <v>934</v>
      </c>
      <c r="E453" s="2463" t="s">
        <v>935</v>
      </c>
      <c r="F453" s="2463" t="s">
        <v>936</v>
      </c>
      <c r="G453" s="2463" t="s">
        <v>937</v>
      </c>
      <c r="H453" s="2463" t="s">
        <v>938</v>
      </c>
      <c r="I453" s="2461" t="s">
        <v>939</v>
      </c>
      <c r="J453" s="2610"/>
    </row>
    <row r="454" spans="1:10" ht="14.1" customHeight="1">
      <c r="A454" s="2492">
        <v>1</v>
      </c>
      <c r="B454" s="2595" t="s">
        <v>2566</v>
      </c>
      <c r="C454" s="2596" t="s">
        <v>3207</v>
      </c>
      <c r="D454" s="2611" t="s">
        <v>851</v>
      </c>
      <c r="E454" s="2597">
        <v>2</v>
      </c>
      <c r="F454" s="2597"/>
      <c r="G454" s="2597"/>
      <c r="H454" s="2597"/>
      <c r="I454" s="2598" t="s">
        <v>987</v>
      </c>
      <c r="J454" s="2610"/>
    </row>
    <row r="455" spans="1:10" ht="14.1" customHeight="1">
      <c r="A455" s="2462">
        <v>2</v>
      </c>
      <c r="B455" s="2599" t="s">
        <v>2567</v>
      </c>
      <c r="C455" s="2600" t="s">
        <v>4613</v>
      </c>
      <c r="D455" s="2601">
        <v>1995</v>
      </c>
      <c r="E455" s="2601">
        <v>2</v>
      </c>
      <c r="F455" s="2601"/>
      <c r="G455" s="2601"/>
      <c r="H455" s="2601"/>
      <c r="I455" s="2602" t="s">
        <v>4390</v>
      </c>
      <c r="J455" s="2610"/>
    </row>
    <row r="456" spans="1:10" ht="14.1" customHeight="1">
      <c r="A456" s="2462">
        <v>3</v>
      </c>
      <c r="B456" s="2599" t="s">
        <v>2567</v>
      </c>
      <c r="C456" s="2600" t="s">
        <v>3208</v>
      </c>
      <c r="D456" s="2601">
        <v>1967</v>
      </c>
      <c r="E456" s="2601">
        <v>1</v>
      </c>
      <c r="F456" s="2601"/>
      <c r="G456" s="2601"/>
      <c r="H456" s="2601"/>
      <c r="I456" s="2602" t="s">
        <v>987</v>
      </c>
      <c r="J456" s="2610"/>
    </row>
    <row r="457" spans="1:10" ht="14.1" customHeight="1">
      <c r="A457" s="2462">
        <v>4</v>
      </c>
      <c r="B457" s="2599" t="s">
        <v>2567</v>
      </c>
      <c r="C457" s="2600" t="s">
        <v>3209</v>
      </c>
      <c r="D457" s="2601" t="s">
        <v>2565</v>
      </c>
      <c r="E457" s="2601">
        <v>2</v>
      </c>
      <c r="F457" s="2601"/>
      <c r="G457" s="2601"/>
      <c r="H457" s="2601"/>
      <c r="I457" s="2602" t="s">
        <v>4390</v>
      </c>
      <c r="J457" s="2610"/>
    </row>
    <row r="458" spans="1:10" ht="14.1" customHeight="1">
      <c r="A458" s="2462">
        <v>5</v>
      </c>
      <c r="B458" s="2599" t="s">
        <v>2567</v>
      </c>
      <c r="C458" s="2600" t="s">
        <v>4614</v>
      </c>
      <c r="D458" s="2601">
        <v>1995</v>
      </c>
      <c r="E458" s="2463">
        <v>1</v>
      </c>
      <c r="F458" s="2463"/>
      <c r="G458" s="2463"/>
      <c r="H458" s="2463"/>
      <c r="I458" s="2602" t="s">
        <v>987</v>
      </c>
      <c r="J458" s="2610"/>
    </row>
    <row r="459" spans="1:10" ht="14.1" customHeight="1">
      <c r="A459" s="2462">
        <v>6</v>
      </c>
      <c r="B459" s="2599" t="s">
        <v>2567</v>
      </c>
      <c r="C459" s="2600" t="s">
        <v>4615</v>
      </c>
      <c r="D459" s="2601">
        <v>1995</v>
      </c>
      <c r="E459" s="2463">
        <v>2</v>
      </c>
      <c r="F459" s="2463"/>
      <c r="G459" s="2463"/>
      <c r="H459" s="2463"/>
      <c r="I459" s="2602" t="s">
        <v>4390</v>
      </c>
      <c r="J459" s="2610"/>
    </row>
    <row r="460" spans="1:10" ht="14.1" customHeight="1">
      <c r="A460" s="2462">
        <v>7</v>
      </c>
      <c r="B460" s="2463"/>
      <c r="C460" s="2463"/>
      <c r="D460" s="2463"/>
      <c r="E460" s="2463"/>
      <c r="F460" s="2463"/>
      <c r="G460" s="2463"/>
      <c r="H460" s="2463"/>
      <c r="I460" s="2461"/>
      <c r="J460" s="2610"/>
    </row>
    <row r="461" spans="1:10" ht="14.1" customHeight="1">
      <c r="A461" s="2462">
        <v>8</v>
      </c>
      <c r="B461" s="2463"/>
      <c r="C461" s="2463"/>
      <c r="D461" s="2463"/>
      <c r="E461" s="2463"/>
      <c r="F461" s="2463"/>
      <c r="G461" s="2463"/>
      <c r="H461" s="2463"/>
      <c r="I461" s="2461"/>
      <c r="J461" s="2610"/>
    </row>
    <row r="462" spans="1:10" ht="15" customHeight="1">
      <c r="A462" s="2462">
        <v>9</v>
      </c>
      <c r="B462" s="2463"/>
      <c r="C462" s="2463"/>
      <c r="D462" s="2463"/>
      <c r="E462" s="2463"/>
      <c r="F462" s="2463"/>
      <c r="G462" s="2463"/>
      <c r="H462" s="2463"/>
      <c r="I462" s="2461"/>
      <c r="J462" s="2610"/>
    </row>
    <row r="463" spans="1:10" ht="15" customHeight="1">
      <c r="A463" s="2492">
        <v>10</v>
      </c>
      <c r="B463" s="2464" t="s">
        <v>940</v>
      </c>
      <c r="C463" s="2464"/>
      <c r="D463" s="2464"/>
      <c r="E463" s="2464"/>
      <c r="F463" s="2464"/>
      <c r="G463" s="2464"/>
      <c r="H463" s="2464"/>
      <c r="I463" s="2458"/>
      <c r="J463" s="2610"/>
    </row>
    <row r="464" spans="1:10" ht="15" customHeight="1">
      <c r="A464" s="2454"/>
      <c r="B464" s="2445" t="s">
        <v>941</v>
      </c>
      <c r="C464" s="2445"/>
      <c r="D464" s="2445"/>
      <c r="E464" s="2445"/>
      <c r="F464" s="2445"/>
      <c r="G464" s="2445"/>
      <c r="H464" s="2445"/>
      <c r="I464" s="2455"/>
      <c r="J464" s="2610"/>
    </row>
    <row r="465" spans="1:10" ht="15" customHeight="1">
      <c r="A465" s="2452"/>
      <c r="B465" s="2451"/>
      <c r="C465" s="2451"/>
      <c r="D465" s="2451"/>
      <c r="E465" s="2451"/>
      <c r="F465" s="2451"/>
      <c r="G465" s="2451"/>
      <c r="H465" s="2451"/>
      <c r="I465" s="2453"/>
      <c r="J465" s="2610"/>
    </row>
    <row r="466" spans="1:10" ht="15" customHeight="1">
      <c r="A466" s="2490" t="s">
        <v>3634</v>
      </c>
      <c r="B466" s="2460"/>
      <c r="C466" s="2460"/>
      <c r="D466" s="2460"/>
      <c r="E466" s="2460"/>
      <c r="F466" s="2460"/>
      <c r="G466" s="2460"/>
      <c r="H466" s="2460"/>
      <c r="I466" s="2491"/>
      <c r="J466" s="2610"/>
    </row>
    <row r="467" spans="1:10" ht="15" customHeight="1">
      <c r="A467" s="2452" t="s">
        <v>2348</v>
      </c>
      <c r="B467" s="2451"/>
      <c r="C467" s="2451"/>
      <c r="D467" s="2451"/>
      <c r="E467" s="2451"/>
      <c r="F467" s="2451"/>
      <c r="G467" s="2451"/>
      <c r="H467" s="2451"/>
      <c r="I467" s="2453"/>
      <c r="J467" s="2610"/>
    </row>
    <row r="468" spans="1:10" ht="15" customHeight="1">
      <c r="A468" s="2452" t="s">
        <v>4346</v>
      </c>
      <c r="B468" s="2451"/>
      <c r="C468" s="2451"/>
      <c r="D468" s="2451"/>
      <c r="E468" s="2451" t="s">
        <v>2349</v>
      </c>
      <c r="F468" s="2451"/>
      <c r="G468" s="2451"/>
      <c r="H468" s="2451"/>
      <c r="I468" s="2453"/>
      <c r="J468" s="2610"/>
    </row>
    <row r="469" spans="1:10" ht="15" customHeight="1">
      <c r="A469" s="2452"/>
      <c r="B469" s="2451"/>
      <c r="C469" s="2451"/>
      <c r="D469" s="2451"/>
      <c r="E469" s="2451" t="s">
        <v>1004</v>
      </c>
      <c r="F469" s="2451"/>
      <c r="G469" s="2451"/>
      <c r="H469" s="2451"/>
      <c r="I469" s="2453"/>
      <c r="J469" s="2610"/>
    </row>
    <row r="470" spans="1:10" ht="15" customHeight="1">
      <c r="A470" s="2452" t="s">
        <v>1744</v>
      </c>
      <c r="B470" s="2451"/>
      <c r="C470" s="2451"/>
      <c r="D470" s="2451"/>
      <c r="E470" s="2451"/>
      <c r="F470" s="2451"/>
      <c r="G470" s="2451"/>
      <c r="H470" s="2451"/>
      <c r="I470" s="2453"/>
      <c r="J470" s="2610"/>
    </row>
    <row r="471" spans="1:10" ht="15" customHeight="1">
      <c r="A471" s="2452" t="s">
        <v>1005</v>
      </c>
      <c r="B471" s="2451"/>
      <c r="C471" s="2451"/>
      <c r="D471" s="2451"/>
      <c r="E471" s="2451" t="s">
        <v>848</v>
      </c>
      <c r="F471" s="2451"/>
      <c r="G471" s="2451"/>
      <c r="H471" s="2451"/>
      <c r="I471" s="2453"/>
      <c r="J471" s="2610"/>
    </row>
    <row r="472" spans="1:10" ht="14.1" customHeight="1">
      <c r="A472" s="2452"/>
      <c r="B472" s="2451"/>
      <c r="C472" s="2451"/>
      <c r="D472" s="2451"/>
      <c r="E472" s="2451" t="s">
        <v>1737</v>
      </c>
      <c r="F472" s="2451"/>
      <c r="G472" s="2451"/>
      <c r="H472" s="2451"/>
      <c r="I472" s="2453"/>
      <c r="J472" s="2610"/>
    </row>
    <row r="473" spans="1:10" ht="14.1" customHeight="1">
      <c r="A473" s="2452" t="s">
        <v>849</v>
      </c>
      <c r="B473" s="2451"/>
      <c r="C473" s="2451"/>
      <c r="D473" s="2451"/>
      <c r="E473" s="2451"/>
      <c r="F473" s="2451"/>
      <c r="G473" s="2451"/>
      <c r="H473" s="2451"/>
      <c r="I473" s="2453"/>
      <c r="J473" s="2610"/>
    </row>
    <row r="474" spans="1:10" ht="14.1" customHeight="1">
      <c r="A474" s="2452" t="s">
        <v>4345</v>
      </c>
      <c r="B474" s="2451"/>
      <c r="C474" s="2451"/>
      <c r="D474" s="2451"/>
      <c r="E474" s="2451"/>
      <c r="F474" s="2451"/>
      <c r="G474" s="2451"/>
      <c r="H474" s="2451"/>
      <c r="I474" s="2453"/>
      <c r="J474" s="2610"/>
    </row>
    <row r="475" spans="1:10" ht="14.1" customHeight="1">
      <c r="A475" s="2452"/>
      <c r="B475" s="2451"/>
      <c r="C475" s="2451"/>
      <c r="D475" s="2451"/>
      <c r="E475" s="2451"/>
      <c r="F475" s="2451"/>
      <c r="G475" s="2451"/>
      <c r="H475" s="2451"/>
      <c r="I475" s="2453"/>
      <c r="J475" s="2610"/>
    </row>
    <row r="476" spans="1:10" ht="14.1" customHeight="1">
      <c r="A476" s="2492"/>
      <c r="B476" s="2464"/>
      <c r="C476" s="2464"/>
      <c r="D476" s="2464"/>
      <c r="E476" s="2464" t="s">
        <v>1738</v>
      </c>
      <c r="F476" s="2464"/>
      <c r="G476" s="2464"/>
      <c r="H476" s="2580"/>
      <c r="I476" s="2458"/>
      <c r="J476" s="2610"/>
    </row>
    <row r="477" spans="1:10" ht="14.1" customHeight="1">
      <c r="A477" s="2462" t="s">
        <v>1939</v>
      </c>
      <c r="B477" s="2463" t="s">
        <v>1739</v>
      </c>
      <c r="C477" s="2463" t="s">
        <v>3754</v>
      </c>
      <c r="D477" s="2463"/>
      <c r="E477" s="2463"/>
      <c r="F477" s="2463"/>
      <c r="G477" s="2463"/>
      <c r="H477" s="2516"/>
      <c r="I477" s="2461"/>
      <c r="J477" s="2610"/>
    </row>
    <row r="478" spans="1:10" ht="14.1" customHeight="1">
      <c r="A478" s="2462" t="s">
        <v>1941</v>
      </c>
      <c r="B478" s="2463"/>
      <c r="C478" s="2463" t="s">
        <v>1874</v>
      </c>
      <c r="D478" s="2463" t="s">
        <v>3032</v>
      </c>
      <c r="E478" s="2463" t="s">
        <v>1875</v>
      </c>
      <c r="F478" s="2463" t="s">
        <v>1876</v>
      </c>
      <c r="G478" s="2459" t="s">
        <v>1877</v>
      </c>
      <c r="H478" s="2460"/>
      <c r="I478" s="2461" t="s">
        <v>4031</v>
      </c>
      <c r="J478" s="2610"/>
    </row>
    <row r="479" spans="1:10" ht="14.1" customHeight="1">
      <c r="A479" s="2462"/>
      <c r="B479" s="2463"/>
      <c r="C479" s="2463"/>
      <c r="D479" s="2463"/>
      <c r="E479" s="2463"/>
      <c r="F479" s="2463"/>
      <c r="G479" s="2459"/>
      <c r="H479" s="2460"/>
      <c r="I479" s="2461"/>
      <c r="J479" s="2610"/>
    </row>
    <row r="480" spans="1:10" ht="14.1" customHeight="1">
      <c r="A480" s="2462"/>
      <c r="B480" s="2463" t="s">
        <v>932</v>
      </c>
      <c r="C480" s="2463" t="s">
        <v>933</v>
      </c>
      <c r="D480" s="2463" t="s">
        <v>934</v>
      </c>
      <c r="E480" s="2463" t="s">
        <v>935</v>
      </c>
      <c r="F480" s="2463" t="s">
        <v>936</v>
      </c>
      <c r="G480" s="2459" t="s">
        <v>937</v>
      </c>
      <c r="H480" s="2460"/>
      <c r="I480" s="2461" t="s">
        <v>938</v>
      </c>
      <c r="J480" s="2610"/>
    </row>
    <row r="481" spans="1:10" ht="14.1" customHeight="1">
      <c r="A481" s="2492">
        <v>23</v>
      </c>
      <c r="B481" s="2444" t="s">
        <v>3212</v>
      </c>
      <c r="C481" s="2464"/>
      <c r="D481" s="2444"/>
      <c r="E481" s="2444"/>
      <c r="F481" s="2444"/>
      <c r="G481" s="2444"/>
      <c r="H481" s="2444"/>
      <c r="I481" s="2507"/>
      <c r="J481" s="2610"/>
    </row>
    <row r="482" spans="1:10" ht="14.1" customHeight="1">
      <c r="A482" s="2462">
        <v>24</v>
      </c>
      <c r="B482" s="2446" t="s">
        <v>3213</v>
      </c>
      <c r="C482" s="2463"/>
      <c r="D482" s="2446"/>
      <c r="E482" s="2446"/>
      <c r="F482" s="2446"/>
      <c r="G482" s="2446"/>
      <c r="H482" s="2446"/>
      <c r="I482" s="2505"/>
      <c r="J482" s="2610"/>
    </row>
    <row r="483" spans="1:10" ht="14.1" customHeight="1">
      <c r="A483" s="2462">
        <v>25</v>
      </c>
      <c r="B483" s="2446" t="s">
        <v>3214</v>
      </c>
      <c r="C483" s="2463"/>
      <c r="D483" s="2446"/>
      <c r="E483" s="2446"/>
      <c r="F483" s="2446"/>
      <c r="G483" s="2446"/>
      <c r="H483" s="2446"/>
      <c r="I483" s="2505"/>
      <c r="J483" s="2610"/>
    </row>
    <row r="484" spans="1:10" ht="14.1" customHeight="1">
      <c r="A484" s="2462">
        <v>26</v>
      </c>
      <c r="B484" s="2446" t="s">
        <v>3215</v>
      </c>
      <c r="C484" s="2463"/>
      <c r="D484" s="2446"/>
      <c r="E484" s="2446"/>
      <c r="F484" s="2446"/>
      <c r="G484" s="2446"/>
      <c r="H484" s="2446"/>
      <c r="I484" s="2505"/>
      <c r="J484" s="2610"/>
    </row>
    <row r="485" spans="1:10" ht="14.1" customHeight="1">
      <c r="A485" s="2462">
        <v>27</v>
      </c>
      <c r="B485" s="2446" t="s">
        <v>3216</v>
      </c>
      <c r="C485" s="2463"/>
      <c r="D485" s="2446"/>
      <c r="E485" s="2446"/>
      <c r="F485" s="2446"/>
      <c r="G485" s="2446"/>
      <c r="H485" s="2446"/>
      <c r="I485" s="2505"/>
      <c r="J485" s="2610"/>
    </row>
    <row r="486" spans="1:10" ht="14.1" customHeight="1">
      <c r="A486" s="2462">
        <v>28</v>
      </c>
      <c r="B486" s="2446" t="s">
        <v>3217</v>
      </c>
      <c r="C486" s="2463"/>
      <c r="D486" s="2446"/>
      <c r="E486" s="2446"/>
      <c r="F486" s="2446"/>
      <c r="G486" s="2446"/>
      <c r="H486" s="2446"/>
      <c r="I486" s="2505"/>
      <c r="J486" s="2610"/>
    </row>
    <row r="487" spans="1:10" ht="14.1" customHeight="1">
      <c r="A487" s="2462">
        <v>29</v>
      </c>
      <c r="B487" s="2601" t="s">
        <v>3218</v>
      </c>
      <c r="C487" s="2607">
        <v>159961</v>
      </c>
      <c r="D487" s="2601" t="s">
        <v>4292</v>
      </c>
      <c r="E487" s="2601" t="s">
        <v>4295</v>
      </c>
      <c r="F487" s="2607">
        <v>1658</v>
      </c>
      <c r="G487" s="2463"/>
      <c r="H487" s="2463"/>
      <c r="I487" s="2461"/>
      <c r="J487" s="2610"/>
    </row>
    <row r="488" spans="1:10" ht="14.1" customHeight="1">
      <c r="A488" s="2462">
        <v>30</v>
      </c>
      <c r="B488" s="2601"/>
      <c r="C488" s="2607"/>
      <c r="D488" s="2601"/>
      <c r="E488" s="2601"/>
      <c r="F488" s="2607"/>
      <c r="G488" s="2463"/>
      <c r="H488" s="2463"/>
      <c r="I488" s="2461"/>
      <c r="J488" s="2610"/>
    </row>
    <row r="489" spans="1:10" ht="15" customHeight="1">
      <c r="A489" s="2462">
        <v>31</v>
      </c>
      <c r="B489" s="2601" t="s">
        <v>3219</v>
      </c>
      <c r="C489" s="2607">
        <v>159961</v>
      </c>
      <c r="D489" s="2601" t="s">
        <v>4293</v>
      </c>
      <c r="E489" s="2601" t="s">
        <v>4296</v>
      </c>
      <c r="F489" s="2607">
        <v>34231</v>
      </c>
      <c r="G489" s="2463"/>
      <c r="H489" s="2463"/>
      <c r="I489" s="2461"/>
      <c r="J489" s="2610"/>
    </row>
    <row r="490" spans="1:10" ht="15" customHeight="1">
      <c r="A490" s="2462">
        <v>32</v>
      </c>
      <c r="B490" s="2601" t="s">
        <v>3220</v>
      </c>
      <c r="C490" s="2607">
        <v>159961</v>
      </c>
      <c r="D490" s="2601" t="s">
        <v>4294</v>
      </c>
      <c r="E490" s="2601" t="s">
        <v>4296</v>
      </c>
      <c r="F490" s="2607">
        <v>25600</v>
      </c>
      <c r="G490" s="2463"/>
      <c r="H490" s="2463"/>
      <c r="I490" s="2461"/>
      <c r="J490" s="2610"/>
    </row>
    <row r="491" spans="1:10" ht="15" customHeight="1">
      <c r="A491" s="2462">
        <v>33</v>
      </c>
      <c r="B491" s="2446"/>
      <c r="C491" s="2607"/>
      <c r="D491" s="2446"/>
      <c r="E491" s="2446"/>
      <c r="F491" s="2608"/>
      <c r="G491" s="2446"/>
      <c r="H491" s="2446"/>
      <c r="I491" s="2505"/>
      <c r="J491" s="2610"/>
    </row>
    <row r="492" spans="1:10" ht="15" customHeight="1">
      <c r="A492" s="2462">
        <v>34</v>
      </c>
      <c r="B492" s="2446" t="s">
        <v>3221</v>
      </c>
      <c r="C492" s="2607">
        <v>159961</v>
      </c>
      <c r="D492" s="2446"/>
      <c r="E492" s="2446"/>
      <c r="F492" s="2446"/>
      <c r="G492" s="2446"/>
      <c r="H492" s="2446"/>
      <c r="I492" s="2505"/>
      <c r="J492" s="2610"/>
    </row>
    <row r="493" spans="1:10" ht="15" customHeight="1">
      <c r="A493" s="2462">
        <v>35</v>
      </c>
      <c r="B493" s="2446" t="s">
        <v>3222</v>
      </c>
      <c r="C493" s="2607"/>
      <c r="D493" s="2446"/>
      <c r="E493" s="2446"/>
      <c r="F493" s="2446"/>
      <c r="G493" s="2446"/>
      <c r="H493" s="2446"/>
      <c r="I493" s="2505"/>
      <c r="J493" s="2610"/>
    </row>
    <row r="494" spans="1:10" ht="15" customHeight="1" thickBot="1">
      <c r="A494" s="2499">
        <v>36</v>
      </c>
      <c r="B494" s="2501" t="s">
        <v>3753</v>
      </c>
      <c r="C494" s="2609">
        <v>159961</v>
      </c>
      <c r="D494" s="2609"/>
      <c r="E494" s="2501"/>
      <c r="F494" s="2501"/>
      <c r="G494" s="2501"/>
      <c r="H494" s="2501"/>
      <c r="I494" s="2502"/>
      <c r="J494" s="2610"/>
    </row>
    <row r="495" spans="1:10" ht="15" customHeight="1">
      <c r="A495" s="2449" t="s">
        <v>3184</v>
      </c>
      <c r="B495" s="2449"/>
      <c r="C495" s="2449"/>
      <c r="D495" s="2592" t="s">
        <v>712</v>
      </c>
      <c r="E495" s="2449"/>
      <c r="F495" s="2449"/>
      <c r="G495" s="2449"/>
      <c r="H495" s="2449"/>
      <c r="I495" s="2449"/>
    </row>
    <row r="496" spans="1:10" ht="15" customHeight="1" thickBot="1">
      <c r="A496" s="2444" t="str">
        <f>+A1</f>
        <v>Annual Report of New York American Water Company, Inc. (f/k/a Long Island Water Corp)                                   Year Ended  December 31, 2013</v>
      </c>
    </row>
    <row r="497" spans="1:10" ht="15" customHeight="1">
      <c r="A497" s="2448"/>
      <c r="B497" s="2449"/>
      <c r="C497" s="2449"/>
      <c r="D497" s="2449"/>
      <c r="E497" s="2449"/>
      <c r="F497" s="2449"/>
      <c r="G497" s="2449"/>
      <c r="H497" s="2449"/>
      <c r="I497" s="2450"/>
      <c r="J497" s="2610"/>
    </row>
    <row r="498" spans="1:10" ht="15" customHeight="1">
      <c r="A498" s="2490" t="s">
        <v>3940</v>
      </c>
      <c r="B498" s="2460"/>
      <c r="C498" s="2460"/>
      <c r="D498" s="2460"/>
      <c r="E498" s="2460"/>
      <c r="F498" s="2460"/>
      <c r="G498" s="2460"/>
      <c r="H498" s="2460"/>
      <c r="I498" s="2491"/>
      <c r="J498" s="2610"/>
    </row>
    <row r="499" spans="1:10" ht="15" customHeight="1">
      <c r="A499" s="2452"/>
      <c r="B499" s="2451"/>
      <c r="C499" s="2451"/>
      <c r="D499" s="2451"/>
      <c r="E499" s="2451"/>
      <c r="F499" s="2451"/>
      <c r="G499" s="2451"/>
      <c r="H499" s="2451"/>
      <c r="I499" s="2453"/>
      <c r="J499" s="2610"/>
    </row>
    <row r="500" spans="1:10" ht="15" customHeight="1">
      <c r="A500" s="2454"/>
      <c r="B500" s="2445"/>
      <c r="C500" s="2445"/>
      <c r="D500" s="2445"/>
      <c r="E500" s="2445"/>
      <c r="F500" s="2445"/>
      <c r="G500" s="2445"/>
      <c r="H500" s="2445"/>
      <c r="I500" s="2455"/>
      <c r="J500" s="2610"/>
    </row>
    <row r="501" spans="1:10" ht="15" customHeight="1">
      <c r="A501" s="2452" t="s">
        <v>2611</v>
      </c>
      <c r="B501" s="2451"/>
      <c r="C501" s="2451"/>
      <c r="D501" s="2451"/>
      <c r="E501" s="2451"/>
      <c r="F501" s="2451"/>
      <c r="G501" s="2451"/>
      <c r="H501" s="2451"/>
      <c r="I501" s="2453"/>
      <c r="J501" s="2610"/>
    </row>
    <row r="502" spans="1:10" ht="15" customHeight="1">
      <c r="A502" s="2452" t="s">
        <v>2612</v>
      </c>
      <c r="B502" s="2451"/>
      <c r="C502" s="2451"/>
      <c r="D502" s="2451"/>
      <c r="E502" s="2451"/>
      <c r="F502" s="2451"/>
      <c r="G502" s="2451"/>
      <c r="H502" s="2451"/>
      <c r="I502" s="2453"/>
      <c r="J502" s="2610"/>
    </row>
    <row r="503" spans="1:10" ht="15" customHeight="1">
      <c r="A503" s="2452"/>
      <c r="B503" s="2451"/>
      <c r="C503" s="2451"/>
      <c r="D503" s="2451"/>
      <c r="E503" s="2451"/>
      <c r="F503" s="2451"/>
      <c r="G503" s="2451"/>
      <c r="H503" s="2451"/>
      <c r="I503" s="2453"/>
      <c r="J503" s="2610"/>
    </row>
    <row r="504" spans="1:10" ht="15" customHeight="1">
      <c r="A504" s="2492"/>
      <c r="B504" s="2464"/>
      <c r="C504" s="2464"/>
      <c r="D504" s="2464"/>
      <c r="E504" s="2464"/>
      <c r="F504" s="2464"/>
      <c r="G504" s="2464"/>
      <c r="H504" s="2464"/>
      <c r="I504" s="2458"/>
      <c r="J504" s="2610"/>
    </row>
    <row r="505" spans="1:10" ht="14.1" customHeight="1">
      <c r="A505" s="2462"/>
      <c r="B505" s="2463" t="s">
        <v>3026</v>
      </c>
      <c r="C505" s="2463" t="s">
        <v>94</v>
      </c>
      <c r="D505" s="2463" t="s">
        <v>3022</v>
      </c>
      <c r="E505" s="2463" t="s">
        <v>2820</v>
      </c>
      <c r="F505" s="2463" t="s">
        <v>3021</v>
      </c>
      <c r="G505" s="2463" t="s">
        <v>2821</v>
      </c>
      <c r="H505" s="2463" t="s">
        <v>2822</v>
      </c>
      <c r="I505" s="2461" t="s">
        <v>930</v>
      </c>
      <c r="J505" s="2610"/>
    </row>
    <row r="506" spans="1:10" ht="14.1" customHeight="1">
      <c r="A506" s="2462" t="s">
        <v>1939</v>
      </c>
      <c r="B506" s="2463" t="s">
        <v>4226</v>
      </c>
      <c r="C506" s="2463"/>
      <c r="D506" s="2463" t="s">
        <v>2823</v>
      </c>
      <c r="E506" s="2463" t="s">
        <v>4398</v>
      </c>
      <c r="F506" s="2463" t="s">
        <v>4398</v>
      </c>
      <c r="G506" s="2463" t="s">
        <v>4398</v>
      </c>
      <c r="H506" s="2463" t="s">
        <v>4399</v>
      </c>
      <c r="I506" s="2461" t="s">
        <v>931</v>
      </c>
      <c r="J506" s="2610"/>
    </row>
    <row r="507" spans="1:10" ht="14.1" customHeight="1">
      <c r="A507" s="2462" t="s">
        <v>1941</v>
      </c>
      <c r="B507" s="2463" t="s">
        <v>4400</v>
      </c>
      <c r="C507" s="2463"/>
      <c r="D507" s="2463" t="s">
        <v>4401</v>
      </c>
      <c r="E507" s="2463"/>
      <c r="F507" s="2463" t="s">
        <v>4402</v>
      </c>
      <c r="G507" s="2463" t="s">
        <v>3039</v>
      </c>
      <c r="H507" s="2463" t="s">
        <v>4403</v>
      </c>
      <c r="I507" s="2461"/>
      <c r="J507" s="2610"/>
    </row>
    <row r="508" spans="1:10" ht="14.1" customHeight="1">
      <c r="A508" s="2462"/>
      <c r="B508" s="2463" t="s">
        <v>932</v>
      </c>
      <c r="C508" s="2463" t="s">
        <v>933</v>
      </c>
      <c r="D508" s="2463" t="s">
        <v>934</v>
      </c>
      <c r="E508" s="2463" t="s">
        <v>935</v>
      </c>
      <c r="F508" s="2463" t="s">
        <v>936</v>
      </c>
      <c r="G508" s="2463" t="s">
        <v>937</v>
      </c>
      <c r="H508" s="2463" t="s">
        <v>938</v>
      </c>
      <c r="I508" s="2461" t="s">
        <v>939</v>
      </c>
      <c r="J508" s="2610"/>
    </row>
    <row r="509" spans="1:10" ht="14.1" customHeight="1">
      <c r="A509" s="2492">
        <v>1</v>
      </c>
      <c r="B509" s="2595" t="s">
        <v>2568</v>
      </c>
      <c r="C509" s="2596" t="s">
        <v>3207</v>
      </c>
      <c r="D509" s="2611" t="s">
        <v>852</v>
      </c>
      <c r="E509" s="2597">
        <v>2</v>
      </c>
      <c r="F509" s="2597"/>
      <c r="G509" s="2597"/>
      <c r="H509" s="2597"/>
      <c r="I509" s="2598" t="s">
        <v>987</v>
      </c>
      <c r="J509" s="2610"/>
    </row>
    <row r="510" spans="1:10" ht="14.1" customHeight="1">
      <c r="A510" s="2462">
        <v>2</v>
      </c>
      <c r="B510" s="2599" t="s">
        <v>1498</v>
      </c>
      <c r="C510" s="2600" t="s">
        <v>4613</v>
      </c>
      <c r="D510" s="2601">
        <v>1994</v>
      </c>
      <c r="E510" s="2601">
        <v>1</v>
      </c>
      <c r="F510" s="2601"/>
      <c r="G510" s="2601"/>
      <c r="H510" s="2601"/>
      <c r="I510" s="2602" t="s">
        <v>4390</v>
      </c>
      <c r="J510" s="2610"/>
    </row>
    <row r="511" spans="1:10" ht="14.1" customHeight="1">
      <c r="A511" s="2462">
        <v>3</v>
      </c>
      <c r="B511" s="2599" t="s">
        <v>1498</v>
      </c>
      <c r="C511" s="2600" t="s">
        <v>3208</v>
      </c>
      <c r="D511" s="2601">
        <v>1990</v>
      </c>
      <c r="E511" s="2601">
        <v>1</v>
      </c>
      <c r="F511" s="2601"/>
      <c r="G511" s="2601"/>
      <c r="H511" s="2601"/>
      <c r="I511" s="2602" t="s">
        <v>987</v>
      </c>
      <c r="J511" s="2610"/>
    </row>
    <row r="512" spans="1:10" ht="14.1" customHeight="1">
      <c r="A512" s="2462">
        <v>4</v>
      </c>
      <c r="B512" s="2599" t="s">
        <v>1498</v>
      </c>
      <c r="C512" s="2600" t="s">
        <v>3209</v>
      </c>
      <c r="D512" s="2601">
        <v>1975</v>
      </c>
      <c r="E512" s="2601">
        <v>1</v>
      </c>
      <c r="F512" s="2601"/>
      <c r="G512" s="2601"/>
      <c r="H512" s="2601"/>
      <c r="I512" s="2602" t="s">
        <v>4390</v>
      </c>
      <c r="J512" s="2610"/>
    </row>
    <row r="513" spans="1:10" ht="14.1" customHeight="1">
      <c r="A513" s="2462">
        <v>5</v>
      </c>
      <c r="B513" s="2599" t="s">
        <v>1498</v>
      </c>
      <c r="C513" s="2600" t="s">
        <v>4614</v>
      </c>
      <c r="D513" s="2601">
        <v>1973</v>
      </c>
      <c r="E513" s="2463">
        <v>1</v>
      </c>
      <c r="F513" s="2463"/>
      <c r="G513" s="2463"/>
      <c r="H513" s="2463"/>
      <c r="I513" s="2602" t="s">
        <v>987</v>
      </c>
      <c r="J513" s="2610"/>
    </row>
    <row r="514" spans="1:10" ht="14.1" customHeight="1">
      <c r="A514" s="2462">
        <v>6</v>
      </c>
      <c r="B514" s="2599" t="s">
        <v>1498</v>
      </c>
      <c r="C514" s="2600" t="s">
        <v>4615</v>
      </c>
      <c r="D514" s="2601">
        <v>1973</v>
      </c>
      <c r="E514" s="2463">
        <v>1</v>
      </c>
      <c r="F514" s="2463"/>
      <c r="G514" s="2463"/>
      <c r="H514" s="2463"/>
      <c r="I514" s="2602" t="s">
        <v>4390</v>
      </c>
      <c r="J514" s="2610"/>
    </row>
    <row r="515" spans="1:10" ht="14.1" customHeight="1">
      <c r="A515" s="2462">
        <v>7</v>
      </c>
      <c r="B515" s="2463"/>
      <c r="C515" s="2463"/>
      <c r="D515" s="2463"/>
      <c r="E515" s="2463"/>
      <c r="F515" s="2463"/>
      <c r="G515" s="2463"/>
      <c r="H515" s="2463"/>
      <c r="I515" s="2461"/>
      <c r="J515" s="2610"/>
    </row>
    <row r="516" spans="1:10" ht="14.1" customHeight="1">
      <c r="A516" s="2462">
        <v>8</v>
      </c>
      <c r="B516" s="2463"/>
      <c r="C516" s="2463"/>
      <c r="D516" s="2463"/>
      <c r="E516" s="2463"/>
      <c r="F516" s="2463"/>
      <c r="G516" s="2463"/>
      <c r="H516" s="2463"/>
      <c r="I516" s="2461"/>
      <c r="J516" s="2610"/>
    </row>
    <row r="517" spans="1:10" ht="14.1" customHeight="1">
      <c r="A517" s="2462">
        <v>9</v>
      </c>
      <c r="B517" s="2463"/>
      <c r="C517" s="2463"/>
      <c r="D517" s="2463"/>
      <c r="E517" s="2463"/>
      <c r="F517" s="2463"/>
      <c r="G517" s="2463"/>
      <c r="H517" s="2463"/>
      <c r="I517" s="2461"/>
      <c r="J517" s="2610"/>
    </row>
    <row r="518" spans="1:10" ht="15" customHeight="1">
      <c r="A518" s="2492">
        <v>10</v>
      </c>
      <c r="B518" s="2464" t="s">
        <v>940</v>
      </c>
      <c r="C518" s="2464"/>
      <c r="D518" s="2464"/>
      <c r="E518" s="2464"/>
      <c r="F518" s="2464"/>
      <c r="G518" s="2464"/>
      <c r="H518" s="2464"/>
      <c r="I518" s="2458"/>
      <c r="J518" s="2610"/>
    </row>
    <row r="519" spans="1:10" ht="15" customHeight="1">
      <c r="A519" s="2454"/>
      <c r="B519" s="2445" t="s">
        <v>941</v>
      </c>
      <c r="C519" s="2445"/>
      <c r="D519" s="2445"/>
      <c r="E519" s="2445"/>
      <c r="F519" s="2445"/>
      <c r="G519" s="2445"/>
      <c r="H519" s="2445"/>
      <c r="I519" s="2455"/>
      <c r="J519" s="2610"/>
    </row>
    <row r="520" spans="1:10" ht="15" customHeight="1">
      <c r="A520" s="2452"/>
      <c r="B520" s="2451"/>
      <c r="C520" s="2451"/>
      <c r="D520" s="2451"/>
      <c r="E520" s="2451"/>
      <c r="F520" s="2451"/>
      <c r="G520" s="2451"/>
      <c r="H520" s="2451"/>
      <c r="I520" s="2453"/>
      <c r="J520" s="2610"/>
    </row>
    <row r="521" spans="1:10" ht="15" customHeight="1">
      <c r="A521" s="2490" t="s">
        <v>3634</v>
      </c>
      <c r="B521" s="2460"/>
      <c r="C521" s="2460"/>
      <c r="D521" s="2460"/>
      <c r="E521" s="2460"/>
      <c r="F521" s="2460"/>
      <c r="G521" s="2460"/>
      <c r="H521" s="2460"/>
      <c r="I521" s="2491"/>
      <c r="J521" s="2610"/>
    </row>
    <row r="522" spans="1:10" ht="15" customHeight="1">
      <c r="A522" s="2452" t="s">
        <v>2348</v>
      </c>
      <c r="B522" s="2451"/>
      <c r="C522" s="2451"/>
      <c r="D522" s="2451"/>
      <c r="E522" s="2451"/>
      <c r="F522" s="2451"/>
      <c r="G522" s="2451"/>
      <c r="H522" s="2451"/>
      <c r="I522" s="2453"/>
      <c r="J522" s="2610"/>
    </row>
    <row r="523" spans="1:10" ht="15" customHeight="1">
      <c r="A523" s="2452" t="s">
        <v>4346</v>
      </c>
      <c r="B523" s="2451"/>
      <c r="C523" s="2451"/>
      <c r="D523" s="2451"/>
      <c r="E523" s="2451" t="s">
        <v>2349</v>
      </c>
      <c r="F523" s="2451"/>
      <c r="G523" s="2451"/>
      <c r="H523" s="2451"/>
      <c r="I523" s="2453"/>
      <c r="J523" s="2610"/>
    </row>
    <row r="524" spans="1:10" ht="15" customHeight="1">
      <c r="A524" s="2452"/>
      <c r="B524" s="2451"/>
      <c r="C524" s="2451"/>
      <c r="D524" s="2451"/>
      <c r="E524" s="2451" t="s">
        <v>1004</v>
      </c>
      <c r="F524" s="2451"/>
      <c r="G524" s="2451"/>
      <c r="H524" s="2451"/>
      <c r="I524" s="2453"/>
      <c r="J524" s="2610"/>
    </row>
    <row r="525" spans="1:10" ht="15" customHeight="1">
      <c r="A525" s="2452" t="s">
        <v>1744</v>
      </c>
      <c r="B525" s="2451"/>
      <c r="C525" s="2451"/>
      <c r="D525" s="2451"/>
      <c r="E525" s="2451"/>
      <c r="F525" s="2451"/>
      <c r="G525" s="2451"/>
      <c r="H525" s="2451"/>
      <c r="I525" s="2453"/>
      <c r="J525" s="2610"/>
    </row>
    <row r="526" spans="1:10" ht="15" customHeight="1">
      <c r="A526" s="2452" t="s">
        <v>1005</v>
      </c>
      <c r="B526" s="2451"/>
      <c r="C526" s="2451"/>
      <c r="D526" s="2451"/>
      <c r="E526" s="2451" t="s">
        <v>848</v>
      </c>
      <c r="F526" s="2451"/>
      <c r="G526" s="2451"/>
      <c r="H526" s="2451"/>
      <c r="I526" s="2453"/>
      <c r="J526" s="2610"/>
    </row>
    <row r="527" spans="1:10" ht="15" customHeight="1">
      <c r="A527" s="2452"/>
      <c r="B527" s="2451"/>
      <c r="C527" s="2451"/>
      <c r="D527" s="2451"/>
      <c r="E527" s="2451" t="s">
        <v>1737</v>
      </c>
      <c r="F527" s="2451"/>
      <c r="G527" s="2451"/>
      <c r="H527" s="2451"/>
      <c r="I527" s="2453"/>
      <c r="J527" s="2610"/>
    </row>
    <row r="528" spans="1:10" ht="14.1" customHeight="1">
      <c r="A528" s="2452" t="s">
        <v>849</v>
      </c>
      <c r="B528" s="2451"/>
      <c r="C528" s="2451"/>
      <c r="D528" s="2451"/>
      <c r="E528" s="2451"/>
      <c r="F528" s="2451"/>
      <c r="G528" s="2451"/>
      <c r="H528" s="2451"/>
      <c r="I528" s="2453"/>
      <c r="J528" s="2610"/>
    </row>
    <row r="529" spans="1:10" ht="14.1" customHeight="1">
      <c r="A529" s="2452" t="s">
        <v>4345</v>
      </c>
      <c r="B529" s="2451"/>
      <c r="C529" s="2451"/>
      <c r="D529" s="2451"/>
      <c r="E529" s="2451"/>
      <c r="F529" s="2451"/>
      <c r="G529" s="2451"/>
      <c r="H529" s="2451"/>
      <c r="I529" s="2453"/>
      <c r="J529" s="2610"/>
    </row>
    <row r="530" spans="1:10" ht="14.1" customHeight="1">
      <c r="A530" s="2452"/>
      <c r="B530" s="2451"/>
      <c r="C530" s="2451"/>
      <c r="D530" s="2451"/>
      <c r="E530" s="2451"/>
      <c r="F530" s="2451"/>
      <c r="G530" s="2451"/>
      <c r="H530" s="2451"/>
      <c r="I530" s="2453"/>
      <c r="J530" s="2610"/>
    </row>
    <row r="531" spans="1:10" ht="14.1" customHeight="1">
      <c r="A531" s="2492"/>
      <c r="B531" s="2464"/>
      <c r="C531" s="2464"/>
      <c r="D531" s="2464"/>
      <c r="E531" s="2464" t="s">
        <v>1738</v>
      </c>
      <c r="F531" s="2464"/>
      <c r="G531" s="2464"/>
      <c r="H531" s="2580"/>
      <c r="I531" s="2458"/>
      <c r="J531" s="2610"/>
    </row>
    <row r="532" spans="1:10" ht="14.1" customHeight="1">
      <c r="A532" s="2462" t="s">
        <v>1939</v>
      </c>
      <c r="B532" s="2463" t="s">
        <v>1739</v>
      </c>
      <c r="C532" s="2463" t="s">
        <v>3754</v>
      </c>
      <c r="D532" s="2463"/>
      <c r="E532" s="2463"/>
      <c r="F532" s="2463"/>
      <c r="G532" s="2463"/>
      <c r="H532" s="2516"/>
      <c r="I532" s="2461"/>
      <c r="J532" s="2610"/>
    </row>
    <row r="533" spans="1:10" ht="14.1" customHeight="1">
      <c r="A533" s="2462" t="s">
        <v>1941</v>
      </c>
      <c r="B533" s="2463"/>
      <c r="C533" s="2463" t="s">
        <v>1874</v>
      </c>
      <c r="D533" s="2463" t="s">
        <v>3032</v>
      </c>
      <c r="E533" s="2463" t="s">
        <v>1875</v>
      </c>
      <c r="F533" s="2463" t="s">
        <v>1876</v>
      </c>
      <c r="G533" s="2459" t="s">
        <v>1877</v>
      </c>
      <c r="H533" s="2460"/>
      <c r="I533" s="2461" t="s">
        <v>4031</v>
      </c>
      <c r="J533" s="2610"/>
    </row>
    <row r="534" spans="1:10" ht="14.1" customHeight="1">
      <c r="A534" s="2462"/>
      <c r="B534" s="2463"/>
      <c r="C534" s="2463"/>
      <c r="D534" s="2463"/>
      <c r="E534" s="2463"/>
      <c r="F534" s="2463"/>
      <c r="G534" s="2459"/>
      <c r="H534" s="2460"/>
      <c r="I534" s="2461"/>
      <c r="J534" s="2610"/>
    </row>
    <row r="535" spans="1:10" ht="14.1" customHeight="1">
      <c r="A535" s="2462"/>
      <c r="B535" s="2463" t="s">
        <v>932</v>
      </c>
      <c r="C535" s="2463" t="s">
        <v>933</v>
      </c>
      <c r="D535" s="2463" t="s">
        <v>934</v>
      </c>
      <c r="E535" s="2463" t="s">
        <v>935</v>
      </c>
      <c r="F535" s="2463" t="s">
        <v>936</v>
      </c>
      <c r="G535" s="2459" t="s">
        <v>937</v>
      </c>
      <c r="H535" s="2460"/>
      <c r="I535" s="2461" t="s">
        <v>938</v>
      </c>
      <c r="J535" s="2610"/>
    </row>
    <row r="536" spans="1:10" ht="14.1" customHeight="1">
      <c r="A536" s="2492">
        <v>23</v>
      </c>
      <c r="B536" s="2444" t="s">
        <v>3212</v>
      </c>
      <c r="C536" s="2464"/>
      <c r="D536" s="2444"/>
      <c r="E536" s="2444"/>
      <c r="F536" s="2444"/>
      <c r="G536" s="2444"/>
      <c r="H536" s="2444"/>
      <c r="I536" s="2507"/>
      <c r="J536" s="2610"/>
    </row>
    <row r="537" spans="1:10" ht="14.1" customHeight="1">
      <c r="A537" s="2462">
        <v>24</v>
      </c>
      <c r="B537" s="2446" t="s">
        <v>3213</v>
      </c>
      <c r="C537" s="2463"/>
      <c r="D537" s="2446"/>
      <c r="E537" s="2446"/>
      <c r="F537" s="2446"/>
      <c r="G537" s="2446"/>
      <c r="H537" s="2446"/>
      <c r="I537" s="2505"/>
      <c r="J537" s="2610"/>
    </row>
    <row r="538" spans="1:10" ht="14.1" customHeight="1">
      <c r="A538" s="2462">
        <v>25</v>
      </c>
      <c r="B538" s="2446" t="s">
        <v>3214</v>
      </c>
      <c r="C538" s="2463"/>
      <c r="D538" s="2446"/>
      <c r="E538" s="2446"/>
      <c r="F538" s="2446"/>
      <c r="G538" s="2446"/>
      <c r="H538" s="2446"/>
      <c r="I538" s="2505"/>
      <c r="J538" s="2610"/>
    </row>
    <row r="539" spans="1:10" ht="14.1" customHeight="1">
      <c r="A539" s="2462">
        <v>26</v>
      </c>
      <c r="B539" s="2446" t="s">
        <v>3215</v>
      </c>
      <c r="C539" s="2463"/>
      <c r="D539" s="2446"/>
      <c r="E539" s="2446"/>
      <c r="F539" s="2446"/>
      <c r="G539" s="2446"/>
      <c r="H539" s="2446"/>
      <c r="I539" s="2505"/>
      <c r="J539" s="2610"/>
    </row>
    <row r="540" spans="1:10" ht="14.1" customHeight="1">
      <c r="A540" s="2462">
        <v>27</v>
      </c>
      <c r="B540" s="2446" t="s">
        <v>3216</v>
      </c>
      <c r="C540" s="2463"/>
      <c r="D540" s="2446"/>
      <c r="E540" s="2446"/>
      <c r="F540" s="2446"/>
      <c r="G540" s="2446"/>
      <c r="H540" s="2446"/>
      <c r="I540" s="2505"/>
      <c r="J540" s="2610"/>
    </row>
    <row r="541" spans="1:10" ht="14.1" customHeight="1">
      <c r="A541" s="2462">
        <v>28</v>
      </c>
      <c r="B541" s="2446" t="s">
        <v>3217</v>
      </c>
      <c r="C541" s="2463"/>
      <c r="D541" s="2446"/>
      <c r="E541" s="2446"/>
      <c r="F541" s="2446"/>
      <c r="G541" s="2446"/>
      <c r="H541" s="2446"/>
      <c r="I541" s="2505"/>
      <c r="J541" s="2610"/>
    </row>
    <row r="542" spans="1:10" ht="14.1" customHeight="1">
      <c r="A542" s="2462">
        <v>29</v>
      </c>
      <c r="B542" s="2601" t="s">
        <v>3218</v>
      </c>
      <c r="C542" s="2607">
        <v>339720</v>
      </c>
      <c r="D542" s="2601" t="s">
        <v>4292</v>
      </c>
      <c r="E542" s="2601" t="s">
        <v>4295</v>
      </c>
      <c r="F542" s="2607">
        <v>4097</v>
      </c>
      <c r="G542" s="2463"/>
      <c r="H542" s="2463"/>
      <c r="I542" s="2461"/>
      <c r="J542" s="2610"/>
    </row>
    <row r="543" spans="1:10" ht="14.1" customHeight="1">
      <c r="A543" s="2462">
        <v>30</v>
      </c>
      <c r="B543" s="2601"/>
      <c r="C543" s="2607"/>
      <c r="D543" s="2601"/>
      <c r="E543" s="2601"/>
      <c r="F543" s="2607"/>
      <c r="G543" s="2463"/>
      <c r="H543" s="2463"/>
      <c r="I543" s="2461"/>
      <c r="J543" s="2610"/>
    </row>
    <row r="544" spans="1:10" ht="14.1" customHeight="1">
      <c r="A544" s="2462">
        <v>31</v>
      </c>
      <c r="B544" s="2601" t="s">
        <v>3219</v>
      </c>
      <c r="C544" s="2607">
        <v>339720</v>
      </c>
      <c r="D544" s="2601" t="s">
        <v>4293</v>
      </c>
      <c r="E544" s="2601" t="s">
        <v>4296</v>
      </c>
      <c r="F544" s="2607">
        <v>122202</v>
      </c>
      <c r="G544" s="2463"/>
      <c r="H544" s="2463"/>
      <c r="I544" s="2461"/>
      <c r="J544" s="2610"/>
    </row>
    <row r="545" spans="1:10" ht="15" customHeight="1">
      <c r="A545" s="2462">
        <v>32</v>
      </c>
      <c r="B545" s="2601" t="s">
        <v>3220</v>
      </c>
      <c r="C545" s="2607">
        <v>339720</v>
      </c>
      <c r="D545" s="2601" t="s">
        <v>4294</v>
      </c>
      <c r="E545" s="2601" t="s">
        <v>4296</v>
      </c>
      <c r="F545" s="2607">
        <v>56650</v>
      </c>
      <c r="G545" s="2463"/>
      <c r="H545" s="2463"/>
      <c r="I545" s="2461"/>
      <c r="J545" s="2610"/>
    </row>
    <row r="546" spans="1:10" ht="15" customHeight="1">
      <c r="A546" s="2462">
        <v>33</v>
      </c>
      <c r="B546" s="2446"/>
      <c r="C546" s="2607"/>
      <c r="D546" s="2446"/>
      <c r="E546" s="2446"/>
      <c r="F546" s="2608"/>
      <c r="G546" s="2446"/>
      <c r="H546" s="2446"/>
      <c r="I546" s="2505"/>
      <c r="J546" s="2610"/>
    </row>
    <row r="547" spans="1:10" ht="15" customHeight="1">
      <c r="A547" s="2462">
        <v>34</v>
      </c>
      <c r="B547" s="2446" t="s">
        <v>3221</v>
      </c>
      <c r="C547" s="2607">
        <v>339720</v>
      </c>
      <c r="D547" s="2446"/>
      <c r="E547" s="2446"/>
      <c r="F547" s="2446"/>
      <c r="G547" s="2446"/>
      <c r="H547" s="2446"/>
      <c r="I547" s="2505"/>
      <c r="J547" s="2610"/>
    </row>
    <row r="548" spans="1:10" ht="15" customHeight="1">
      <c r="A548" s="2462">
        <v>35</v>
      </c>
      <c r="B548" s="2446" t="s">
        <v>3222</v>
      </c>
      <c r="C548" s="2607"/>
      <c r="D548" s="2446"/>
      <c r="E548" s="2446"/>
      <c r="F548" s="2446"/>
      <c r="G548" s="2446"/>
      <c r="H548" s="2446"/>
      <c r="I548" s="2505"/>
      <c r="J548" s="2610"/>
    </row>
    <row r="549" spans="1:10" ht="15" customHeight="1" thickBot="1">
      <c r="A549" s="2499">
        <v>36</v>
      </c>
      <c r="B549" s="2501" t="s">
        <v>3753</v>
      </c>
      <c r="C549" s="2609">
        <v>339720</v>
      </c>
      <c r="D549" s="2609"/>
      <c r="E549" s="2501"/>
      <c r="F549" s="2501"/>
      <c r="G549" s="2501"/>
      <c r="H549" s="2501"/>
      <c r="I549" s="2502"/>
      <c r="J549" s="2610"/>
    </row>
    <row r="550" spans="1:10" ht="15" customHeight="1">
      <c r="A550" s="2449" t="s">
        <v>3184</v>
      </c>
      <c r="B550" s="2449"/>
      <c r="C550" s="2449"/>
      <c r="D550" s="2592" t="s">
        <v>1416</v>
      </c>
      <c r="E550" s="2449"/>
      <c r="F550" s="2449"/>
      <c r="G550" s="2449"/>
      <c r="H550" s="2449"/>
      <c r="I550" s="2449"/>
    </row>
    <row r="551" spans="1:10" ht="15" customHeight="1" thickBot="1">
      <c r="A551" s="2444" t="str">
        <f>+A1</f>
        <v>Annual Report of New York American Water Company, Inc. (f/k/a Long Island Water Corp)                                   Year Ended  December 31, 2013</v>
      </c>
    </row>
    <row r="552" spans="1:10" ht="15" customHeight="1">
      <c r="A552" s="2448"/>
      <c r="B552" s="2449"/>
      <c r="C552" s="2449"/>
      <c r="D552" s="2449"/>
      <c r="E552" s="2449"/>
      <c r="F552" s="2449"/>
      <c r="G552" s="2449"/>
      <c r="H552" s="2449"/>
      <c r="I552" s="2450"/>
      <c r="J552" s="2610"/>
    </row>
    <row r="553" spans="1:10" ht="15" customHeight="1">
      <c r="A553" s="2490" t="s">
        <v>3940</v>
      </c>
      <c r="B553" s="2460"/>
      <c r="C553" s="2460"/>
      <c r="D553" s="2460"/>
      <c r="E553" s="2460"/>
      <c r="F553" s="2460"/>
      <c r="G553" s="2460"/>
      <c r="H553" s="2460"/>
      <c r="I553" s="2491"/>
      <c r="J553" s="2610"/>
    </row>
    <row r="554" spans="1:10" ht="15" customHeight="1">
      <c r="A554" s="2452"/>
      <c r="B554" s="2451"/>
      <c r="C554" s="2451"/>
      <c r="D554" s="2451"/>
      <c r="E554" s="2451"/>
      <c r="F554" s="2451"/>
      <c r="G554" s="2451"/>
      <c r="H554" s="2451"/>
      <c r="I554" s="2453"/>
      <c r="J554" s="2610"/>
    </row>
    <row r="555" spans="1:10" ht="15" customHeight="1">
      <c r="A555" s="2454"/>
      <c r="B555" s="2445"/>
      <c r="C555" s="2445"/>
      <c r="D555" s="2445"/>
      <c r="E555" s="2445"/>
      <c r="F555" s="2445"/>
      <c r="G555" s="2445"/>
      <c r="H555" s="2445"/>
      <c r="I555" s="2455"/>
      <c r="J555" s="2610"/>
    </row>
    <row r="556" spans="1:10" ht="15" customHeight="1">
      <c r="A556" s="2452" t="s">
        <v>2611</v>
      </c>
      <c r="B556" s="2451"/>
      <c r="C556" s="2451"/>
      <c r="D556" s="2451"/>
      <c r="E556" s="2451"/>
      <c r="F556" s="2451"/>
      <c r="G556" s="2451"/>
      <c r="H556" s="2451"/>
      <c r="I556" s="2453"/>
      <c r="J556" s="2610"/>
    </row>
    <row r="557" spans="1:10" ht="15" customHeight="1">
      <c r="A557" s="2452" t="s">
        <v>2612</v>
      </c>
      <c r="B557" s="2451"/>
      <c r="C557" s="2451"/>
      <c r="D557" s="2451"/>
      <c r="E557" s="2451"/>
      <c r="F557" s="2451"/>
      <c r="G557" s="2451"/>
      <c r="H557" s="2451"/>
      <c r="I557" s="2453"/>
      <c r="J557" s="2610"/>
    </row>
    <row r="558" spans="1:10" ht="15" customHeight="1">
      <c r="A558" s="2452"/>
      <c r="B558" s="2451"/>
      <c r="C558" s="2451"/>
      <c r="D558" s="2451"/>
      <c r="E558" s="2451"/>
      <c r="F558" s="2451"/>
      <c r="G558" s="2451"/>
      <c r="H558" s="2451"/>
      <c r="I558" s="2453"/>
      <c r="J558" s="2610"/>
    </row>
    <row r="559" spans="1:10" ht="15" customHeight="1">
      <c r="A559" s="2492"/>
      <c r="B559" s="2464"/>
      <c r="C559" s="2464"/>
      <c r="D559" s="2464"/>
      <c r="E559" s="2464"/>
      <c r="F559" s="2464"/>
      <c r="G559" s="2464"/>
      <c r="H559" s="2464"/>
      <c r="I559" s="2458"/>
      <c r="J559" s="2610"/>
    </row>
    <row r="560" spans="1:10" ht="15" customHeight="1">
      <c r="A560" s="2462"/>
      <c r="B560" s="2463" t="s">
        <v>3026</v>
      </c>
      <c r="C560" s="2463" t="s">
        <v>94</v>
      </c>
      <c r="D560" s="2463" t="s">
        <v>3022</v>
      </c>
      <c r="E560" s="2463" t="s">
        <v>2820</v>
      </c>
      <c r="F560" s="2463" t="s">
        <v>3021</v>
      </c>
      <c r="G560" s="2463" t="s">
        <v>2821</v>
      </c>
      <c r="H560" s="2463" t="s">
        <v>2822</v>
      </c>
      <c r="I560" s="2461" t="s">
        <v>930</v>
      </c>
      <c r="J560" s="2610"/>
    </row>
    <row r="561" spans="1:10" ht="14.1" customHeight="1">
      <c r="A561" s="2462" t="s">
        <v>1939</v>
      </c>
      <c r="B561" s="2463" t="s">
        <v>4226</v>
      </c>
      <c r="C561" s="2463"/>
      <c r="D561" s="2463" t="s">
        <v>2823</v>
      </c>
      <c r="E561" s="2463" t="s">
        <v>4398</v>
      </c>
      <c r="F561" s="2463" t="s">
        <v>4398</v>
      </c>
      <c r="G561" s="2463" t="s">
        <v>4398</v>
      </c>
      <c r="H561" s="2463" t="s">
        <v>4399</v>
      </c>
      <c r="I561" s="2461" t="s">
        <v>931</v>
      </c>
      <c r="J561" s="2610"/>
    </row>
    <row r="562" spans="1:10" ht="14.1" customHeight="1">
      <c r="A562" s="2462" t="s">
        <v>1941</v>
      </c>
      <c r="B562" s="2463" t="s">
        <v>4400</v>
      </c>
      <c r="C562" s="2463"/>
      <c r="D562" s="2463" t="s">
        <v>4401</v>
      </c>
      <c r="E562" s="2463"/>
      <c r="F562" s="2463" t="s">
        <v>4402</v>
      </c>
      <c r="G562" s="2463" t="s">
        <v>3039</v>
      </c>
      <c r="H562" s="2463" t="s">
        <v>4617</v>
      </c>
      <c r="I562" s="2461"/>
      <c r="J562" s="2610"/>
    </row>
    <row r="563" spans="1:10" ht="14.1" customHeight="1">
      <c r="A563" s="2462"/>
      <c r="B563" s="2463" t="s">
        <v>932</v>
      </c>
      <c r="C563" s="2463" t="s">
        <v>933</v>
      </c>
      <c r="D563" s="2463" t="s">
        <v>934</v>
      </c>
      <c r="E563" s="2463" t="s">
        <v>935</v>
      </c>
      <c r="F563" s="2463" t="s">
        <v>936</v>
      </c>
      <c r="G563" s="2463" t="s">
        <v>937</v>
      </c>
      <c r="H563" s="2463" t="s">
        <v>938</v>
      </c>
      <c r="I563" s="2461" t="s">
        <v>939</v>
      </c>
      <c r="J563" s="2610"/>
    </row>
    <row r="564" spans="1:10" ht="14.1" customHeight="1">
      <c r="A564" s="2492">
        <v>1</v>
      </c>
      <c r="B564" s="2595" t="s">
        <v>1399</v>
      </c>
      <c r="C564" s="2596" t="s">
        <v>3207</v>
      </c>
      <c r="D564" s="2611" t="s">
        <v>1400</v>
      </c>
      <c r="E564" s="2597">
        <v>2</v>
      </c>
      <c r="F564" s="2597"/>
      <c r="G564" s="2597"/>
      <c r="H564" s="2597"/>
      <c r="I564" s="2598" t="s">
        <v>987</v>
      </c>
      <c r="J564" s="2610"/>
    </row>
    <row r="565" spans="1:10" ht="14.1" customHeight="1">
      <c r="A565" s="2462">
        <v>2</v>
      </c>
      <c r="B565" s="2599" t="s">
        <v>1401</v>
      </c>
      <c r="C565" s="2600" t="s">
        <v>4613</v>
      </c>
      <c r="D565" s="2601">
        <v>2005</v>
      </c>
      <c r="E565" s="2601">
        <v>3</v>
      </c>
      <c r="F565" s="2601"/>
      <c r="G565" s="2601"/>
      <c r="H565" s="2601"/>
      <c r="I565" s="2602" t="s">
        <v>4390</v>
      </c>
      <c r="J565" s="2610"/>
    </row>
    <row r="566" spans="1:10" ht="14.1" customHeight="1">
      <c r="A566" s="2462">
        <v>3</v>
      </c>
      <c r="B566" s="2599" t="s">
        <v>1401</v>
      </c>
      <c r="C566" s="2600" t="s">
        <v>3208</v>
      </c>
      <c r="D566" s="2601">
        <v>2005</v>
      </c>
      <c r="E566" s="2601">
        <v>1</v>
      </c>
      <c r="F566" s="2601"/>
      <c r="G566" s="2601"/>
      <c r="H566" s="2601"/>
      <c r="I566" s="2602" t="s">
        <v>987</v>
      </c>
      <c r="J566" s="2610"/>
    </row>
    <row r="567" spans="1:10" ht="14.1" customHeight="1">
      <c r="A567" s="2462">
        <v>4</v>
      </c>
      <c r="B567" s="2599" t="s">
        <v>1401</v>
      </c>
      <c r="C567" s="2600" t="s">
        <v>3209</v>
      </c>
      <c r="D567" s="2601">
        <v>2005</v>
      </c>
      <c r="E567" s="2601">
        <v>3</v>
      </c>
      <c r="F567" s="2601"/>
      <c r="G567" s="2601"/>
      <c r="H567" s="2601"/>
      <c r="I567" s="2602" t="s">
        <v>4390</v>
      </c>
      <c r="J567" s="2610"/>
    </row>
    <row r="568" spans="1:10" ht="14.1" customHeight="1">
      <c r="A568" s="2462">
        <v>5</v>
      </c>
      <c r="B568" s="2599" t="s">
        <v>1401</v>
      </c>
      <c r="C568" s="2600" t="s">
        <v>4614</v>
      </c>
      <c r="D568" s="2601">
        <v>1973</v>
      </c>
      <c r="E568" s="2463">
        <v>1</v>
      </c>
      <c r="F568" s="2463"/>
      <c r="G568" s="2463"/>
      <c r="H568" s="2463"/>
      <c r="I568" s="2602" t="s">
        <v>987</v>
      </c>
      <c r="J568" s="2513"/>
    </row>
    <row r="569" spans="1:10" ht="14.1" customHeight="1">
      <c r="A569" s="2462">
        <v>6</v>
      </c>
      <c r="B569" s="2599" t="s">
        <v>1401</v>
      </c>
      <c r="C569" s="2600" t="s">
        <v>4615</v>
      </c>
      <c r="D569" s="2601">
        <v>2005</v>
      </c>
      <c r="E569" s="2463">
        <v>3</v>
      </c>
      <c r="F569" s="2463"/>
      <c r="G569" s="2463"/>
      <c r="H569" s="2463"/>
      <c r="I569" s="2602" t="s">
        <v>4390</v>
      </c>
      <c r="J569" s="2610"/>
    </row>
    <row r="570" spans="1:10" ht="14.1" customHeight="1">
      <c r="A570" s="2462">
        <v>7</v>
      </c>
      <c r="B570" s="2599" t="s">
        <v>1401</v>
      </c>
      <c r="C570" s="2600" t="s">
        <v>1448</v>
      </c>
      <c r="D570" s="2601">
        <v>2005</v>
      </c>
      <c r="E570" s="2601" t="s">
        <v>4630</v>
      </c>
      <c r="F570" s="2601" t="s">
        <v>4631</v>
      </c>
      <c r="G570" s="2601" t="s">
        <v>4629</v>
      </c>
      <c r="H570" s="2601">
        <v>4000</v>
      </c>
      <c r="I570" s="2602" t="s">
        <v>2141</v>
      </c>
      <c r="J570" s="2610"/>
    </row>
    <row r="571" spans="1:10" ht="14.1" customHeight="1">
      <c r="A571" s="2462">
        <v>8</v>
      </c>
      <c r="B571" s="2463"/>
      <c r="C571" s="2600"/>
      <c r="D571" s="2601"/>
      <c r="E571" s="2463"/>
      <c r="F571" s="2463"/>
      <c r="G571" s="2463"/>
      <c r="H571" s="2463"/>
      <c r="I571" s="2602"/>
      <c r="J571" s="2610"/>
    </row>
    <row r="572" spans="1:10" ht="14.1" customHeight="1">
      <c r="A572" s="2462">
        <v>9</v>
      </c>
      <c r="B572" s="2463"/>
      <c r="C572" s="2600"/>
      <c r="D572" s="2601"/>
      <c r="E572" s="2463"/>
      <c r="F572" s="2463"/>
      <c r="G572" s="2463"/>
      <c r="H572" s="2463"/>
      <c r="I572" s="2602"/>
      <c r="J572" s="2610"/>
    </row>
    <row r="573" spans="1:10" ht="14.1" customHeight="1">
      <c r="A573" s="2492">
        <v>10</v>
      </c>
      <c r="B573" s="2464" t="s">
        <v>940</v>
      </c>
      <c r="C573" s="2464"/>
      <c r="D573" s="2464"/>
      <c r="E573" s="2464"/>
      <c r="F573" s="2464"/>
      <c r="G573" s="2464"/>
      <c r="H573" s="2464"/>
      <c r="I573" s="2458"/>
      <c r="J573" s="2610"/>
    </row>
    <row r="574" spans="1:10" ht="15" customHeight="1">
      <c r="A574" s="2454"/>
      <c r="B574" s="2445" t="s">
        <v>941</v>
      </c>
      <c r="C574" s="2445"/>
      <c r="D574" s="2445"/>
      <c r="E574" s="2445"/>
      <c r="F574" s="2445"/>
      <c r="G574" s="2445"/>
      <c r="H574" s="2445"/>
      <c r="I574" s="2455"/>
      <c r="J574" s="2610"/>
    </row>
    <row r="575" spans="1:10" ht="15" customHeight="1">
      <c r="A575" s="2452"/>
      <c r="B575" s="2451"/>
      <c r="C575" s="2451"/>
      <c r="D575" s="2451"/>
      <c r="E575" s="2451"/>
      <c r="F575" s="2451"/>
      <c r="G575" s="2451"/>
      <c r="H575" s="2451"/>
      <c r="I575" s="2453"/>
      <c r="J575" s="2610"/>
    </row>
    <row r="576" spans="1:10" ht="15" customHeight="1">
      <c r="A576" s="2490" t="s">
        <v>3634</v>
      </c>
      <c r="B576" s="2460"/>
      <c r="C576" s="2460"/>
      <c r="D576" s="2460"/>
      <c r="E576" s="2460"/>
      <c r="F576" s="2460"/>
      <c r="G576" s="2460"/>
      <c r="H576" s="2460"/>
      <c r="I576" s="2491"/>
      <c r="J576" s="2610"/>
    </row>
    <row r="577" spans="1:10" ht="15" customHeight="1">
      <c r="A577" s="2452" t="s">
        <v>2348</v>
      </c>
      <c r="B577" s="2451"/>
      <c r="C577" s="2451"/>
      <c r="D577" s="2451"/>
      <c r="E577" s="2451"/>
      <c r="F577" s="2451"/>
      <c r="G577" s="2451"/>
      <c r="H577" s="2451"/>
      <c r="I577" s="2453"/>
      <c r="J577" s="2610"/>
    </row>
    <row r="578" spans="1:10" ht="15" customHeight="1">
      <c r="A578" s="2452" t="s">
        <v>4346</v>
      </c>
      <c r="B578" s="2451"/>
      <c r="C578" s="2451"/>
      <c r="D578" s="2451"/>
      <c r="E578" s="2451" t="s">
        <v>2349</v>
      </c>
      <c r="F578" s="2451"/>
      <c r="G578" s="2451"/>
      <c r="H578" s="2451"/>
      <c r="I578" s="2453"/>
      <c r="J578" s="2610"/>
    </row>
    <row r="579" spans="1:10" ht="15" customHeight="1">
      <c r="A579" s="2452"/>
      <c r="B579" s="2451"/>
      <c r="C579" s="2451"/>
      <c r="D579" s="2451"/>
      <c r="E579" s="2451" t="s">
        <v>1004</v>
      </c>
      <c r="F579" s="2451"/>
      <c r="G579" s="2451"/>
      <c r="H579" s="2451"/>
      <c r="I579" s="2453"/>
      <c r="J579" s="2610"/>
    </row>
    <row r="580" spans="1:10" ht="15" customHeight="1">
      <c r="A580" s="2452" t="s">
        <v>1744</v>
      </c>
      <c r="B580" s="2451"/>
      <c r="C580" s="2451"/>
      <c r="D580" s="2451"/>
      <c r="E580" s="2451"/>
      <c r="F580" s="2451"/>
      <c r="G580" s="2451"/>
      <c r="H580" s="2451"/>
      <c r="I580" s="2453"/>
      <c r="J580" s="2610"/>
    </row>
    <row r="581" spans="1:10" ht="15" customHeight="1">
      <c r="A581" s="2452" t="s">
        <v>1005</v>
      </c>
      <c r="B581" s="2451"/>
      <c r="C581" s="2451"/>
      <c r="D581" s="2451"/>
      <c r="E581" s="2451" t="s">
        <v>848</v>
      </c>
      <c r="F581" s="2451"/>
      <c r="G581" s="2451"/>
      <c r="H581" s="2451"/>
      <c r="I581" s="2453"/>
      <c r="J581" s="2610"/>
    </row>
    <row r="582" spans="1:10" ht="15" customHeight="1">
      <c r="A582" s="2452"/>
      <c r="B582" s="2451"/>
      <c r="C582" s="2451"/>
      <c r="D582" s="2451"/>
      <c r="E582" s="2451" t="s">
        <v>1737</v>
      </c>
      <c r="F582" s="2451"/>
      <c r="G582" s="2451"/>
      <c r="H582" s="2451"/>
      <c r="I582" s="2453"/>
      <c r="J582" s="2610"/>
    </row>
    <row r="583" spans="1:10" ht="15" customHeight="1">
      <c r="A583" s="2452" t="s">
        <v>849</v>
      </c>
      <c r="B583" s="2451"/>
      <c r="C583" s="2451"/>
      <c r="D583" s="2451"/>
      <c r="E583" s="2451"/>
      <c r="F583" s="2451"/>
      <c r="G583" s="2451"/>
      <c r="H583" s="2451"/>
      <c r="I583" s="2453"/>
      <c r="J583" s="2610"/>
    </row>
    <row r="584" spans="1:10" ht="14.1" customHeight="1">
      <c r="A584" s="2452" t="s">
        <v>4345</v>
      </c>
      <c r="B584" s="2451"/>
      <c r="C584" s="2451"/>
      <c r="D584" s="2451"/>
      <c r="E584" s="2451"/>
      <c r="F584" s="2451"/>
      <c r="G584" s="2451"/>
      <c r="H584" s="2451"/>
      <c r="I584" s="2453"/>
      <c r="J584" s="2610"/>
    </row>
    <row r="585" spans="1:10" ht="14.1" customHeight="1">
      <c r="A585" s="2452"/>
      <c r="B585" s="2451"/>
      <c r="C585" s="2451"/>
      <c r="D585" s="2451"/>
      <c r="E585" s="2451"/>
      <c r="F585" s="2451"/>
      <c r="G585" s="2451"/>
      <c r="H585" s="2451"/>
      <c r="I585" s="2453"/>
      <c r="J585" s="2610"/>
    </row>
    <row r="586" spans="1:10" ht="14.1" customHeight="1">
      <c r="A586" s="2492"/>
      <c r="B586" s="2464"/>
      <c r="C586" s="2464"/>
      <c r="D586" s="2464"/>
      <c r="E586" s="2464" t="s">
        <v>1738</v>
      </c>
      <c r="F586" s="2464"/>
      <c r="G586" s="2464"/>
      <c r="H586" s="2580"/>
      <c r="I586" s="2458"/>
      <c r="J586" s="2610"/>
    </row>
    <row r="587" spans="1:10" ht="14.1" customHeight="1">
      <c r="A587" s="2462" t="s">
        <v>1939</v>
      </c>
      <c r="B587" s="2463" t="s">
        <v>1739</v>
      </c>
      <c r="C587" s="2463" t="s">
        <v>3754</v>
      </c>
      <c r="D587" s="2463"/>
      <c r="E587" s="2463"/>
      <c r="F587" s="2463"/>
      <c r="G587" s="2463"/>
      <c r="H587" s="2516"/>
      <c r="I587" s="2461"/>
      <c r="J587" s="2610"/>
    </row>
    <row r="588" spans="1:10" ht="14.1" customHeight="1">
      <c r="A588" s="2462" t="s">
        <v>1941</v>
      </c>
      <c r="B588" s="2463"/>
      <c r="C588" s="2463" t="s">
        <v>1874</v>
      </c>
      <c r="D588" s="2463" t="s">
        <v>3032</v>
      </c>
      <c r="E588" s="2463" t="s">
        <v>1875</v>
      </c>
      <c r="F588" s="2463" t="s">
        <v>1876</v>
      </c>
      <c r="G588" s="2459" t="s">
        <v>1877</v>
      </c>
      <c r="H588" s="2460"/>
      <c r="I588" s="2461" t="s">
        <v>4031</v>
      </c>
      <c r="J588" s="2610"/>
    </row>
    <row r="589" spans="1:10" ht="14.1" customHeight="1">
      <c r="A589" s="2462"/>
      <c r="B589" s="2463"/>
      <c r="C589" s="2463"/>
      <c r="D589" s="2463"/>
      <c r="E589" s="2463"/>
      <c r="F589" s="2463"/>
      <c r="G589" s="2459"/>
      <c r="H589" s="2460"/>
      <c r="I589" s="2461"/>
      <c r="J589" s="2610"/>
    </row>
    <row r="590" spans="1:10" ht="14.1" customHeight="1">
      <c r="A590" s="2462"/>
      <c r="B590" s="2463" t="s">
        <v>932</v>
      </c>
      <c r="C590" s="2463" t="s">
        <v>933</v>
      </c>
      <c r="D590" s="2463" t="s">
        <v>934</v>
      </c>
      <c r="E590" s="2463" t="s">
        <v>935</v>
      </c>
      <c r="F590" s="2463" t="s">
        <v>936</v>
      </c>
      <c r="G590" s="2459" t="s">
        <v>937</v>
      </c>
      <c r="H590" s="2460"/>
      <c r="I590" s="2461" t="s">
        <v>938</v>
      </c>
      <c r="J590" s="2610"/>
    </row>
    <row r="591" spans="1:10" ht="14.1" customHeight="1">
      <c r="A591" s="2492">
        <v>23</v>
      </c>
      <c r="B591" s="2444" t="s">
        <v>3212</v>
      </c>
      <c r="C591" s="2464"/>
      <c r="D591" s="2444"/>
      <c r="E591" s="2444"/>
      <c r="F591" s="2444"/>
      <c r="G591" s="2444"/>
      <c r="H591" s="2444"/>
      <c r="I591" s="2507"/>
      <c r="J591" s="2610"/>
    </row>
    <row r="592" spans="1:10" ht="14.1" customHeight="1">
      <c r="A592" s="2462">
        <v>24</v>
      </c>
      <c r="B592" s="2446" t="s">
        <v>3213</v>
      </c>
      <c r="C592" s="2463"/>
      <c r="D592" s="2446"/>
      <c r="E592" s="2446"/>
      <c r="F592" s="2446"/>
      <c r="G592" s="2446"/>
      <c r="H592" s="2446"/>
      <c r="I592" s="2505"/>
      <c r="J592" s="2610"/>
    </row>
    <row r="593" spans="1:10" ht="14.1" customHeight="1">
      <c r="A593" s="2462">
        <v>25</v>
      </c>
      <c r="B593" s="2446" t="s">
        <v>3214</v>
      </c>
      <c r="C593" s="2463"/>
      <c r="D593" s="2446"/>
      <c r="E593" s="2446"/>
      <c r="F593" s="2446"/>
      <c r="G593" s="2446"/>
      <c r="H593" s="2446"/>
      <c r="I593" s="2505"/>
      <c r="J593" s="2610"/>
    </row>
    <row r="594" spans="1:10" ht="14.1" customHeight="1">
      <c r="A594" s="2462">
        <v>26</v>
      </c>
      <c r="B594" s="2446" t="s">
        <v>3215</v>
      </c>
      <c r="C594" s="2607">
        <v>413678</v>
      </c>
      <c r="D594" s="2446"/>
      <c r="E594" s="2446"/>
      <c r="F594" s="2446"/>
      <c r="G594" s="2446"/>
      <c r="H594" s="2446"/>
      <c r="I594" s="2505"/>
      <c r="J594" s="2610"/>
    </row>
    <row r="595" spans="1:10" ht="14.1" customHeight="1">
      <c r="A595" s="2462">
        <v>27</v>
      </c>
      <c r="B595" s="2446" t="s">
        <v>1449</v>
      </c>
      <c r="C595" s="2607">
        <v>413678</v>
      </c>
      <c r="D595" s="2446"/>
      <c r="E595" s="2446"/>
      <c r="F595" s="2446"/>
      <c r="G595" s="2446"/>
      <c r="H595" s="2446"/>
      <c r="I595" s="2505"/>
      <c r="J595" s="2610"/>
    </row>
    <row r="596" spans="1:10" ht="14.1" customHeight="1">
      <c r="A596" s="2462">
        <v>28</v>
      </c>
      <c r="B596" s="2446" t="s">
        <v>3217</v>
      </c>
      <c r="C596" s="2607"/>
      <c r="D596" s="2446"/>
      <c r="E596" s="2446"/>
      <c r="F596" s="2446"/>
      <c r="G596" s="2446"/>
      <c r="H596" s="2446"/>
      <c r="I596" s="2505"/>
      <c r="J596" s="2610"/>
    </row>
    <row r="597" spans="1:10" ht="14.1" customHeight="1">
      <c r="A597" s="2462">
        <v>29</v>
      </c>
      <c r="B597" s="2601" t="s">
        <v>3218</v>
      </c>
      <c r="C597" s="2607">
        <v>413678</v>
      </c>
      <c r="D597" s="2601" t="s">
        <v>4292</v>
      </c>
      <c r="E597" s="2601" t="s">
        <v>4295</v>
      </c>
      <c r="F597" s="2607">
        <v>7750</v>
      </c>
      <c r="G597" s="2463"/>
      <c r="H597" s="2463"/>
      <c r="I597" s="2461"/>
      <c r="J597" s="2610"/>
    </row>
    <row r="598" spans="1:10" ht="14.1" customHeight="1">
      <c r="A598" s="2462">
        <v>30</v>
      </c>
      <c r="B598" s="2601"/>
      <c r="C598" s="2607"/>
      <c r="D598" s="2601"/>
      <c r="E598" s="2601"/>
      <c r="F598" s="2607"/>
      <c r="G598" s="2463"/>
      <c r="H598" s="2463"/>
      <c r="I598" s="2461"/>
      <c r="J598" s="2610"/>
    </row>
    <row r="599" spans="1:10" ht="14.1" customHeight="1">
      <c r="A599" s="2462">
        <v>31</v>
      </c>
      <c r="B599" s="2601" t="s">
        <v>3219</v>
      </c>
      <c r="C599" s="2607">
        <v>413678</v>
      </c>
      <c r="D599" s="2601" t="s">
        <v>4293</v>
      </c>
      <c r="E599" s="2601" t="s">
        <v>4296</v>
      </c>
      <c r="F599" s="2607">
        <v>86511</v>
      </c>
      <c r="G599" s="2463"/>
      <c r="H599" s="2463"/>
      <c r="I599" s="2461"/>
      <c r="J599" s="2610"/>
    </row>
    <row r="600" spans="1:10" ht="14.1" customHeight="1">
      <c r="A600" s="2462">
        <v>32</v>
      </c>
      <c r="B600" s="2601" t="s">
        <v>3220</v>
      </c>
      <c r="C600" s="2607">
        <v>413678</v>
      </c>
      <c r="D600" s="2601" t="s">
        <v>4294</v>
      </c>
      <c r="E600" s="2601" t="s">
        <v>4296</v>
      </c>
      <c r="F600" s="2607">
        <v>138850</v>
      </c>
      <c r="G600" s="2463"/>
      <c r="H600" s="2463"/>
      <c r="I600" s="2461"/>
      <c r="J600" s="2610"/>
    </row>
    <row r="601" spans="1:10" ht="15" customHeight="1">
      <c r="A601" s="2462">
        <v>33</v>
      </c>
      <c r="B601" s="2446"/>
      <c r="C601" s="2607"/>
      <c r="D601" s="2446"/>
      <c r="E601" s="2446"/>
      <c r="F601" s="2608"/>
      <c r="G601" s="2446"/>
      <c r="H601" s="2446"/>
      <c r="I601" s="2505"/>
      <c r="J601" s="2610"/>
    </row>
    <row r="602" spans="1:10" ht="15" customHeight="1">
      <c r="A602" s="2462">
        <v>34</v>
      </c>
      <c r="B602" s="2446" t="s">
        <v>3221</v>
      </c>
      <c r="C602" s="2607">
        <v>413678</v>
      </c>
      <c r="D602" s="2446"/>
      <c r="E602" s="2446"/>
      <c r="F602" s="2446"/>
      <c r="G602" s="2446"/>
      <c r="H602" s="2446"/>
      <c r="I602" s="2505"/>
      <c r="J602" s="2610"/>
    </row>
    <row r="603" spans="1:10" ht="15" customHeight="1">
      <c r="A603" s="2462">
        <v>35</v>
      </c>
      <c r="B603" s="2446" t="s">
        <v>3222</v>
      </c>
      <c r="C603" s="2607"/>
      <c r="D603" s="2446"/>
      <c r="E603" s="2446"/>
      <c r="F603" s="2446"/>
      <c r="G603" s="2446"/>
      <c r="H603" s="2446"/>
      <c r="I603" s="2505"/>
      <c r="J603" s="2610"/>
    </row>
    <row r="604" spans="1:10" ht="15" customHeight="1" thickBot="1">
      <c r="A604" s="2499">
        <v>36</v>
      </c>
      <c r="B604" s="2501" t="s">
        <v>3753</v>
      </c>
      <c r="C604" s="2609">
        <v>395866</v>
      </c>
      <c r="D604" s="2609"/>
      <c r="E604" s="2501"/>
      <c r="F604" s="2501"/>
      <c r="G604" s="2501"/>
      <c r="H604" s="2501"/>
      <c r="I604" s="2502"/>
      <c r="J604" s="2610"/>
    </row>
    <row r="605" spans="1:10" ht="15" customHeight="1">
      <c r="A605" s="2449" t="s">
        <v>3184</v>
      </c>
      <c r="B605" s="2449"/>
      <c r="C605" s="2449"/>
      <c r="D605" s="2592" t="s">
        <v>1417</v>
      </c>
      <c r="E605" s="2449"/>
      <c r="F605" s="2449"/>
      <c r="G605" s="2449"/>
      <c r="H605" s="2449"/>
      <c r="I605" s="2449"/>
    </row>
    <row r="606" spans="1:10" ht="15" customHeight="1" thickBot="1">
      <c r="A606" s="2444" t="str">
        <f>+A1</f>
        <v>Annual Report of New York American Water Company, Inc. (f/k/a Long Island Water Corp)                                   Year Ended  December 31, 2013</v>
      </c>
      <c r="J606" s="2615"/>
    </row>
    <row r="607" spans="1:10" ht="15" customHeight="1">
      <c r="A607" s="2448"/>
      <c r="B607" s="2449"/>
      <c r="C607" s="2449"/>
      <c r="D607" s="2449"/>
      <c r="E607" s="2449"/>
      <c r="F607" s="2449"/>
      <c r="G607" s="2449"/>
      <c r="H607" s="2449"/>
      <c r="I607" s="2450"/>
      <c r="J607" s="2610"/>
    </row>
    <row r="608" spans="1:10" ht="15" customHeight="1">
      <c r="A608" s="2490" t="s">
        <v>3940</v>
      </c>
      <c r="B608" s="2460"/>
      <c r="C608" s="2460"/>
      <c r="D608" s="2460"/>
      <c r="E608" s="2460"/>
      <c r="F608" s="2460"/>
      <c r="G608" s="2460"/>
      <c r="H608" s="2460"/>
      <c r="I608" s="2491"/>
      <c r="J608" s="2610"/>
    </row>
    <row r="609" spans="1:10" ht="15" customHeight="1">
      <c r="A609" s="2452"/>
      <c r="B609" s="2451"/>
      <c r="C609" s="2451"/>
      <c r="D609" s="2451"/>
      <c r="E609" s="2451"/>
      <c r="F609" s="2451"/>
      <c r="G609" s="2451"/>
      <c r="H609" s="2451"/>
      <c r="I609" s="2453"/>
      <c r="J609" s="2610"/>
    </row>
    <row r="610" spans="1:10" ht="15" customHeight="1">
      <c r="A610" s="2454"/>
      <c r="B610" s="2445"/>
      <c r="C610" s="2445"/>
      <c r="D610" s="2445"/>
      <c r="E610" s="2445"/>
      <c r="F610" s="2445"/>
      <c r="G610" s="2445"/>
      <c r="H610" s="2445"/>
      <c r="I610" s="2455"/>
      <c r="J610" s="2610"/>
    </row>
    <row r="611" spans="1:10" ht="15" customHeight="1">
      <c r="A611" s="2452" t="s">
        <v>2611</v>
      </c>
      <c r="B611" s="2451"/>
      <c r="C611" s="2451"/>
      <c r="D611" s="2451"/>
      <c r="E611" s="2451"/>
      <c r="F611" s="2451"/>
      <c r="G611" s="2451"/>
      <c r="H611" s="2451"/>
      <c r="I611" s="2453"/>
      <c r="J611" s="2610"/>
    </row>
    <row r="612" spans="1:10" ht="15" customHeight="1">
      <c r="A612" s="2452" t="s">
        <v>2612</v>
      </c>
      <c r="B612" s="2451"/>
      <c r="C612" s="2451"/>
      <c r="D612" s="2451"/>
      <c r="E612" s="2451"/>
      <c r="F612" s="2451"/>
      <c r="G612" s="2451"/>
      <c r="H612" s="2451"/>
      <c r="I612" s="2453"/>
      <c r="J612" s="2610"/>
    </row>
    <row r="613" spans="1:10" ht="15" customHeight="1">
      <c r="A613" s="2452"/>
      <c r="B613" s="2451"/>
      <c r="C613" s="2451"/>
      <c r="D613" s="2451"/>
      <c r="E613" s="2451"/>
      <c r="F613" s="2451"/>
      <c r="G613" s="2451"/>
      <c r="H613" s="2451"/>
      <c r="I613" s="2453"/>
      <c r="J613" s="2610"/>
    </row>
    <row r="614" spans="1:10" ht="15" customHeight="1">
      <c r="A614" s="2492"/>
      <c r="B614" s="2464"/>
      <c r="C614" s="2464"/>
      <c r="D614" s="2464"/>
      <c r="E614" s="2464"/>
      <c r="F614" s="2464"/>
      <c r="G614" s="2464"/>
      <c r="H614" s="2464"/>
      <c r="I614" s="2458"/>
      <c r="J614" s="2610"/>
    </row>
    <row r="615" spans="1:10" ht="15" customHeight="1">
      <c r="A615" s="2462"/>
      <c r="B615" s="2463" t="s">
        <v>3026</v>
      </c>
      <c r="C615" s="2463" t="s">
        <v>94</v>
      </c>
      <c r="D615" s="2463" t="s">
        <v>3022</v>
      </c>
      <c r="E615" s="2463" t="s">
        <v>2820</v>
      </c>
      <c r="F615" s="2463" t="s">
        <v>3021</v>
      </c>
      <c r="G615" s="2463" t="s">
        <v>2821</v>
      </c>
      <c r="H615" s="2463" t="s">
        <v>2822</v>
      </c>
      <c r="I615" s="2461" t="s">
        <v>930</v>
      </c>
      <c r="J615" s="2610"/>
    </row>
    <row r="616" spans="1:10" ht="15" customHeight="1">
      <c r="A616" s="2462" t="s">
        <v>1939</v>
      </c>
      <c r="B616" s="2463" t="s">
        <v>4226</v>
      </c>
      <c r="C616" s="2463"/>
      <c r="D616" s="2463" t="s">
        <v>2823</v>
      </c>
      <c r="E616" s="2463" t="s">
        <v>4398</v>
      </c>
      <c r="F616" s="2463" t="s">
        <v>4398</v>
      </c>
      <c r="G616" s="2463" t="s">
        <v>4398</v>
      </c>
      <c r="H616" s="2463" t="s">
        <v>4399</v>
      </c>
      <c r="I616" s="2461" t="s">
        <v>931</v>
      </c>
      <c r="J616" s="2610"/>
    </row>
    <row r="617" spans="1:10" ht="14.1" customHeight="1">
      <c r="A617" s="2462" t="s">
        <v>1941</v>
      </c>
      <c r="B617" s="2463" t="s">
        <v>4400</v>
      </c>
      <c r="C617" s="2463"/>
      <c r="D617" s="2463" t="s">
        <v>4401</v>
      </c>
      <c r="E617" s="2463"/>
      <c r="F617" s="2463" t="s">
        <v>4402</v>
      </c>
      <c r="G617" s="2463" t="s">
        <v>3039</v>
      </c>
      <c r="H617" s="2463" t="s">
        <v>4403</v>
      </c>
      <c r="I617" s="2461"/>
      <c r="J617" s="2610"/>
    </row>
    <row r="618" spans="1:10" ht="14.1" customHeight="1">
      <c r="A618" s="2462"/>
      <c r="B618" s="2463" t="s">
        <v>932</v>
      </c>
      <c r="C618" s="2463" t="s">
        <v>933</v>
      </c>
      <c r="D618" s="2463" t="s">
        <v>934</v>
      </c>
      <c r="E618" s="2463" t="s">
        <v>935</v>
      </c>
      <c r="F618" s="2463" t="s">
        <v>936</v>
      </c>
      <c r="G618" s="2463" t="s">
        <v>937</v>
      </c>
      <c r="H618" s="2463" t="s">
        <v>938</v>
      </c>
      <c r="I618" s="2461" t="s">
        <v>939</v>
      </c>
      <c r="J618" s="2610"/>
    </row>
    <row r="619" spans="1:10" ht="14.1" customHeight="1">
      <c r="A619" s="2492">
        <v>1</v>
      </c>
      <c r="B619" s="2595" t="s">
        <v>2536</v>
      </c>
      <c r="C619" s="2596" t="s">
        <v>3207</v>
      </c>
      <c r="D619" s="2611" t="s">
        <v>4137</v>
      </c>
      <c r="E619" s="2597">
        <v>1</v>
      </c>
      <c r="F619" s="2597"/>
      <c r="G619" s="2597"/>
      <c r="H619" s="2597"/>
      <c r="I619" s="2598" t="s">
        <v>987</v>
      </c>
      <c r="J619" s="2610"/>
    </row>
    <row r="620" spans="1:10" ht="14.1" customHeight="1">
      <c r="A620" s="2462">
        <v>2</v>
      </c>
      <c r="B620" s="2599" t="s">
        <v>2537</v>
      </c>
      <c r="C620" s="2600" t="s">
        <v>4613</v>
      </c>
      <c r="D620" s="2601">
        <v>2006</v>
      </c>
      <c r="E620" s="2601">
        <v>1</v>
      </c>
      <c r="F620" s="2601"/>
      <c r="G620" s="2601"/>
      <c r="H620" s="2601"/>
      <c r="I620" s="2602" t="s">
        <v>4390</v>
      </c>
      <c r="J620" s="2610"/>
    </row>
    <row r="621" spans="1:10" ht="14.1" customHeight="1">
      <c r="A621" s="2462">
        <v>3</v>
      </c>
      <c r="B621" s="2599" t="s">
        <v>2537</v>
      </c>
      <c r="C621" s="2600" t="s">
        <v>3208</v>
      </c>
      <c r="D621" s="2601">
        <v>2005</v>
      </c>
      <c r="E621" s="2601">
        <v>1</v>
      </c>
      <c r="F621" s="2601"/>
      <c r="G621" s="2601"/>
      <c r="H621" s="2601"/>
      <c r="I621" s="2602" t="s">
        <v>987</v>
      </c>
      <c r="J621" s="2610"/>
    </row>
    <row r="622" spans="1:10" ht="14.1" customHeight="1">
      <c r="A622" s="2462">
        <v>4</v>
      </c>
      <c r="B622" s="2599" t="s">
        <v>2537</v>
      </c>
      <c r="C622" s="2600" t="s">
        <v>3209</v>
      </c>
      <c r="D622" s="2601">
        <v>2006</v>
      </c>
      <c r="E622" s="2601">
        <v>1</v>
      </c>
      <c r="F622" s="2601"/>
      <c r="G622" s="2601"/>
      <c r="H622" s="2601"/>
      <c r="I622" s="2602" t="s">
        <v>4390</v>
      </c>
      <c r="J622" s="2610"/>
    </row>
    <row r="623" spans="1:10" ht="14.1" customHeight="1">
      <c r="A623" s="2462">
        <v>5</v>
      </c>
      <c r="B623" s="2599" t="s">
        <v>2537</v>
      </c>
      <c r="C623" s="2600" t="s">
        <v>4614</v>
      </c>
      <c r="D623" s="2601">
        <v>1973</v>
      </c>
      <c r="E623" s="2463">
        <v>1</v>
      </c>
      <c r="F623" s="2463"/>
      <c r="G623" s="2463"/>
      <c r="H623" s="2463"/>
      <c r="I623" s="2602" t="s">
        <v>987</v>
      </c>
      <c r="J623" s="2610"/>
    </row>
    <row r="624" spans="1:10" ht="14.1" customHeight="1">
      <c r="A624" s="2462">
        <v>6</v>
      </c>
      <c r="B624" s="2599" t="s">
        <v>2537</v>
      </c>
      <c r="C624" s="2600" t="s">
        <v>4615</v>
      </c>
      <c r="D624" s="2601">
        <v>2006</v>
      </c>
      <c r="E624" s="2463">
        <v>1</v>
      </c>
      <c r="F624" s="2463"/>
      <c r="G624" s="2463"/>
      <c r="H624" s="2463"/>
      <c r="I624" s="2602" t="s">
        <v>4390</v>
      </c>
      <c r="J624" s="2610"/>
    </row>
    <row r="625" spans="1:10" ht="14.1" customHeight="1">
      <c r="A625" s="2462">
        <v>7</v>
      </c>
      <c r="B625" s="2463"/>
      <c r="C625" s="2463"/>
      <c r="D625" s="2463"/>
      <c r="E625" s="2463"/>
      <c r="F625" s="2463"/>
      <c r="G625" s="2463"/>
      <c r="H625" s="2463"/>
      <c r="I625" s="2461"/>
      <c r="J625" s="2610"/>
    </row>
    <row r="626" spans="1:10" ht="14.1" customHeight="1">
      <c r="A626" s="2462">
        <v>8</v>
      </c>
      <c r="B626" s="2463"/>
      <c r="C626" s="2463"/>
      <c r="D626" s="2463"/>
      <c r="E626" s="2463"/>
      <c r="F626" s="2463"/>
      <c r="G626" s="2463"/>
      <c r="H626" s="2463"/>
      <c r="I626" s="2461"/>
      <c r="J626" s="2610"/>
    </row>
    <row r="627" spans="1:10" ht="14.1" customHeight="1">
      <c r="A627" s="2462">
        <v>9</v>
      </c>
      <c r="B627" s="2463"/>
      <c r="C627" s="2463"/>
      <c r="D627" s="2463"/>
      <c r="E627" s="2463"/>
      <c r="F627" s="2463"/>
      <c r="G627" s="2463"/>
      <c r="H627" s="2463"/>
      <c r="I627" s="2461"/>
      <c r="J627" s="2610"/>
    </row>
    <row r="628" spans="1:10" ht="14.1" customHeight="1">
      <c r="A628" s="2492">
        <v>10</v>
      </c>
      <c r="B628" s="2464" t="s">
        <v>940</v>
      </c>
      <c r="C628" s="2464"/>
      <c r="D628" s="2464"/>
      <c r="E628" s="2464"/>
      <c r="F628" s="2464"/>
      <c r="G628" s="2464"/>
      <c r="H628" s="2464"/>
      <c r="I628" s="2458"/>
      <c r="J628" s="2610"/>
    </row>
    <row r="629" spans="1:10" ht="14.1" customHeight="1">
      <c r="A629" s="2454"/>
      <c r="B629" s="2445" t="s">
        <v>941</v>
      </c>
      <c r="C629" s="2445"/>
      <c r="D629" s="2445"/>
      <c r="E629" s="2445"/>
      <c r="F629" s="2445"/>
      <c r="G629" s="2445"/>
      <c r="H629" s="2445"/>
      <c r="I629" s="2455"/>
      <c r="J629" s="2610"/>
    </row>
    <row r="630" spans="1:10" ht="15" customHeight="1">
      <c r="A630" s="2452"/>
      <c r="B630" s="2451"/>
      <c r="C630" s="2451"/>
      <c r="D630" s="2451"/>
      <c r="E630" s="2451"/>
      <c r="F630" s="2451"/>
      <c r="G630" s="2451"/>
      <c r="H630" s="2451"/>
      <c r="I630" s="2453"/>
      <c r="J630" s="2610"/>
    </row>
    <row r="631" spans="1:10" ht="15" customHeight="1">
      <c r="A631" s="2490" t="s">
        <v>3634</v>
      </c>
      <c r="B631" s="2460"/>
      <c r="C631" s="2460"/>
      <c r="D631" s="2460"/>
      <c r="E631" s="2460"/>
      <c r="F631" s="2460"/>
      <c r="G631" s="2460"/>
      <c r="H631" s="2460"/>
      <c r="I631" s="2491"/>
      <c r="J631" s="2610"/>
    </row>
    <row r="632" spans="1:10" ht="15" customHeight="1">
      <c r="A632" s="2452" t="s">
        <v>2348</v>
      </c>
      <c r="B632" s="2451"/>
      <c r="C632" s="2451"/>
      <c r="D632" s="2451"/>
      <c r="E632" s="2451"/>
      <c r="F632" s="2451"/>
      <c r="G632" s="2451"/>
      <c r="H632" s="2451"/>
      <c r="I632" s="2453"/>
      <c r="J632" s="2610"/>
    </row>
    <row r="633" spans="1:10" ht="15" customHeight="1">
      <c r="A633" s="2452" t="s">
        <v>4346</v>
      </c>
      <c r="B633" s="2451"/>
      <c r="C633" s="2451"/>
      <c r="D633" s="2451"/>
      <c r="E633" s="2451" t="s">
        <v>2349</v>
      </c>
      <c r="F633" s="2451"/>
      <c r="G633" s="2451"/>
      <c r="H633" s="2451"/>
      <c r="I633" s="2453"/>
      <c r="J633" s="2610"/>
    </row>
    <row r="634" spans="1:10" ht="15" customHeight="1">
      <c r="A634" s="2452"/>
      <c r="B634" s="2451"/>
      <c r="C634" s="2451"/>
      <c r="D634" s="2451"/>
      <c r="E634" s="2451" t="s">
        <v>1004</v>
      </c>
      <c r="F634" s="2451"/>
      <c r="G634" s="2451"/>
      <c r="H634" s="2451"/>
      <c r="I634" s="2453"/>
      <c r="J634" s="2610"/>
    </row>
    <row r="635" spans="1:10" ht="15" customHeight="1">
      <c r="A635" s="2452" t="s">
        <v>1744</v>
      </c>
      <c r="B635" s="2451"/>
      <c r="C635" s="2451"/>
      <c r="D635" s="2451"/>
      <c r="E635" s="2451"/>
      <c r="F635" s="2451"/>
      <c r="G635" s="2451"/>
      <c r="H635" s="2451"/>
      <c r="I635" s="2453"/>
      <c r="J635" s="2610"/>
    </row>
    <row r="636" spans="1:10" ht="15" customHeight="1">
      <c r="A636" s="2452" t="s">
        <v>1005</v>
      </c>
      <c r="B636" s="2451"/>
      <c r="C636" s="2451"/>
      <c r="D636" s="2451"/>
      <c r="E636" s="2451" t="s">
        <v>848</v>
      </c>
      <c r="F636" s="2451"/>
      <c r="G636" s="2451"/>
      <c r="H636" s="2451"/>
      <c r="I636" s="2453"/>
      <c r="J636" s="2610"/>
    </row>
    <row r="637" spans="1:10" ht="15" customHeight="1">
      <c r="A637" s="2452"/>
      <c r="B637" s="2451"/>
      <c r="C637" s="2451"/>
      <c r="D637" s="2451"/>
      <c r="E637" s="2451" t="s">
        <v>1737</v>
      </c>
      <c r="F637" s="2451"/>
      <c r="G637" s="2451"/>
      <c r="H637" s="2451"/>
      <c r="I637" s="2453"/>
      <c r="J637" s="2610"/>
    </row>
    <row r="638" spans="1:10" ht="15" customHeight="1">
      <c r="A638" s="2452" t="s">
        <v>849</v>
      </c>
      <c r="B638" s="2451"/>
      <c r="C638" s="2451"/>
      <c r="D638" s="2451"/>
      <c r="E638" s="2451"/>
      <c r="F638" s="2451"/>
      <c r="G638" s="2451"/>
      <c r="H638" s="2451"/>
      <c r="I638" s="2453"/>
      <c r="J638" s="2610"/>
    </row>
    <row r="639" spans="1:10" ht="15" customHeight="1">
      <c r="A639" s="2452" t="s">
        <v>4345</v>
      </c>
      <c r="B639" s="2451"/>
      <c r="C639" s="2451"/>
      <c r="D639" s="2451"/>
      <c r="E639" s="2451"/>
      <c r="F639" s="2451"/>
      <c r="G639" s="2451"/>
      <c r="H639" s="2451"/>
      <c r="I639" s="2453"/>
      <c r="J639" s="2610"/>
    </row>
    <row r="640" spans="1:10" ht="14.1" customHeight="1">
      <c r="A640" s="2452"/>
      <c r="B640" s="2451"/>
      <c r="C640" s="2451"/>
      <c r="D640" s="2451"/>
      <c r="E640" s="2451"/>
      <c r="F640" s="2451"/>
      <c r="G640" s="2451"/>
      <c r="H640" s="2451"/>
      <c r="I640" s="2453"/>
      <c r="J640" s="2610"/>
    </row>
    <row r="641" spans="1:10" ht="14.1" customHeight="1">
      <c r="A641" s="2492"/>
      <c r="B641" s="2464"/>
      <c r="C641" s="2464"/>
      <c r="D641" s="2464"/>
      <c r="E641" s="2464" t="s">
        <v>1738</v>
      </c>
      <c r="F641" s="2464"/>
      <c r="G641" s="2464"/>
      <c r="H641" s="2580"/>
      <c r="I641" s="2458"/>
      <c r="J641" s="2610"/>
    </row>
    <row r="642" spans="1:10" ht="14.1" customHeight="1">
      <c r="A642" s="2462" t="s">
        <v>1939</v>
      </c>
      <c r="B642" s="2463" t="s">
        <v>1739</v>
      </c>
      <c r="C642" s="2463" t="s">
        <v>3754</v>
      </c>
      <c r="D642" s="2463"/>
      <c r="E642" s="2463"/>
      <c r="F642" s="2463"/>
      <c r="G642" s="2463"/>
      <c r="H642" s="2516"/>
      <c r="I642" s="2461"/>
      <c r="J642" s="2610"/>
    </row>
    <row r="643" spans="1:10" ht="14.1" customHeight="1">
      <c r="A643" s="2462" t="s">
        <v>1941</v>
      </c>
      <c r="B643" s="2463"/>
      <c r="C643" s="2463" t="s">
        <v>1874</v>
      </c>
      <c r="D643" s="2463" t="s">
        <v>3032</v>
      </c>
      <c r="E643" s="2463" t="s">
        <v>1875</v>
      </c>
      <c r="F643" s="2463" t="s">
        <v>1876</v>
      </c>
      <c r="G643" s="2459" t="s">
        <v>1877</v>
      </c>
      <c r="H643" s="2460"/>
      <c r="I643" s="2461" t="s">
        <v>4031</v>
      </c>
      <c r="J643" s="2610"/>
    </row>
    <row r="644" spans="1:10" ht="14.1" customHeight="1">
      <c r="A644" s="2462"/>
      <c r="B644" s="2463"/>
      <c r="C644" s="2463"/>
      <c r="D644" s="2463"/>
      <c r="E644" s="2463"/>
      <c r="F644" s="2463"/>
      <c r="G644" s="2459"/>
      <c r="H644" s="2460"/>
      <c r="I644" s="2461"/>
      <c r="J644" s="2610"/>
    </row>
    <row r="645" spans="1:10" ht="14.1" customHeight="1">
      <c r="A645" s="2462"/>
      <c r="B645" s="2463" t="s">
        <v>932</v>
      </c>
      <c r="C645" s="2463" t="s">
        <v>933</v>
      </c>
      <c r="D645" s="2463" t="s">
        <v>934</v>
      </c>
      <c r="E645" s="2463" t="s">
        <v>935</v>
      </c>
      <c r="F645" s="2463" t="s">
        <v>936</v>
      </c>
      <c r="G645" s="2459" t="s">
        <v>937</v>
      </c>
      <c r="H645" s="2460"/>
      <c r="I645" s="2461" t="s">
        <v>938</v>
      </c>
      <c r="J645" s="2610"/>
    </row>
    <row r="646" spans="1:10" ht="14.1" customHeight="1">
      <c r="A646" s="2492">
        <v>23</v>
      </c>
      <c r="B646" s="2444" t="s">
        <v>3212</v>
      </c>
      <c r="C646" s="2464"/>
      <c r="D646" s="2444"/>
      <c r="E646" s="2444"/>
      <c r="F646" s="2444"/>
      <c r="G646" s="2444"/>
      <c r="H646" s="2444"/>
      <c r="I646" s="2507"/>
      <c r="J646" s="2610"/>
    </row>
    <row r="647" spans="1:10" ht="14.1" customHeight="1">
      <c r="A647" s="2462">
        <v>24</v>
      </c>
      <c r="B647" s="2446" t="s">
        <v>3213</v>
      </c>
      <c r="C647" s="2463"/>
      <c r="D647" s="2446"/>
      <c r="E647" s="2446"/>
      <c r="F647" s="2446"/>
      <c r="G647" s="2446"/>
      <c r="H647" s="2446"/>
      <c r="I647" s="2505"/>
      <c r="J647" s="2610"/>
    </row>
    <row r="648" spans="1:10" ht="14.1" customHeight="1">
      <c r="A648" s="2462">
        <v>25</v>
      </c>
      <c r="B648" s="2446" t="s">
        <v>3214</v>
      </c>
      <c r="C648" s="2463"/>
      <c r="D648" s="2446"/>
      <c r="E648" s="2446"/>
      <c r="F648" s="2446"/>
      <c r="G648" s="2446"/>
      <c r="H648" s="2446"/>
      <c r="I648" s="2505"/>
      <c r="J648" s="2610"/>
    </row>
    <row r="649" spans="1:10" ht="14.1" customHeight="1">
      <c r="A649" s="2462">
        <v>26</v>
      </c>
      <c r="B649" s="2446" t="s">
        <v>3215</v>
      </c>
      <c r="C649" s="2463"/>
      <c r="D649" s="2446"/>
      <c r="E649" s="2446"/>
      <c r="F649" s="2446"/>
      <c r="G649" s="2446"/>
      <c r="H649" s="2446"/>
      <c r="I649" s="2505"/>
      <c r="J649" s="2610"/>
    </row>
    <row r="650" spans="1:10" ht="14.1" customHeight="1">
      <c r="A650" s="2462">
        <v>27</v>
      </c>
      <c r="B650" s="2446" t="s">
        <v>3216</v>
      </c>
      <c r="C650" s="2463"/>
      <c r="D650" s="2446"/>
      <c r="E650" s="2446"/>
      <c r="F650" s="2446"/>
      <c r="G650" s="2446"/>
      <c r="H650" s="2446"/>
      <c r="I650" s="2505"/>
      <c r="J650" s="2610"/>
    </row>
    <row r="651" spans="1:10" ht="14.1" customHeight="1">
      <c r="A651" s="2462">
        <v>28</v>
      </c>
      <c r="B651" s="2446" t="s">
        <v>3217</v>
      </c>
      <c r="C651" s="2463"/>
      <c r="D651" s="2446"/>
      <c r="E651" s="2446"/>
      <c r="F651" s="2446"/>
      <c r="G651" s="2446"/>
      <c r="H651" s="2446"/>
      <c r="I651" s="2505"/>
      <c r="J651" s="2610"/>
    </row>
    <row r="652" spans="1:10" ht="14.1" customHeight="1">
      <c r="A652" s="2462">
        <v>29</v>
      </c>
      <c r="B652" s="2601" t="s">
        <v>3218</v>
      </c>
      <c r="C652" s="2607">
        <v>149792</v>
      </c>
      <c r="D652" s="2601" t="s">
        <v>4292</v>
      </c>
      <c r="E652" s="2601" t="s">
        <v>4295</v>
      </c>
      <c r="F652" s="2607">
        <v>1386</v>
      </c>
      <c r="G652" s="2463"/>
      <c r="H652" s="2463"/>
      <c r="I652" s="2461"/>
      <c r="J652" s="2610"/>
    </row>
    <row r="653" spans="1:10" ht="14.1" customHeight="1">
      <c r="A653" s="2462">
        <v>30</v>
      </c>
      <c r="B653" s="2601"/>
      <c r="C653" s="2607"/>
      <c r="D653" s="2601"/>
      <c r="E653" s="2601"/>
      <c r="F653" s="2607"/>
      <c r="G653" s="2463"/>
      <c r="H653" s="2463"/>
      <c r="I653" s="2461"/>
      <c r="J653" s="2610"/>
    </row>
    <row r="654" spans="1:10" ht="14.1" customHeight="1">
      <c r="A654" s="2462">
        <v>31</v>
      </c>
      <c r="B654" s="2601" t="s">
        <v>3219</v>
      </c>
      <c r="C654" s="2607">
        <v>149792</v>
      </c>
      <c r="D654" s="2601" t="s">
        <v>4293</v>
      </c>
      <c r="E654" s="2601" t="s">
        <v>4296</v>
      </c>
      <c r="F654" s="2607">
        <v>9194</v>
      </c>
      <c r="G654" s="2463"/>
      <c r="H654" s="2463"/>
      <c r="I654" s="2461"/>
      <c r="J654" s="2610"/>
    </row>
    <row r="655" spans="1:10" ht="14.1" customHeight="1">
      <c r="A655" s="2462">
        <v>32</v>
      </c>
      <c r="B655" s="2601" t="s">
        <v>3220</v>
      </c>
      <c r="C655" s="2607">
        <v>149792</v>
      </c>
      <c r="D655" s="2601" t="s">
        <v>4294</v>
      </c>
      <c r="E655" s="2601" t="s">
        <v>4296</v>
      </c>
      <c r="F655" s="2607">
        <v>25950</v>
      </c>
      <c r="G655" s="2463"/>
      <c r="H655" s="2463"/>
      <c r="I655" s="2461"/>
      <c r="J655" s="2610"/>
    </row>
    <row r="656" spans="1:10" ht="14.1" customHeight="1">
      <c r="A656" s="2462">
        <v>33</v>
      </c>
      <c r="B656" s="2446"/>
      <c r="C656" s="2607"/>
      <c r="D656" s="2446"/>
      <c r="E656" s="2446"/>
      <c r="F656" s="2608"/>
      <c r="G656" s="2446"/>
      <c r="H656" s="2446"/>
      <c r="I656" s="2505"/>
      <c r="J656" s="2610"/>
    </row>
    <row r="657" spans="1:10" ht="15" customHeight="1">
      <c r="A657" s="2462">
        <v>34</v>
      </c>
      <c r="B657" s="2446" t="s">
        <v>3221</v>
      </c>
      <c r="C657" s="2607">
        <v>149792</v>
      </c>
      <c r="D657" s="2446"/>
      <c r="E657" s="2446"/>
      <c r="F657" s="2446"/>
      <c r="G657" s="2446"/>
      <c r="H657" s="2446"/>
      <c r="I657" s="2505"/>
      <c r="J657" s="2610"/>
    </row>
    <row r="658" spans="1:10" ht="15" customHeight="1">
      <c r="A658" s="2462">
        <v>35</v>
      </c>
      <c r="B658" s="2446" t="s">
        <v>3222</v>
      </c>
      <c r="C658" s="2607"/>
      <c r="D658" s="2446"/>
      <c r="E658" s="2446"/>
      <c r="F658" s="2446"/>
      <c r="G658" s="2446"/>
      <c r="H658" s="2446"/>
      <c r="I658" s="2505"/>
      <c r="J658" s="2610"/>
    </row>
    <row r="659" spans="1:10" ht="15" customHeight="1" thickBot="1">
      <c r="A659" s="2499">
        <v>36</v>
      </c>
      <c r="B659" s="2501" t="s">
        <v>3753</v>
      </c>
      <c r="C659" s="2609">
        <v>149792</v>
      </c>
      <c r="D659" s="2609"/>
      <c r="E659" s="2501"/>
      <c r="F659" s="2501"/>
      <c r="G659" s="2501"/>
      <c r="H659" s="2501"/>
      <c r="I659" s="2502"/>
      <c r="J659" s="2610"/>
    </row>
    <row r="660" spans="1:10" ht="15" customHeight="1">
      <c r="A660" s="2449" t="s">
        <v>3184</v>
      </c>
      <c r="B660" s="2449"/>
      <c r="C660" s="2449"/>
      <c r="D660" s="2592" t="s">
        <v>1418</v>
      </c>
      <c r="E660" s="2449"/>
      <c r="F660" s="2449"/>
      <c r="G660" s="2449"/>
      <c r="H660" s="2449"/>
      <c r="I660" s="2449"/>
      <c r="J660" s="2615"/>
    </row>
    <row r="661" spans="1:10" ht="15" customHeight="1" thickBot="1">
      <c r="A661" s="2444" t="str">
        <f>+A1</f>
        <v>Annual Report of New York American Water Company, Inc. (f/k/a Long Island Water Corp)                                   Year Ended  December 31, 2013</v>
      </c>
    </row>
    <row r="662" spans="1:10" ht="15" customHeight="1">
      <c r="A662" s="2448"/>
      <c r="B662" s="2449"/>
      <c r="C662" s="2449"/>
      <c r="D662" s="2449"/>
      <c r="E662" s="2449"/>
      <c r="F662" s="2449"/>
      <c r="G662" s="2449"/>
      <c r="H662" s="2449"/>
      <c r="I662" s="2450"/>
      <c r="J662" s="2610"/>
    </row>
    <row r="663" spans="1:10" ht="15" customHeight="1">
      <c r="A663" s="2490" t="s">
        <v>3940</v>
      </c>
      <c r="B663" s="2460"/>
      <c r="C663" s="2460"/>
      <c r="D663" s="2460"/>
      <c r="E663" s="2460"/>
      <c r="F663" s="2460"/>
      <c r="G663" s="2460"/>
      <c r="H663" s="2460"/>
      <c r="I663" s="2491"/>
      <c r="J663" s="2610"/>
    </row>
    <row r="664" spans="1:10" ht="15" customHeight="1">
      <c r="A664" s="2452"/>
      <c r="B664" s="2451"/>
      <c r="C664" s="2451"/>
      <c r="D664" s="2451"/>
      <c r="E664" s="2451"/>
      <c r="F664" s="2451"/>
      <c r="G664" s="2451"/>
      <c r="H664" s="2451"/>
      <c r="I664" s="2453"/>
      <c r="J664" s="2610"/>
    </row>
    <row r="665" spans="1:10" ht="15" customHeight="1">
      <c r="A665" s="2454"/>
      <c r="B665" s="2445"/>
      <c r="C665" s="2445"/>
      <c r="D665" s="2445"/>
      <c r="E665" s="2445"/>
      <c r="F665" s="2445"/>
      <c r="G665" s="2445"/>
      <c r="H665" s="2445"/>
      <c r="I665" s="2455"/>
      <c r="J665" s="2610"/>
    </row>
    <row r="666" spans="1:10" ht="15" customHeight="1">
      <c r="A666" s="2452" t="s">
        <v>2611</v>
      </c>
      <c r="B666" s="2451"/>
      <c r="C666" s="2451"/>
      <c r="D666" s="2451"/>
      <c r="E666" s="2451"/>
      <c r="F666" s="2451"/>
      <c r="G666" s="2451"/>
      <c r="H666" s="2451"/>
      <c r="I666" s="2453"/>
      <c r="J666" s="2610"/>
    </row>
    <row r="667" spans="1:10" ht="15" customHeight="1">
      <c r="A667" s="2452" t="s">
        <v>2612</v>
      </c>
      <c r="B667" s="2451"/>
      <c r="C667" s="2451"/>
      <c r="D667" s="2451"/>
      <c r="E667" s="2451"/>
      <c r="F667" s="2451"/>
      <c r="G667" s="2451"/>
      <c r="H667" s="2451"/>
      <c r="I667" s="2453"/>
      <c r="J667" s="2610"/>
    </row>
    <row r="668" spans="1:10" ht="15" customHeight="1">
      <c r="A668" s="2452"/>
      <c r="B668" s="2451"/>
      <c r="C668" s="2451"/>
      <c r="D668" s="2451"/>
      <c r="E668" s="2451"/>
      <c r="F668" s="2451"/>
      <c r="G668" s="2451"/>
      <c r="H668" s="2451"/>
      <c r="I668" s="2453"/>
      <c r="J668" s="2610"/>
    </row>
    <row r="669" spans="1:10" ht="15" customHeight="1">
      <c r="A669" s="2492"/>
      <c r="B669" s="2464"/>
      <c r="C669" s="2464"/>
      <c r="D669" s="2464"/>
      <c r="E669" s="2464"/>
      <c r="F669" s="2464"/>
      <c r="G669" s="2464"/>
      <c r="H669" s="2464"/>
      <c r="I669" s="2458"/>
      <c r="J669" s="2610"/>
    </row>
    <row r="670" spans="1:10" ht="15" customHeight="1">
      <c r="A670" s="2462"/>
      <c r="B670" s="2463" t="s">
        <v>3026</v>
      </c>
      <c r="C670" s="2463" t="s">
        <v>94</v>
      </c>
      <c r="D670" s="2463" t="s">
        <v>3022</v>
      </c>
      <c r="E670" s="2463" t="s">
        <v>2820</v>
      </c>
      <c r="F670" s="2463" t="s">
        <v>3021</v>
      </c>
      <c r="G670" s="2463" t="s">
        <v>2821</v>
      </c>
      <c r="H670" s="2463" t="s">
        <v>2822</v>
      </c>
      <c r="I670" s="2461" t="s">
        <v>930</v>
      </c>
      <c r="J670" s="2610"/>
    </row>
    <row r="671" spans="1:10" ht="15" customHeight="1">
      <c r="A671" s="2462" t="s">
        <v>1939</v>
      </c>
      <c r="B671" s="2463" t="s">
        <v>4226</v>
      </c>
      <c r="C671" s="2463"/>
      <c r="D671" s="2463" t="s">
        <v>2823</v>
      </c>
      <c r="E671" s="2463" t="s">
        <v>4398</v>
      </c>
      <c r="F671" s="2463" t="s">
        <v>4398</v>
      </c>
      <c r="G671" s="2463" t="s">
        <v>4398</v>
      </c>
      <c r="H671" s="2463" t="s">
        <v>4399</v>
      </c>
      <c r="I671" s="2461" t="s">
        <v>931</v>
      </c>
      <c r="J671" s="2610"/>
    </row>
    <row r="672" spans="1:10" ht="15" customHeight="1">
      <c r="A672" s="2462" t="s">
        <v>1941</v>
      </c>
      <c r="B672" s="2463" t="s">
        <v>4400</v>
      </c>
      <c r="C672" s="2463"/>
      <c r="D672" s="2463" t="s">
        <v>4401</v>
      </c>
      <c r="E672" s="2463"/>
      <c r="F672" s="2463" t="s">
        <v>4402</v>
      </c>
      <c r="G672" s="2463" t="s">
        <v>3039</v>
      </c>
      <c r="H672" s="2463" t="s">
        <v>4403</v>
      </c>
      <c r="I672" s="2461"/>
      <c r="J672" s="2610"/>
    </row>
    <row r="673" spans="1:10" ht="14.1" customHeight="1">
      <c r="A673" s="2462"/>
      <c r="B673" s="2463" t="s">
        <v>932</v>
      </c>
      <c r="C673" s="2463" t="s">
        <v>933</v>
      </c>
      <c r="D673" s="2463" t="s">
        <v>934</v>
      </c>
      <c r="E673" s="2463" t="s">
        <v>935</v>
      </c>
      <c r="F673" s="2463" t="s">
        <v>936</v>
      </c>
      <c r="G673" s="2463" t="s">
        <v>937</v>
      </c>
      <c r="H673" s="2463" t="s">
        <v>938</v>
      </c>
      <c r="I673" s="2461" t="s">
        <v>939</v>
      </c>
      <c r="J673" s="2610"/>
    </row>
    <row r="674" spans="1:10" ht="14.1" customHeight="1">
      <c r="A674" s="2492">
        <v>1</v>
      </c>
      <c r="B674" s="2595" t="s">
        <v>2538</v>
      </c>
      <c r="C674" s="2596" t="s">
        <v>5310</v>
      </c>
      <c r="D674" s="2982" t="s">
        <v>5308</v>
      </c>
      <c r="E674" s="2597">
        <v>2</v>
      </c>
      <c r="F674" s="2597"/>
      <c r="G674" s="2597"/>
      <c r="H674" s="2597"/>
      <c r="I674" s="2598" t="s">
        <v>987</v>
      </c>
      <c r="J674" s="2610"/>
    </row>
    <row r="675" spans="1:10" ht="14.1" customHeight="1">
      <c r="A675" s="2462">
        <v>2</v>
      </c>
      <c r="B675" s="2599" t="s">
        <v>469</v>
      </c>
      <c r="C675" s="2600" t="s">
        <v>5311</v>
      </c>
      <c r="D675" s="2983">
        <v>2013</v>
      </c>
      <c r="E675" s="2601">
        <v>3</v>
      </c>
      <c r="F675" s="2601"/>
      <c r="G675" s="2601"/>
      <c r="H675" s="2601"/>
      <c r="I675" s="2602" t="s">
        <v>4390</v>
      </c>
      <c r="J675" s="2610"/>
    </row>
    <row r="676" spans="1:10" ht="14.1" customHeight="1">
      <c r="A676" s="2462">
        <v>3</v>
      </c>
      <c r="B676" s="2599" t="s">
        <v>469</v>
      </c>
      <c r="C676" s="2600" t="s">
        <v>3207</v>
      </c>
      <c r="D676" s="2984">
        <v>2013</v>
      </c>
      <c r="E676" s="2601">
        <v>2</v>
      </c>
      <c r="F676" s="2601"/>
      <c r="G676" s="2601"/>
      <c r="H676" s="2601"/>
      <c r="I676" s="2602" t="s">
        <v>987</v>
      </c>
      <c r="J676" s="2610"/>
    </row>
    <row r="677" spans="1:10" ht="14.1" customHeight="1">
      <c r="A677" s="2462">
        <v>4</v>
      </c>
      <c r="B677" s="2599" t="s">
        <v>469</v>
      </c>
      <c r="C677" s="2600" t="s">
        <v>4613</v>
      </c>
      <c r="D677" s="2984">
        <v>2013</v>
      </c>
      <c r="E677" s="2601">
        <v>3</v>
      </c>
      <c r="F677" s="2601"/>
      <c r="G677" s="2601"/>
      <c r="H677" s="2601"/>
      <c r="I677" s="2602" t="s">
        <v>4390</v>
      </c>
      <c r="J677" s="2610"/>
    </row>
    <row r="678" spans="1:10" ht="14.1" customHeight="1">
      <c r="A678" s="2462">
        <v>5</v>
      </c>
      <c r="B678" s="2599" t="s">
        <v>469</v>
      </c>
      <c r="C678" s="2600" t="s">
        <v>4614</v>
      </c>
      <c r="D678" s="2984">
        <v>2013</v>
      </c>
      <c r="E678" s="2601">
        <v>2</v>
      </c>
      <c r="F678" s="2463"/>
      <c r="G678" s="2463"/>
      <c r="H678" s="2463"/>
      <c r="I678" s="2602" t="s">
        <v>987</v>
      </c>
      <c r="J678" s="2610"/>
    </row>
    <row r="679" spans="1:10" ht="14.1" customHeight="1">
      <c r="A679" s="2462">
        <v>6</v>
      </c>
      <c r="B679" s="2599" t="s">
        <v>469</v>
      </c>
      <c r="C679" s="2600" t="s">
        <v>4615</v>
      </c>
      <c r="D679" s="2984">
        <v>2013</v>
      </c>
      <c r="E679" s="2463">
        <v>3</v>
      </c>
      <c r="F679" s="2463"/>
      <c r="G679" s="2463"/>
      <c r="H679" s="2463"/>
      <c r="I679" s="2602" t="s">
        <v>4390</v>
      </c>
      <c r="J679" s="2610"/>
    </row>
    <row r="680" spans="1:10" ht="14.1" customHeight="1">
      <c r="A680" s="2462">
        <v>7</v>
      </c>
      <c r="B680" s="2599" t="s">
        <v>469</v>
      </c>
      <c r="C680" s="2600" t="s">
        <v>1448</v>
      </c>
      <c r="D680" s="2984">
        <v>2013</v>
      </c>
      <c r="E680" s="2601" t="s">
        <v>4627</v>
      </c>
      <c r="F680" s="2601" t="s">
        <v>4628</v>
      </c>
      <c r="G680" s="2601" t="s">
        <v>4629</v>
      </c>
      <c r="H680" s="2601" t="s">
        <v>5312</v>
      </c>
      <c r="I680" s="2602" t="s">
        <v>2141</v>
      </c>
      <c r="J680" s="2610"/>
    </row>
    <row r="681" spans="1:10" ht="14.1" customHeight="1">
      <c r="A681" s="2462">
        <v>8</v>
      </c>
      <c r="B681" s="2463"/>
      <c r="C681" s="2603"/>
      <c r="D681" s="2603"/>
      <c r="E681" s="2463"/>
      <c r="F681" s="2463"/>
      <c r="G681" s="2463"/>
      <c r="H681" s="2463"/>
      <c r="I681" s="2461"/>
      <c r="J681" s="2610"/>
    </row>
    <row r="682" spans="1:10" ht="14.1" customHeight="1">
      <c r="A682" s="2462">
        <v>9</v>
      </c>
      <c r="B682" s="2463"/>
      <c r="C682" s="2463"/>
      <c r="D682" s="2463"/>
      <c r="E682" s="2463"/>
      <c r="F682" s="2463"/>
      <c r="G682" s="2463"/>
      <c r="H682" s="2463"/>
      <c r="I682" s="2461"/>
      <c r="J682" s="2610"/>
    </row>
    <row r="683" spans="1:10" ht="14.1" customHeight="1">
      <c r="A683" s="2492">
        <v>10</v>
      </c>
      <c r="B683" s="2464" t="s">
        <v>940</v>
      </c>
      <c r="C683" s="2464"/>
      <c r="D683" s="2464"/>
      <c r="E683" s="2464"/>
      <c r="F683" s="2464"/>
      <c r="G683" s="2464"/>
      <c r="H683" s="2464"/>
      <c r="I683" s="2458"/>
      <c r="J683" s="2610"/>
    </row>
    <row r="684" spans="1:10" ht="14.1" customHeight="1">
      <c r="A684" s="2454"/>
      <c r="B684" s="2445" t="s">
        <v>941</v>
      </c>
      <c r="C684" s="2445"/>
      <c r="D684" s="2445"/>
      <c r="E684" s="2445"/>
      <c r="F684" s="2445"/>
      <c r="G684" s="2445"/>
      <c r="H684" s="2445"/>
      <c r="I684" s="2455"/>
      <c r="J684" s="2610"/>
    </row>
    <row r="685" spans="1:10" ht="14.1" customHeight="1">
      <c r="A685" s="2452"/>
      <c r="B685" s="2451"/>
      <c r="C685" s="2451"/>
      <c r="D685" s="2451"/>
      <c r="E685" s="2451"/>
      <c r="F685" s="2451"/>
      <c r="G685" s="2451"/>
      <c r="H685" s="2451"/>
      <c r="I685" s="2453"/>
      <c r="J685" s="2610"/>
    </row>
    <row r="686" spans="1:10" ht="15" customHeight="1">
      <c r="A686" s="2490" t="s">
        <v>3634</v>
      </c>
      <c r="B686" s="2460"/>
      <c r="C686" s="2460"/>
      <c r="D686" s="2460"/>
      <c r="E686" s="2460"/>
      <c r="F686" s="2460"/>
      <c r="G686" s="2460"/>
      <c r="H686" s="2460"/>
      <c r="I686" s="2491"/>
      <c r="J686" s="2610"/>
    </row>
    <row r="687" spans="1:10" ht="15" customHeight="1">
      <c r="A687" s="2452" t="s">
        <v>2348</v>
      </c>
      <c r="B687" s="2451"/>
      <c r="C687" s="2451"/>
      <c r="D687" s="2451"/>
      <c r="E687" s="2451"/>
      <c r="F687" s="2451"/>
      <c r="G687" s="2451"/>
      <c r="H687" s="2451"/>
      <c r="I687" s="2453"/>
      <c r="J687" s="2610"/>
    </row>
    <row r="688" spans="1:10" ht="15" customHeight="1">
      <c r="A688" s="2452" t="s">
        <v>4346</v>
      </c>
      <c r="B688" s="2451"/>
      <c r="C688" s="2451"/>
      <c r="D688" s="2451"/>
      <c r="E688" s="2451" t="s">
        <v>2349</v>
      </c>
      <c r="F688" s="2451"/>
      <c r="G688" s="2451"/>
      <c r="H688" s="2451"/>
      <c r="I688" s="2453"/>
      <c r="J688" s="2610"/>
    </row>
    <row r="689" spans="1:10" ht="15" customHeight="1">
      <c r="A689" s="2452"/>
      <c r="B689" s="2451"/>
      <c r="C689" s="2451"/>
      <c r="D689" s="2451"/>
      <c r="E689" s="2451" t="s">
        <v>1004</v>
      </c>
      <c r="F689" s="2451"/>
      <c r="G689" s="2451"/>
      <c r="H689" s="2451"/>
      <c r="I689" s="2453"/>
      <c r="J689" s="2610"/>
    </row>
    <row r="690" spans="1:10" ht="15" customHeight="1">
      <c r="A690" s="2452" t="s">
        <v>1744</v>
      </c>
      <c r="B690" s="2451"/>
      <c r="C690" s="2451"/>
      <c r="D690" s="2451"/>
      <c r="E690" s="2451"/>
      <c r="F690" s="2451"/>
      <c r="G690" s="2451"/>
      <c r="H690" s="2451"/>
      <c r="I690" s="2453"/>
      <c r="J690" s="2610"/>
    </row>
    <row r="691" spans="1:10" ht="15" customHeight="1">
      <c r="A691" s="2452" t="s">
        <v>1005</v>
      </c>
      <c r="B691" s="2451"/>
      <c r="C691" s="2451"/>
      <c r="D691" s="2451"/>
      <c r="E691" s="2451" t="s">
        <v>848</v>
      </c>
      <c r="F691" s="2451"/>
      <c r="G691" s="2451"/>
      <c r="H691" s="2451"/>
      <c r="I691" s="2453"/>
      <c r="J691" s="2610"/>
    </row>
    <row r="692" spans="1:10" ht="15" customHeight="1">
      <c r="A692" s="2452"/>
      <c r="B692" s="2451"/>
      <c r="C692" s="2451"/>
      <c r="D692" s="2451"/>
      <c r="E692" s="2451" t="s">
        <v>1737</v>
      </c>
      <c r="F692" s="2451"/>
      <c r="G692" s="2451"/>
      <c r="H692" s="2451"/>
      <c r="I692" s="2453"/>
      <c r="J692" s="2610"/>
    </row>
    <row r="693" spans="1:10" ht="15" customHeight="1">
      <c r="A693" s="2452" t="s">
        <v>849</v>
      </c>
      <c r="B693" s="2451"/>
      <c r="C693" s="2451"/>
      <c r="D693" s="2451"/>
      <c r="E693" s="2451"/>
      <c r="F693" s="2451"/>
      <c r="G693" s="2451"/>
      <c r="H693" s="2451"/>
      <c r="I693" s="2453"/>
      <c r="J693" s="2610"/>
    </row>
    <row r="694" spans="1:10" ht="15" customHeight="1">
      <c r="A694" s="2452" t="s">
        <v>4345</v>
      </c>
      <c r="B694" s="2451"/>
      <c r="C694" s="2451"/>
      <c r="D694" s="2451"/>
      <c r="E694" s="2451"/>
      <c r="F694" s="2451"/>
      <c r="G694" s="2451"/>
      <c r="H694" s="2451"/>
      <c r="I694" s="2453"/>
      <c r="J694" s="2610"/>
    </row>
    <row r="695" spans="1:10" ht="15" customHeight="1">
      <c r="A695" s="2452"/>
      <c r="B695" s="2451"/>
      <c r="C695" s="2451"/>
      <c r="D695" s="2451"/>
      <c r="E695" s="2451"/>
      <c r="F695" s="2451"/>
      <c r="G695" s="2451"/>
      <c r="H695" s="2451"/>
      <c r="I695" s="2453"/>
      <c r="J695" s="2610"/>
    </row>
    <row r="696" spans="1:10" ht="14.1" customHeight="1">
      <c r="A696" s="2492"/>
      <c r="B696" s="2464"/>
      <c r="C696" s="2464"/>
      <c r="D696" s="2464"/>
      <c r="E696" s="2464" t="s">
        <v>1738</v>
      </c>
      <c r="F696" s="2464"/>
      <c r="G696" s="2464"/>
      <c r="H696" s="2580"/>
      <c r="I696" s="2458"/>
      <c r="J696" s="2610"/>
    </row>
    <row r="697" spans="1:10" ht="14.1" customHeight="1">
      <c r="A697" s="2462" t="s">
        <v>1939</v>
      </c>
      <c r="B697" s="2463" t="s">
        <v>1739</v>
      </c>
      <c r="C697" s="2463" t="s">
        <v>3754</v>
      </c>
      <c r="D697" s="2463"/>
      <c r="E697" s="2463"/>
      <c r="F697" s="2463"/>
      <c r="G697" s="2463"/>
      <c r="H697" s="2516"/>
      <c r="I697" s="2461"/>
      <c r="J697" s="2610"/>
    </row>
    <row r="698" spans="1:10" ht="14.1" customHeight="1">
      <c r="A698" s="2462" t="s">
        <v>1941</v>
      </c>
      <c r="B698" s="2463"/>
      <c r="C698" s="2463" t="s">
        <v>1874</v>
      </c>
      <c r="D698" s="2463" t="s">
        <v>3032</v>
      </c>
      <c r="E698" s="2463" t="s">
        <v>1875</v>
      </c>
      <c r="F698" s="2463" t="s">
        <v>1876</v>
      </c>
      <c r="G698" s="2459" t="s">
        <v>1877</v>
      </c>
      <c r="H698" s="2460"/>
      <c r="I698" s="2461" t="s">
        <v>4031</v>
      </c>
      <c r="J698" s="2610"/>
    </row>
    <row r="699" spans="1:10" ht="14.1" customHeight="1">
      <c r="A699" s="2462"/>
      <c r="B699" s="2463"/>
      <c r="C699" s="2463"/>
      <c r="D699" s="2463"/>
      <c r="E699" s="2463"/>
      <c r="F699" s="2463"/>
      <c r="G699" s="2459"/>
      <c r="H699" s="2460"/>
      <c r="I699" s="2461"/>
      <c r="J699" s="2610"/>
    </row>
    <row r="700" spans="1:10" ht="14.1" customHeight="1">
      <c r="A700" s="2462"/>
      <c r="B700" s="2463" t="s">
        <v>932</v>
      </c>
      <c r="C700" s="2463" t="s">
        <v>933</v>
      </c>
      <c r="D700" s="2463" t="s">
        <v>934</v>
      </c>
      <c r="E700" s="2463" t="s">
        <v>935</v>
      </c>
      <c r="F700" s="2463" t="s">
        <v>936</v>
      </c>
      <c r="G700" s="2459" t="s">
        <v>937</v>
      </c>
      <c r="H700" s="2460"/>
      <c r="I700" s="2461" t="s">
        <v>938</v>
      </c>
      <c r="J700" s="2610"/>
    </row>
    <row r="701" spans="1:10" ht="14.1" customHeight="1">
      <c r="A701" s="2492">
        <v>23</v>
      </c>
      <c r="B701" s="2444" t="s">
        <v>3212</v>
      </c>
      <c r="C701" s="2464"/>
      <c r="D701" s="2444"/>
      <c r="E701" s="2444"/>
      <c r="F701" s="2444"/>
      <c r="G701" s="2444"/>
      <c r="H701" s="2444"/>
      <c r="I701" s="2507"/>
      <c r="J701" s="2610"/>
    </row>
    <row r="702" spans="1:10" ht="14.1" customHeight="1">
      <c r="A702" s="2462">
        <v>24</v>
      </c>
      <c r="B702" s="2446" t="s">
        <v>3213</v>
      </c>
      <c r="C702" s="2463"/>
      <c r="D702" s="2446"/>
      <c r="E702" s="2446"/>
      <c r="F702" s="2446"/>
      <c r="G702" s="2446"/>
      <c r="H702" s="2446"/>
      <c r="I702" s="2505"/>
      <c r="J702" s="2610"/>
    </row>
    <row r="703" spans="1:10" ht="14.1" customHeight="1">
      <c r="A703" s="2462">
        <v>25</v>
      </c>
      <c r="B703" s="2446" t="s">
        <v>3214</v>
      </c>
      <c r="C703" s="2463"/>
      <c r="D703" s="2446"/>
      <c r="E703" s="2446"/>
      <c r="F703" s="2446"/>
      <c r="G703" s="2446"/>
      <c r="H703" s="2446"/>
      <c r="I703" s="2505"/>
      <c r="J703" s="2610"/>
    </row>
    <row r="704" spans="1:10" ht="14.1" customHeight="1">
      <c r="A704" s="2462">
        <v>26</v>
      </c>
      <c r="B704" s="2446" t="s">
        <v>3215</v>
      </c>
      <c r="C704" s="2463">
        <v>13028</v>
      </c>
      <c r="D704" s="2446"/>
      <c r="E704" s="2446"/>
      <c r="F704" s="2446"/>
      <c r="G704" s="2446"/>
      <c r="H704" s="2446"/>
      <c r="I704" s="2505"/>
      <c r="J704" s="2610"/>
    </row>
    <row r="705" spans="1:10" ht="14.1" customHeight="1">
      <c r="A705" s="2462">
        <v>27</v>
      </c>
      <c r="B705" s="2446" t="s">
        <v>5313</v>
      </c>
      <c r="C705" s="2463">
        <v>13028</v>
      </c>
      <c r="D705" s="2446"/>
      <c r="E705" s="2446"/>
      <c r="F705" s="2446"/>
      <c r="G705" s="2446"/>
      <c r="H705" s="2446"/>
      <c r="I705" s="2505"/>
      <c r="J705" s="2610"/>
    </row>
    <row r="706" spans="1:10" ht="14.1" customHeight="1">
      <c r="A706" s="2462">
        <v>28</v>
      </c>
      <c r="B706" s="2446" t="s">
        <v>3217</v>
      </c>
      <c r="C706" s="2463"/>
      <c r="D706" s="2446"/>
      <c r="E706" s="2446"/>
      <c r="F706" s="2446"/>
      <c r="G706" s="2446"/>
      <c r="H706" s="2446"/>
      <c r="I706" s="2505"/>
      <c r="J706" s="2610"/>
    </row>
    <row r="707" spans="1:10" ht="14.1" customHeight="1">
      <c r="A707" s="2462">
        <v>29</v>
      </c>
      <c r="B707" s="2601" t="s">
        <v>3218</v>
      </c>
      <c r="C707" s="2607">
        <v>13028</v>
      </c>
      <c r="D707" s="2601" t="s">
        <v>4292</v>
      </c>
      <c r="E707" s="2601" t="s">
        <v>4295</v>
      </c>
      <c r="F707" s="2607">
        <v>982</v>
      </c>
      <c r="G707" s="2463"/>
      <c r="H707" s="2463"/>
      <c r="I707" s="2461"/>
      <c r="J707" s="2610"/>
    </row>
    <row r="708" spans="1:10" ht="14.1" customHeight="1">
      <c r="A708" s="2462">
        <v>30</v>
      </c>
      <c r="B708" s="2601"/>
      <c r="C708" s="2607"/>
      <c r="D708" s="2601"/>
      <c r="E708" s="2601"/>
      <c r="F708" s="2607"/>
      <c r="G708" s="2463"/>
      <c r="H708" s="2463"/>
      <c r="I708" s="2461"/>
      <c r="J708" s="2610"/>
    </row>
    <row r="709" spans="1:10" ht="14.1" customHeight="1">
      <c r="A709" s="2462">
        <v>31</v>
      </c>
      <c r="B709" s="2601" t="s">
        <v>3219</v>
      </c>
      <c r="C709" s="2607">
        <v>13028</v>
      </c>
      <c r="D709" s="2601" t="s">
        <v>4293</v>
      </c>
      <c r="E709" s="2601" t="s">
        <v>4296</v>
      </c>
      <c r="F709" s="2607">
        <v>2024</v>
      </c>
      <c r="G709" s="2463"/>
      <c r="H709" s="2463"/>
      <c r="I709" s="2461"/>
      <c r="J709" s="2610"/>
    </row>
    <row r="710" spans="1:10" ht="14.1" customHeight="1">
      <c r="A710" s="2462">
        <v>32</v>
      </c>
      <c r="B710" s="2601" t="s">
        <v>3220</v>
      </c>
      <c r="C710" s="2607">
        <f>[38]F!DQ35*1000</f>
        <v>0</v>
      </c>
      <c r="D710" s="2601" t="s">
        <v>4294</v>
      </c>
      <c r="E710" s="2601" t="s">
        <v>4296</v>
      </c>
      <c r="F710" s="2607">
        <v>0</v>
      </c>
      <c r="G710" s="2463"/>
      <c r="H710" s="2463"/>
      <c r="I710" s="2461"/>
      <c r="J710" s="2610"/>
    </row>
    <row r="711" spans="1:10" ht="14.1" customHeight="1">
      <c r="A711" s="2462">
        <v>33</v>
      </c>
      <c r="B711" s="2601" t="s">
        <v>5314</v>
      </c>
      <c r="C711" s="2607">
        <v>13028</v>
      </c>
      <c r="D711" s="2463" t="s">
        <v>5315</v>
      </c>
      <c r="E711" s="2601" t="s">
        <v>4296</v>
      </c>
      <c r="F711" s="2607">
        <v>22727</v>
      </c>
      <c r="G711" s="2446"/>
      <c r="H711" s="2446"/>
      <c r="I711" s="2505"/>
      <c r="J711" s="2610"/>
    </row>
    <row r="712" spans="1:10" ht="14.1" customHeight="1">
      <c r="A712" s="2462">
        <v>34</v>
      </c>
      <c r="B712" s="2446" t="s">
        <v>3221</v>
      </c>
      <c r="C712" s="2607">
        <v>13028</v>
      </c>
      <c r="D712" s="2446"/>
      <c r="E712" s="2446"/>
      <c r="F712" s="2446"/>
      <c r="G712" s="2446"/>
      <c r="H712" s="2446"/>
      <c r="I712" s="2505"/>
      <c r="J712" s="2610"/>
    </row>
    <row r="713" spans="1:10" ht="15" customHeight="1">
      <c r="A713" s="2462">
        <v>35</v>
      </c>
      <c r="B713" s="2446" t="s">
        <v>3222</v>
      </c>
      <c r="C713" s="2607"/>
      <c r="D713" s="2446"/>
      <c r="E713" s="2446"/>
      <c r="F713" s="2446"/>
      <c r="G713" s="2446"/>
      <c r="H713" s="2446"/>
      <c r="I713" s="2505"/>
      <c r="J713" s="2610"/>
    </row>
    <row r="714" spans="1:10" ht="15" customHeight="1" thickBot="1">
      <c r="A714" s="2499">
        <v>36</v>
      </c>
      <c r="B714" s="2501" t="s">
        <v>3753</v>
      </c>
      <c r="C714" s="2609">
        <v>12449</v>
      </c>
      <c r="D714" s="2609"/>
      <c r="E714" s="2501"/>
      <c r="F714" s="2501"/>
      <c r="G714" s="2501"/>
      <c r="H714" s="2501"/>
      <c r="I714" s="2502"/>
      <c r="J714" s="2610"/>
    </row>
    <row r="715" spans="1:10" ht="15" customHeight="1">
      <c r="A715" s="2449" t="s">
        <v>3184</v>
      </c>
      <c r="B715" s="2449"/>
      <c r="C715" s="2449"/>
      <c r="D715" s="2592" t="s">
        <v>1419</v>
      </c>
      <c r="E715" s="2449"/>
      <c r="F715" s="2449"/>
      <c r="G715" s="2449"/>
      <c r="H715" s="2449"/>
      <c r="I715" s="2449"/>
    </row>
    <row r="716" spans="1:10" ht="15" customHeight="1" thickBot="1">
      <c r="A716" s="2444" t="str">
        <f>+A1</f>
        <v>Annual Report of New York American Water Company, Inc. (f/k/a Long Island Water Corp)                                   Year Ended  December 31, 2013</v>
      </c>
    </row>
    <row r="717" spans="1:10" ht="15" customHeight="1">
      <c r="A717" s="2448"/>
      <c r="B717" s="2449"/>
      <c r="C717" s="2449"/>
      <c r="D717" s="2449"/>
      <c r="E717" s="2449"/>
      <c r="F717" s="2449"/>
      <c r="G717" s="2449"/>
      <c r="H717" s="2449"/>
      <c r="I717" s="2450"/>
      <c r="J717" s="2610"/>
    </row>
    <row r="718" spans="1:10" ht="15" customHeight="1">
      <c r="A718" s="2490" t="s">
        <v>3940</v>
      </c>
      <c r="B718" s="2460"/>
      <c r="C718" s="2460"/>
      <c r="D718" s="2460"/>
      <c r="E718" s="2460"/>
      <c r="F718" s="2460"/>
      <c r="G718" s="2460"/>
      <c r="H718" s="2460"/>
      <c r="I718" s="2491"/>
      <c r="J718" s="2610"/>
    </row>
    <row r="719" spans="1:10" ht="15" customHeight="1">
      <c r="A719" s="2452"/>
      <c r="B719" s="2451"/>
      <c r="C719" s="2451"/>
      <c r="D719" s="2451"/>
      <c r="E719" s="2451"/>
      <c r="F719" s="2451"/>
      <c r="G719" s="2451"/>
      <c r="H719" s="2451"/>
      <c r="I719" s="2453"/>
      <c r="J719" s="2610"/>
    </row>
    <row r="720" spans="1:10" ht="15" customHeight="1">
      <c r="A720" s="2454"/>
      <c r="B720" s="2445"/>
      <c r="C720" s="2445"/>
      <c r="D720" s="2445"/>
      <c r="E720" s="2445"/>
      <c r="F720" s="2445"/>
      <c r="G720" s="2445"/>
      <c r="H720" s="2445"/>
      <c r="I720" s="2455"/>
      <c r="J720" s="2610"/>
    </row>
    <row r="721" spans="1:10" ht="15" customHeight="1">
      <c r="A721" s="2452" t="s">
        <v>2611</v>
      </c>
      <c r="B721" s="2451"/>
      <c r="C721" s="2451"/>
      <c r="D721" s="2451"/>
      <c r="E721" s="2451"/>
      <c r="F721" s="2451"/>
      <c r="G721" s="2451"/>
      <c r="H721" s="2451"/>
      <c r="I721" s="2453"/>
      <c r="J721" s="2610"/>
    </row>
    <row r="722" spans="1:10" ht="15" customHeight="1">
      <c r="A722" s="2452" t="s">
        <v>2612</v>
      </c>
      <c r="B722" s="2451"/>
      <c r="C722" s="2451"/>
      <c r="D722" s="2451"/>
      <c r="E722" s="2451"/>
      <c r="F722" s="2451"/>
      <c r="G722" s="2451"/>
      <c r="H722" s="2451"/>
      <c r="I722" s="2453"/>
      <c r="J722" s="2610"/>
    </row>
    <row r="723" spans="1:10" ht="15" customHeight="1">
      <c r="A723" s="2452"/>
      <c r="B723" s="2451"/>
      <c r="C723" s="2451"/>
      <c r="D723" s="2451"/>
      <c r="E723" s="2451"/>
      <c r="F723" s="2451"/>
      <c r="G723" s="2451"/>
      <c r="H723" s="2451"/>
      <c r="I723" s="2453"/>
      <c r="J723" s="2610"/>
    </row>
    <row r="724" spans="1:10" ht="15" customHeight="1">
      <c r="A724" s="2492"/>
      <c r="B724" s="2464"/>
      <c r="C724" s="2464"/>
      <c r="D724" s="2464"/>
      <c r="E724" s="2464"/>
      <c r="F724" s="2464"/>
      <c r="G724" s="2464"/>
      <c r="H724" s="2464"/>
      <c r="I724" s="2458"/>
      <c r="J724" s="2610"/>
    </row>
    <row r="725" spans="1:10" ht="15" customHeight="1">
      <c r="A725" s="2462"/>
      <c r="B725" s="2463" t="s">
        <v>3026</v>
      </c>
      <c r="C725" s="2463" t="s">
        <v>94</v>
      </c>
      <c r="D725" s="2463" t="s">
        <v>3022</v>
      </c>
      <c r="E725" s="2463" t="s">
        <v>2820</v>
      </c>
      <c r="F725" s="2463" t="s">
        <v>3021</v>
      </c>
      <c r="G725" s="2463" t="s">
        <v>2821</v>
      </c>
      <c r="H725" s="2463" t="s">
        <v>2822</v>
      </c>
      <c r="I725" s="2461" t="s">
        <v>930</v>
      </c>
      <c r="J725" s="2610"/>
    </row>
    <row r="726" spans="1:10" ht="15" customHeight="1">
      <c r="A726" s="2462" t="s">
        <v>1939</v>
      </c>
      <c r="B726" s="2463" t="s">
        <v>4226</v>
      </c>
      <c r="C726" s="2463"/>
      <c r="D726" s="2463" t="s">
        <v>2823</v>
      </c>
      <c r="E726" s="2463" t="s">
        <v>4398</v>
      </c>
      <c r="F726" s="2463" t="s">
        <v>4398</v>
      </c>
      <c r="G726" s="2463" t="s">
        <v>4398</v>
      </c>
      <c r="H726" s="2463" t="s">
        <v>4399</v>
      </c>
      <c r="I726" s="2461" t="s">
        <v>931</v>
      </c>
      <c r="J726" s="2610"/>
    </row>
    <row r="727" spans="1:10" ht="15" customHeight="1">
      <c r="A727" s="2462" t="s">
        <v>1941</v>
      </c>
      <c r="B727" s="2463" t="s">
        <v>4400</v>
      </c>
      <c r="C727" s="2463"/>
      <c r="D727" s="2463" t="s">
        <v>4401</v>
      </c>
      <c r="E727" s="2463"/>
      <c r="F727" s="2463" t="s">
        <v>4402</v>
      </c>
      <c r="G727" s="2463" t="s">
        <v>3039</v>
      </c>
      <c r="H727" s="2463" t="s">
        <v>4403</v>
      </c>
      <c r="I727" s="2461"/>
      <c r="J727" s="2610"/>
    </row>
    <row r="728" spans="1:10" ht="15" customHeight="1">
      <c r="A728" s="2462"/>
      <c r="B728" s="2463" t="s">
        <v>932</v>
      </c>
      <c r="C728" s="2463" t="s">
        <v>933</v>
      </c>
      <c r="D728" s="2463" t="s">
        <v>934</v>
      </c>
      <c r="E728" s="2463" t="s">
        <v>935</v>
      </c>
      <c r="F728" s="2463" t="s">
        <v>936</v>
      </c>
      <c r="G728" s="2463" t="s">
        <v>937</v>
      </c>
      <c r="H728" s="2463" t="s">
        <v>938</v>
      </c>
      <c r="I728" s="2461" t="s">
        <v>939</v>
      </c>
      <c r="J728" s="2610"/>
    </row>
    <row r="729" spans="1:10" ht="14.1" customHeight="1">
      <c r="A729" s="2492">
        <v>1</v>
      </c>
      <c r="B729" s="2595" t="s">
        <v>2539</v>
      </c>
      <c r="C729" s="2596" t="s">
        <v>3207</v>
      </c>
      <c r="D729" s="2611" t="s">
        <v>5308</v>
      </c>
      <c r="E729" s="2597">
        <v>2</v>
      </c>
      <c r="F729" s="2597"/>
      <c r="G729" s="2597"/>
      <c r="H729" s="2597"/>
      <c r="I729" s="2598" t="s">
        <v>987</v>
      </c>
      <c r="J729" s="2610"/>
    </row>
    <row r="730" spans="1:10" ht="14.1" customHeight="1">
      <c r="A730" s="2462">
        <v>2</v>
      </c>
      <c r="B730" s="2599" t="s">
        <v>2540</v>
      </c>
      <c r="C730" s="2600" t="s">
        <v>4613</v>
      </c>
      <c r="D730" s="2601">
        <v>1995</v>
      </c>
      <c r="E730" s="2601">
        <v>1</v>
      </c>
      <c r="F730" s="2601"/>
      <c r="G730" s="2601"/>
      <c r="H730" s="2601"/>
      <c r="I730" s="2602" t="s">
        <v>4390</v>
      </c>
      <c r="J730" s="2610"/>
    </row>
    <row r="731" spans="1:10" ht="14.1" customHeight="1">
      <c r="A731" s="2462">
        <v>3</v>
      </c>
      <c r="B731" s="2599" t="s">
        <v>2540</v>
      </c>
      <c r="C731" s="2600" t="s">
        <v>3208</v>
      </c>
      <c r="D731" s="2601">
        <v>1975</v>
      </c>
      <c r="E731" s="2601">
        <v>1</v>
      </c>
      <c r="F731" s="2601"/>
      <c r="G731" s="2601"/>
      <c r="H731" s="2601"/>
      <c r="I731" s="2602" t="s">
        <v>987</v>
      </c>
      <c r="J731" s="2610"/>
    </row>
    <row r="732" spans="1:10" ht="14.1" customHeight="1">
      <c r="A732" s="2462">
        <v>4</v>
      </c>
      <c r="B732" s="2599" t="s">
        <v>2540</v>
      </c>
      <c r="C732" s="2600" t="s">
        <v>3209</v>
      </c>
      <c r="D732" s="2601" t="s">
        <v>2565</v>
      </c>
      <c r="E732" s="2601">
        <v>1</v>
      </c>
      <c r="F732" s="2601"/>
      <c r="G732" s="2601"/>
      <c r="H732" s="2601"/>
      <c r="I732" s="2602" t="s">
        <v>4390</v>
      </c>
      <c r="J732" s="2610"/>
    </row>
    <row r="733" spans="1:10" ht="14.1" customHeight="1">
      <c r="A733" s="2462">
        <v>5</v>
      </c>
      <c r="B733" s="2599" t="s">
        <v>2540</v>
      </c>
      <c r="C733" s="2600" t="s">
        <v>4614</v>
      </c>
      <c r="D733" s="2601">
        <v>1973</v>
      </c>
      <c r="E733" s="2463">
        <v>1</v>
      </c>
      <c r="F733" s="2463"/>
      <c r="G733" s="2463"/>
      <c r="H733" s="2463"/>
      <c r="I733" s="2602" t="s">
        <v>987</v>
      </c>
      <c r="J733" s="2610"/>
    </row>
    <row r="734" spans="1:10" ht="14.1" customHeight="1">
      <c r="A734" s="2462">
        <v>6</v>
      </c>
      <c r="B734" s="2599" t="s">
        <v>2540</v>
      </c>
      <c r="C734" s="2600" t="s">
        <v>4615</v>
      </c>
      <c r="D734" s="2601">
        <v>1973</v>
      </c>
      <c r="E734" s="2463">
        <v>1</v>
      </c>
      <c r="F734" s="2463"/>
      <c r="G734" s="2463"/>
      <c r="H734" s="2463"/>
      <c r="I734" s="2602" t="s">
        <v>4390</v>
      </c>
      <c r="J734" s="2610"/>
    </row>
    <row r="735" spans="1:10" ht="14.1" customHeight="1">
      <c r="A735" s="2462">
        <v>7</v>
      </c>
      <c r="B735" s="2463"/>
      <c r="C735" s="2463"/>
      <c r="D735" s="2463"/>
      <c r="E735" s="2463"/>
      <c r="F735" s="2463"/>
      <c r="G735" s="2463"/>
      <c r="H735" s="2463"/>
      <c r="I735" s="2461"/>
      <c r="J735" s="2610"/>
    </row>
    <row r="736" spans="1:10" ht="14.1" customHeight="1">
      <c r="A736" s="2462">
        <v>8</v>
      </c>
      <c r="B736" s="2463"/>
      <c r="C736" s="2463"/>
      <c r="D736" s="2463"/>
      <c r="E736" s="2463"/>
      <c r="F736" s="2463"/>
      <c r="G736" s="2463"/>
      <c r="H736" s="2463"/>
      <c r="I736" s="2461"/>
      <c r="J736" s="2610"/>
    </row>
    <row r="737" spans="1:10" ht="14.1" customHeight="1">
      <c r="A737" s="2462">
        <v>9</v>
      </c>
      <c r="B737" s="2463"/>
      <c r="C737" s="2463"/>
      <c r="D737" s="2463"/>
      <c r="E737" s="2463"/>
      <c r="F737" s="2463"/>
      <c r="G737" s="2463"/>
      <c r="H737" s="2463"/>
      <c r="I737" s="2461"/>
      <c r="J737" s="2610"/>
    </row>
    <row r="738" spans="1:10" ht="14.1" customHeight="1">
      <c r="A738" s="2492">
        <v>10</v>
      </c>
      <c r="B738" s="2464" t="s">
        <v>940</v>
      </c>
      <c r="C738" s="2464"/>
      <c r="D738" s="2464"/>
      <c r="E738" s="2464"/>
      <c r="F738" s="2464"/>
      <c r="G738" s="2464"/>
      <c r="H738" s="2464"/>
      <c r="I738" s="2458"/>
      <c r="J738" s="2610"/>
    </row>
    <row r="739" spans="1:10" ht="14.1" customHeight="1">
      <c r="A739" s="2454"/>
      <c r="B739" s="2445" t="s">
        <v>941</v>
      </c>
      <c r="C739" s="2445"/>
      <c r="D739" s="2445"/>
      <c r="E739" s="2445"/>
      <c r="F739" s="2445"/>
      <c r="G739" s="2445"/>
      <c r="H739" s="2445"/>
      <c r="I739" s="2455"/>
      <c r="J739" s="2610"/>
    </row>
    <row r="740" spans="1:10" ht="14.1" customHeight="1">
      <c r="A740" s="2452"/>
      <c r="B740" s="2451"/>
      <c r="C740" s="2451"/>
      <c r="D740" s="2451"/>
      <c r="E740" s="2451"/>
      <c r="F740" s="2451"/>
      <c r="G740" s="2451"/>
      <c r="H740" s="2451"/>
      <c r="I740" s="2453"/>
      <c r="J740" s="2610"/>
    </row>
    <row r="741" spans="1:10" ht="14.1" customHeight="1">
      <c r="A741" s="2490" t="s">
        <v>3634</v>
      </c>
      <c r="B741" s="2460"/>
      <c r="C741" s="2460"/>
      <c r="D741" s="2460"/>
      <c r="E741" s="2460"/>
      <c r="F741" s="2460"/>
      <c r="G741" s="2460"/>
      <c r="H741" s="2460"/>
      <c r="I741" s="2491"/>
      <c r="J741" s="2610"/>
    </row>
    <row r="742" spans="1:10" ht="15" customHeight="1">
      <c r="A742" s="2452" t="s">
        <v>2348</v>
      </c>
      <c r="B742" s="2451"/>
      <c r="C742" s="2451"/>
      <c r="D742" s="2451"/>
      <c r="E742" s="2451"/>
      <c r="F742" s="2451"/>
      <c r="G742" s="2451"/>
      <c r="H742" s="2451"/>
      <c r="I742" s="2453"/>
      <c r="J742" s="2610"/>
    </row>
    <row r="743" spans="1:10" ht="15" customHeight="1">
      <c r="A743" s="2452" t="s">
        <v>4346</v>
      </c>
      <c r="B743" s="2451"/>
      <c r="C743" s="2451"/>
      <c r="D743" s="2451"/>
      <c r="E743" s="2451" t="s">
        <v>2349</v>
      </c>
      <c r="F743" s="2451"/>
      <c r="G743" s="2451"/>
      <c r="H743" s="2451"/>
      <c r="I743" s="2453"/>
      <c r="J743" s="2610"/>
    </row>
    <row r="744" spans="1:10" ht="15" customHeight="1">
      <c r="A744" s="2452"/>
      <c r="B744" s="2451"/>
      <c r="C744" s="2451"/>
      <c r="D744" s="2451"/>
      <c r="E744" s="2451" t="s">
        <v>1004</v>
      </c>
      <c r="F744" s="2451"/>
      <c r="G744" s="2451"/>
      <c r="H744" s="2451"/>
      <c r="I744" s="2453"/>
      <c r="J744" s="2610"/>
    </row>
    <row r="745" spans="1:10" ht="15" customHeight="1">
      <c r="A745" s="2452" t="s">
        <v>1744</v>
      </c>
      <c r="B745" s="2451"/>
      <c r="C745" s="2451"/>
      <c r="D745" s="2451"/>
      <c r="E745" s="2451"/>
      <c r="F745" s="2451"/>
      <c r="G745" s="2451"/>
      <c r="H745" s="2451"/>
      <c r="I745" s="2453"/>
      <c r="J745" s="2610"/>
    </row>
    <row r="746" spans="1:10" ht="15" customHeight="1">
      <c r="A746" s="2452" t="s">
        <v>1005</v>
      </c>
      <c r="B746" s="2451"/>
      <c r="C746" s="2451"/>
      <c r="D746" s="2451"/>
      <c r="E746" s="2451" t="s">
        <v>848</v>
      </c>
      <c r="F746" s="2451"/>
      <c r="G746" s="2451"/>
      <c r="H746" s="2451"/>
      <c r="I746" s="2453"/>
      <c r="J746" s="2610"/>
    </row>
    <row r="747" spans="1:10" ht="15" customHeight="1">
      <c r="A747" s="2452"/>
      <c r="B747" s="2451"/>
      <c r="C747" s="2451"/>
      <c r="D747" s="2451"/>
      <c r="E747" s="2451" t="s">
        <v>1737</v>
      </c>
      <c r="F747" s="2451"/>
      <c r="G747" s="2451"/>
      <c r="H747" s="2451"/>
      <c r="I747" s="2453"/>
      <c r="J747" s="2610"/>
    </row>
    <row r="748" spans="1:10" ht="15" customHeight="1">
      <c r="A748" s="2452" t="s">
        <v>849</v>
      </c>
      <c r="B748" s="2451"/>
      <c r="C748" s="2451"/>
      <c r="D748" s="2451"/>
      <c r="E748" s="2451"/>
      <c r="F748" s="2451"/>
      <c r="G748" s="2451"/>
      <c r="H748" s="2451"/>
      <c r="I748" s="2453"/>
      <c r="J748" s="2610"/>
    </row>
    <row r="749" spans="1:10" ht="15" customHeight="1">
      <c r="A749" s="2452" t="s">
        <v>4345</v>
      </c>
      <c r="B749" s="2451"/>
      <c r="C749" s="2451"/>
      <c r="D749" s="2451"/>
      <c r="E749" s="2451"/>
      <c r="F749" s="2451"/>
      <c r="G749" s="2451"/>
      <c r="H749" s="2451"/>
      <c r="I749" s="2453"/>
      <c r="J749" s="2610"/>
    </row>
    <row r="750" spans="1:10" ht="15" customHeight="1">
      <c r="A750" s="2452"/>
      <c r="B750" s="2451"/>
      <c r="C750" s="2451"/>
      <c r="D750" s="2451"/>
      <c r="E750" s="2451"/>
      <c r="F750" s="2451"/>
      <c r="G750" s="2451"/>
      <c r="H750" s="2451"/>
      <c r="I750" s="2453"/>
      <c r="J750" s="2610"/>
    </row>
    <row r="751" spans="1:10" ht="15" customHeight="1">
      <c r="A751" s="2492"/>
      <c r="B751" s="2464"/>
      <c r="C751" s="2464"/>
      <c r="D751" s="2464"/>
      <c r="E751" s="2464" t="s">
        <v>1738</v>
      </c>
      <c r="F751" s="2464"/>
      <c r="G751" s="2464"/>
      <c r="H751" s="2580"/>
      <c r="I751" s="2458"/>
      <c r="J751" s="2610"/>
    </row>
    <row r="752" spans="1:10" ht="14.1" customHeight="1">
      <c r="A752" s="2462" t="s">
        <v>1939</v>
      </c>
      <c r="B752" s="2463" t="s">
        <v>1739</v>
      </c>
      <c r="C752" s="2463" t="s">
        <v>3754</v>
      </c>
      <c r="D752" s="2463"/>
      <c r="E752" s="2463"/>
      <c r="F752" s="2463"/>
      <c r="G752" s="2463"/>
      <c r="H752" s="2516"/>
      <c r="I752" s="2461"/>
      <c r="J752" s="2610"/>
    </row>
    <row r="753" spans="1:10" ht="14.1" customHeight="1">
      <c r="A753" s="2462" t="s">
        <v>1941</v>
      </c>
      <c r="B753" s="2463"/>
      <c r="C753" s="2463" t="s">
        <v>1874</v>
      </c>
      <c r="D753" s="2463" t="s">
        <v>3032</v>
      </c>
      <c r="E753" s="2463" t="s">
        <v>1875</v>
      </c>
      <c r="F753" s="2463" t="s">
        <v>1876</v>
      </c>
      <c r="G753" s="2459" t="s">
        <v>1877</v>
      </c>
      <c r="H753" s="2460"/>
      <c r="I753" s="2461" t="s">
        <v>4031</v>
      </c>
      <c r="J753" s="2610"/>
    </row>
    <row r="754" spans="1:10" ht="14.1" customHeight="1">
      <c r="A754" s="2462"/>
      <c r="B754" s="2463"/>
      <c r="C754" s="2463"/>
      <c r="D754" s="2463"/>
      <c r="E754" s="2463"/>
      <c r="F754" s="2463"/>
      <c r="G754" s="2459"/>
      <c r="H754" s="2460"/>
      <c r="I754" s="2461"/>
      <c r="J754" s="2610"/>
    </row>
    <row r="755" spans="1:10" ht="14.1" customHeight="1">
      <c r="A755" s="2462"/>
      <c r="B755" s="2463" t="s">
        <v>932</v>
      </c>
      <c r="C755" s="2463" t="s">
        <v>933</v>
      </c>
      <c r="D755" s="2463" t="s">
        <v>934</v>
      </c>
      <c r="E755" s="2463" t="s">
        <v>935</v>
      </c>
      <c r="F755" s="2463" t="s">
        <v>936</v>
      </c>
      <c r="G755" s="2459" t="s">
        <v>937</v>
      </c>
      <c r="H755" s="2460"/>
      <c r="I755" s="2461" t="s">
        <v>938</v>
      </c>
      <c r="J755" s="2610"/>
    </row>
    <row r="756" spans="1:10" ht="14.1" customHeight="1">
      <c r="A756" s="2492">
        <v>23</v>
      </c>
      <c r="B756" s="2444" t="s">
        <v>3212</v>
      </c>
      <c r="C756" s="2464"/>
      <c r="D756" s="2444"/>
      <c r="E756" s="2444"/>
      <c r="F756" s="2444"/>
      <c r="G756" s="2444"/>
      <c r="H756" s="2444"/>
      <c r="I756" s="2507"/>
      <c r="J756" s="2610"/>
    </row>
    <row r="757" spans="1:10" ht="14.1" customHeight="1">
      <c r="A757" s="2462">
        <v>24</v>
      </c>
      <c r="B757" s="2446" t="s">
        <v>3213</v>
      </c>
      <c r="C757" s="2463"/>
      <c r="D757" s="2446"/>
      <c r="E757" s="2446"/>
      <c r="F757" s="2446"/>
      <c r="G757" s="2446"/>
      <c r="H757" s="2446"/>
      <c r="I757" s="2505"/>
      <c r="J757" s="2610"/>
    </row>
    <row r="758" spans="1:10" ht="14.1" customHeight="1">
      <c r="A758" s="2462">
        <v>25</v>
      </c>
      <c r="B758" s="2446" t="s">
        <v>3214</v>
      </c>
      <c r="C758" s="2463"/>
      <c r="D758" s="2446"/>
      <c r="E758" s="2446"/>
      <c r="F758" s="2446"/>
      <c r="G758" s="2446"/>
      <c r="H758" s="2446"/>
      <c r="I758" s="2505"/>
      <c r="J758" s="2610"/>
    </row>
    <row r="759" spans="1:10" ht="14.1" customHeight="1">
      <c r="A759" s="2462">
        <v>26</v>
      </c>
      <c r="B759" s="2446" t="s">
        <v>3215</v>
      </c>
      <c r="C759" s="2463"/>
      <c r="D759" s="2446"/>
      <c r="E759" s="2446"/>
      <c r="F759" s="2446"/>
      <c r="G759" s="2446"/>
      <c r="H759" s="2446"/>
      <c r="I759" s="2505"/>
      <c r="J759" s="2610"/>
    </row>
    <row r="760" spans="1:10" ht="14.1" customHeight="1">
      <c r="A760" s="2462">
        <v>27</v>
      </c>
      <c r="B760" s="2446" t="s">
        <v>3216</v>
      </c>
      <c r="C760" s="2463"/>
      <c r="D760" s="2446"/>
      <c r="E760" s="2446"/>
      <c r="F760" s="2446"/>
      <c r="G760" s="2446"/>
      <c r="H760" s="2446"/>
      <c r="I760" s="2505"/>
      <c r="J760" s="2610"/>
    </row>
    <row r="761" spans="1:10" ht="14.1" customHeight="1">
      <c r="A761" s="2462">
        <v>28</v>
      </c>
      <c r="B761" s="2446" t="s">
        <v>3217</v>
      </c>
      <c r="C761" s="2463"/>
      <c r="D761" s="2446"/>
      <c r="E761" s="2446"/>
      <c r="F761" s="2446"/>
      <c r="G761" s="2446"/>
      <c r="H761" s="2446"/>
      <c r="I761" s="2505"/>
      <c r="J761" s="2610"/>
    </row>
    <row r="762" spans="1:10" ht="14.1" customHeight="1">
      <c r="A762" s="2462">
        <v>29</v>
      </c>
      <c r="B762" s="2601" t="s">
        <v>3218</v>
      </c>
      <c r="C762" s="2607">
        <v>640842</v>
      </c>
      <c r="D762" s="2601" t="s">
        <v>4292</v>
      </c>
      <c r="E762" s="2601" t="s">
        <v>4295</v>
      </c>
      <c r="F762" s="2607">
        <v>9110</v>
      </c>
      <c r="G762" s="2463"/>
      <c r="H762" s="2463"/>
      <c r="I762" s="2461"/>
      <c r="J762" s="2610"/>
    </row>
    <row r="763" spans="1:10" ht="14.1" customHeight="1">
      <c r="A763" s="2462">
        <v>30</v>
      </c>
      <c r="B763" s="2601"/>
      <c r="C763" s="2607"/>
      <c r="D763" s="2601"/>
      <c r="E763" s="2601"/>
      <c r="F763" s="2607"/>
      <c r="G763" s="2463"/>
      <c r="H763" s="2463"/>
      <c r="I763" s="2461"/>
      <c r="J763" s="2610"/>
    </row>
    <row r="764" spans="1:10" ht="14.1" customHeight="1">
      <c r="A764" s="2462">
        <v>31</v>
      </c>
      <c r="B764" s="2601" t="s">
        <v>3219</v>
      </c>
      <c r="C764" s="2607">
        <v>640842</v>
      </c>
      <c r="D764" s="2601" t="s">
        <v>4293</v>
      </c>
      <c r="E764" s="2601" t="s">
        <v>4296</v>
      </c>
      <c r="F764" s="2607">
        <v>132348</v>
      </c>
      <c r="G764" s="2463"/>
      <c r="H764" s="2463"/>
      <c r="I764" s="2461"/>
      <c r="J764" s="2610"/>
    </row>
    <row r="765" spans="1:10" ht="14.1" customHeight="1">
      <c r="A765" s="2462">
        <v>32</v>
      </c>
      <c r="B765" s="2601" t="s">
        <v>3220</v>
      </c>
      <c r="C765" s="2607">
        <v>640842</v>
      </c>
      <c r="D765" s="2601" t="s">
        <v>4294</v>
      </c>
      <c r="E765" s="2601" t="s">
        <v>4296</v>
      </c>
      <c r="F765" s="2607">
        <v>229700</v>
      </c>
      <c r="G765" s="2463"/>
      <c r="H765" s="2463"/>
      <c r="I765" s="2461"/>
      <c r="J765" s="2610"/>
    </row>
    <row r="766" spans="1:10" ht="14.1" customHeight="1">
      <c r="A766" s="2462">
        <v>33</v>
      </c>
      <c r="B766" s="2446"/>
      <c r="C766" s="2607"/>
      <c r="D766" s="2446"/>
      <c r="E766" s="2446"/>
      <c r="F766" s="2608"/>
      <c r="G766" s="2446"/>
      <c r="H766" s="2446"/>
      <c r="I766" s="2505"/>
      <c r="J766" s="2610"/>
    </row>
    <row r="767" spans="1:10" ht="14.1" customHeight="1">
      <c r="A767" s="2462">
        <v>34</v>
      </c>
      <c r="B767" s="2446" t="s">
        <v>3221</v>
      </c>
      <c r="C767" s="2607">
        <v>640842</v>
      </c>
      <c r="D767" s="2446"/>
      <c r="E767" s="2446"/>
      <c r="F767" s="2446"/>
      <c r="G767" s="2446"/>
      <c r="H767" s="2446"/>
      <c r="I767" s="2505"/>
      <c r="J767" s="2610"/>
    </row>
    <row r="768" spans="1:10" ht="14.1" customHeight="1">
      <c r="A768" s="2462">
        <v>35</v>
      </c>
      <c r="B768" s="2446" t="s">
        <v>3222</v>
      </c>
      <c r="C768" s="2607">
        <v>640842</v>
      </c>
      <c r="D768" s="2446"/>
      <c r="E768" s="2446"/>
      <c r="F768" s="2446"/>
      <c r="G768" s="2446"/>
      <c r="H768" s="2446"/>
      <c r="I768" s="2505"/>
      <c r="J768" s="2610"/>
    </row>
    <row r="769" spans="1:10" ht="15" customHeight="1" thickBot="1">
      <c r="A769" s="2499">
        <v>36</v>
      </c>
      <c r="B769" s="2501" t="s">
        <v>3753</v>
      </c>
      <c r="C769" s="2609">
        <v>640842</v>
      </c>
      <c r="D769" s="2609"/>
      <c r="E769" s="2501"/>
      <c r="F769" s="2501"/>
      <c r="G769" s="2501"/>
      <c r="H769" s="2501"/>
      <c r="I769" s="2502"/>
      <c r="J769" s="2610"/>
    </row>
    <row r="770" spans="1:10" ht="15" customHeight="1">
      <c r="A770" s="2449" t="s">
        <v>3184</v>
      </c>
      <c r="B770" s="2449"/>
      <c r="C770" s="2449"/>
      <c r="D770" s="2592" t="s">
        <v>1402</v>
      </c>
      <c r="E770" s="2449"/>
      <c r="F770" s="2449"/>
      <c r="G770" s="2449"/>
      <c r="H770" s="2449"/>
      <c r="I770" s="2449"/>
    </row>
    <row r="771" spans="1:10" ht="15" customHeight="1" thickBot="1">
      <c r="A771" s="2444" t="str">
        <f>+A1</f>
        <v>Annual Report of New York American Water Company, Inc. (f/k/a Long Island Water Corp)                                   Year Ended  December 31, 2013</v>
      </c>
    </row>
    <row r="772" spans="1:10" ht="15" customHeight="1">
      <c r="A772" s="2448"/>
      <c r="B772" s="2449"/>
      <c r="C772" s="2449"/>
      <c r="D772" s="2449"/>
      <c r="E772" s="2449"/>
      <c r="F772" s="2449"/>
      <c r="G772" s="2449"/>
      <c r="H772" s="2449"/>
      <c r="I772" s="2450"/>
      <c r="J772" s="2610"/>
    </row>
    <row r="773" spans="1:10" ht="15" customHeight="1">
      <c r="A773" s="2490" t="s">
        <v>3940</v>
      </c>
      <c r="B773" s="2460"/>
      <c r="C773" s="2460"/>
      <c r="D773" s="2460"/>
      <c r="E773" s="2460"/>
      <c r="F773" s="2460"/>
      <c r="G773" s="2460"/>
      <c r="H773" s="2460"/>
      <c r="I773" s="2491"/>
      <c r="J773" s="2610"/>
    </row>
    <row r="774" spans="1:10" ht="15" customHeight="1">
      <c r="A774" s="2452"/>
      <c r="B774" s="2451"/>
      <c r="C774" s="2451"/>
      <c r="D774" s="2451"/>
      <c r="E774" s="2451"/>
      <c r="F774" s="2451"/>
      <c r="G774" s="2451"/>
      <c r="H774" s="2451"/>
      <c r="I774" s="2453"/>
      <c r="J774" s="2610"/>
    </row>
    <row r="775" spans="1:10" ht="15" customHeight="1">
      <c r="A775" s="2454"/>
      <c r="B775" s="2445"/>
      <c r="C775" s="2445"/>
      <c r="D775" s="2445"/>
      <c r="E775" s="2445"/>
      <c r="F775" s="2445"/>
      <c r="G775" s="2445"/>
      <c r="H775" s="2445"/>
      <c r="I775" s="2455"/>
      <c r="J775" s="2610"/>
    </row>
    <row r="776" spans="1:10" ht="15" customHeight="1">
      <c r="A776" s="2452" t="s">
        <v>2611</v>
      </c>
      <c r="B776" s="2451"/>
      <c r="C776" s="2451"/>
      <c r="D776" s="2451"/>
      <c r="E776" s="2451"/>
      <c r="F776" s="2451"/>
      <c r="G776" s="2451"/>
      <c r="H776" s="2451"/>
      <c r="I776" s="2453"/>
      <c r="J776" s="2610"/>
    </row>
    <row r="777" spans="1:10" ht="15" customHeight="1">
      <c r="A777" s="2452" t="s">
        <v>2612</v>
      </c>
      <c r="B777" s="2451"/>
      <c r="C777" s="2451"/>
      <c r="D777" s="2451"/>
      <c r="E777" s="2451"/>
      <c r="F777" s="2451"/>
      <c r="G777" s="2451"/>
      <c r="H777" s="2451"/>
      <c r="I777" s="2453"/>
      <c r="J777" s="2610"/>
    </row>
    <row r="778" spans="1:10" ht="15" customHeight="1">
      <c r="A778" s="2452"/>
      <c r="B778" s="2451"/>
      <c r="C778" s="2451"/>
      <c r="D778" s="2451"/>
      <c r="E778" s="2451"/>
      <c r="F778" s="2451"/>
      <c r="G778" s="2451"/>
      <c r="H778" s="2451"/>
      <c r="I778" s="2453"/>
      <c r="J778" s="2610"/>
    </row>
    <row r="779" spans="1:10" ht="15" customHeight="1">
      <c r="A779" s="2492"/>
      <c r="B779" s="2464"/>
      <c r="C779" s="2464"/>
      <c r="D779" s="2464"/>
      <c r="E779" s="2464"/>
      <c r="F779" s="2464"/>
      <c r="G779" s="2464"/>
      <c r="H779" s="2464"/>
      <c r="I779" s="2458"/>
      <c r="J779" s="2610"/>
    </row>
    <row r="780" spans="1:10" ht="15" customHeight="1">
      <c r="A780" s="2462"/>
      <c r="B780" s="2463" t="s">
        <v>3026</v>
      </c>
      <c r="C780" s="2463" t="s">
        <v>94</v>
      </c>
      <c r="D780" s="2463" t="s">
        <v>3022</v>
      </c>
      <c r="E780" s="2463" t="s">
        <v>2820</v>
      </c>
      <c r="F780" s="2463" t="s">
        <v>3021</v>
      </c>
      <c r="G780" s="2463" t="s">
        <v>2821</v>
      </c>
      <c r="H780" s="2463" t="s">
        <v>2822</v>
      </c>
      <c r="I780" s="2461" t="s">
        <v>930</v>
      </c>
      <c r="J780" s="2610"/>
    </row>
    <row r="781" spans="1:10" ht="15" customHeight="1">
      <c r="A781" s="2462" t="s">
        <v>1939</v>
      </c>
      <c r="B781" s="2463" t="s">
        <v>4226</v>
      </c>
      <c r="C781" s="2463"/>
      <c r="D781" s="2463" t="s">
        <v>2823</v>
      </c>
      <c r="E781" s="2463" t="s">
        <v>4398</v>
      </c>
      <c r="F781" s="2463" t="s">
        <v>4398</v>
      </c>
      <c r="G781" s="2463" t="s">
        <v>4398</v>
      </c>
      <c r="H781" s="2463" t="s">
        <v>4399</v>
      </c>
      <c r="I781" s="2461" t="s">
        <v>931</v>
      </c>
      <c r="J781" s="2610"/>
    </row>
    <row r="782" spans="1:10" ht="15" customHeight="1">
      <c r="A782" s="2462" t="s">
        <v>1941</v>
      </c>
      <c r="B782" s="2463" t="s">
        <v>4400</v>
      </c>
      <c r="C782" s="2463"/>
      <c r="D782" s="2463" t="s">
        <v>4401</v>
      </c>
      <c r="E782" s="2463"/>
      <c r="F782" s="2463" t="s">
        <v>4402</v>
      </c>
      <c r="G782" s="2463" t="s">
        <v>3039</v>
      </c>
      <c r="H782" s="2463" t="s">
        <v>4403</v>
      </c>
      <c r="I782" s="2461"/>
      <c r="J782" s="2610"/>
    </row>
    <row r="783" spans="1:10" ht="15" customHeight="1">
      <c r="A783" s="2462"/>
      <c r="B783" s="2463" t="s">
        <v>932</v>
      </c>
      <c r="C783" s="2463" t="s">
        <v>933</v>
      </c>
      <c r="D783" s="2463" t="s">
        <v>934</v>
      </c>
      <c r="E783" s="2463" t="s">
        <v>935</v>
      </c>
      <c r="F783" s="2463" t="s">
        <v>936</v>
      </c>
      <c r="G783" s="2463" t="s">
        <v>937</v>
      </c>
      <c r="H783" s="2463" t="s">
        <v>938</v>
      </c>
      <c r="I783" s="2461" t="s">
        <v>939</v>
      </c>
      <c r="J783" s="2610"/>
    </row>
    <row r="784" spans="1:10" ht="15" customHeight="1">
      <c r="A784" s="2492">
        <v>1</v>
      </c>
      <c r="B784" s="2595" t="s">
        <v>952</v>
      </c>
      <c r="C784" s="2596" t="s">
        <v>3207</v>
      </c>
      <c r="D784" s="2611" t="s">
        <v>5308</v>
      </c>
      <c r="E784" s="2597">
        <v>2</v>
      </c>
      <c r="F784" s="2597"/>
      <c r="G784" s="2597"/>
      <c r="H784" s="2597"/>
      <c r="I784" s="2598" t="s">
        <v>987</v>
      </c>
      <c r="J784" s="2610"/>
    </row>
    <row r="785" spans="1:10" ht="14.1" customHeight="1">
      <c r="A785" s="2462">
        <v>2</v>
      </c>
      <c r="B785" s="2599" t="s">
        <v>953</v>
      </c>
      <c r="C785" s="2600" t="s">
        <v>4613</v>
      </c>
      <c r="D785" s="2601">
        <v>1995</v>
      </c>
      <c r="E785" s="2601">
        <v>2</v>
      </c>
      <c r="F785" s="2601"/>
      <c r="G785" s="2601"/>
      <c r="H785" s="2601"/>
      <c r="I785" s="2602" t="s">
        <v>4390</v>
      </c>
      <c r="J785" s="2610"/>
    </row>
    <row r="786" spans="1:10" ht="14.1" customHeight="1">
      <c r="A786" s="2462">
        <v>3</v>
      </c>
      <c r="B786" s="2599" t="s">
        <v>953</v>
      </c>
      <c r="C786" s="2600" t="s">
        <v>3208</v>
      </c>
      <c r="D786" s="2601">
        <v>1988</v>
      </c>
      <c r="E786" s="2601">
        <v>1</v>
      </c>
      <c r="F786" s="2601"/>
      <c r="G786" s="2601"/>
      <c r="H786" s="2601"/>
      <c r="I786" s="2602" t="s">
        <v>987</v>
      </c>
      <c r="J786" s="2610"/>
    </row>
    <row r="787" spans="1:10" ht="14.1" customHeight="1">
      <c r="A787" s="2462">
        <v>4</v>
      </c>
      <c r="B787" s="2599" t="s">
        <v>953</v>
      </c>
      <c r="C787" s="2600" t="s">
        <v>3209</v>
      </c>
      <c r="D787" s="2601" t="s">
        <v>954</v>
      </c>
      <c r="E787" s="2601">
        <v>2</v>
      </c>
      <c r="F787" s="2601"/>
      <c r="G787" s="2601"/>
      <c r="H787" s="2601"/>
      <c r="I787" s="2602" t="s">
        <v>4390</v>
      </c>
      <c r="J787" s="2610"/>
    </row>
    <row r="788" spans="1:10" ht="14.1" customHeight="1">
      <c r="A788" s="2462">
        <v>5</v>
      </c>
      <c r="B788" s="2599" t="s">
        <v>953</v>
      </c>
      <c r="C788" s="2600" t="s">
        <v>4614</v>
      </c>
      <c r="D788" s="2601">
        <v>1973</v>
      </c>
      <c r="E788" s="2463">
        <v>1</v>
      </c>
      <c r="F788" s="2463"/>
      <c r="G788" s="2463"/>
      <c r="H788" s="2463"/>
      <c r="I788" s="2602" t="s">
        <v>987</v>
      </c>
      <c r="J788" s="2610"/>
    </row>
    <row r="789" spans="1:10" ht="14.1" customHeight="1">
      <c r="A789" s="2462">
        <v>6</v>
      </c>
      <c r="B789" s="2599" t="s">
        <v>953</v>
      </c>
      <c r="C789" s="2600" t="s">
        <v>4615</v>
      </c>
      <c r="D789" s="2601">
        <v>1973</v>
      </c>
      <c r="E789" s="2463">
        <v>2</v>
      </c>
      <c r="F789" s="2463"/>
      <c r="G789" s="2463"/>
      <c r="H789" s="2463"/>
      <c r="I789" s="2602" t="s">
        <v>4390</v>
      </c>
      <c r="J789" s="2610"/>
    </row>
    <row r="790" spans="1:10" ht="14.1" customHeight="1">
      <c r="A790" s="2462">
        <v>7</v>
      </c>
      <c r="B790" s="2463"/>
      <c r="C790" s="2463"/>
      <c r="D790" s="2463"/>
      <c r="E790" s="2463"/>
      <c r="F790" s="2463"/>
      <c r="G790" s="2463"/>
      <c r="H790" s="2463"/>
      <c r="I790" s="2461"/>
      <c r="J790" s="2610"/>
    </row>
    <row r="791" spans="1:10" ht="14.1" customHeight="1">
      <c r="A791" s="2462">
        <v>8</v>
      </c>
      <c r="B791" s="2463"/>
      <c r="C791" s="2463"/>
      <c r="D791" s="2463"/>
      <c r="E791" s="2463"/>
      <c r="F791" s="2463"/>
      <c r="G791" s="2463"/>
      <c r="H791" s="2463"/>
      <c r="I791" s="2461"/>
      <c r="J791" s="2610"/>
    </row>
    <row r="792" spans="1:10" ht="14.1" customHeight="1">
      <c r="A792" s="2462">
        <v>9</v>
      </c>
      <c r="B792" s="2463"/>
      <c r="C792" s="2463"/>
      <c r="D792" s="2463"/>
      <c r="E792" s="2463"/>
      <c r="F792" s="2463"/>
      <c r="G792" s="2463"/>
      <c r="H792" s="2463"/>
      <c r="I792" s="2461"/>
      <c r="J792" s="2610"/>
    </row>
    <row r="793" spans="1:10" ht="14.1" customHeight="1">
      <c r="A793" s="2492">
        <v>10</v>
      </c>
      <c r="B793" s="2464" t="s">
        <v>940</v>
      </c>
      <c r="C793" s="2464"/>
      <c r="D793" s="2464"/>
      <c r="E793" s="2464"/>
      <c r="F793" s="2464"/>
      <c r="G793" s="2464"/>
      <c r="H793" s="2464"/>
      <c r="I793" s="2458"/>
      <c r="J793" s="2610"/>
    </row>
    <row r="794" spans="1:10" ht="14.1" customHeight="1">
      <c r="A794" s="2454"/>
      <c r="B794" s="2445" t="s">
        <v>941</v>
      </c>
      <c r="C794" s="2445"/>
      <c r="D794" s="2445"/>
      <c r="E794" s="2445"/>
      <c r="F794" s="2445"/>
      <c r="G794" s="2445"/>
      <c r="H794" s="2445"/>
      <c r="I794" s="2455"/>
      <c r="J794" s="2610"/>
    </row>
    <row r="795" spans="1:10" ht="14.1" customHeight="1">
      <c r="A795" s="2452"/>
      <c r="B795" s="2451"/>
      <c r="C795" s="2451"/>
      <c r="D795" s="2451"/>
      <c r="E795" s="2451"/>
      <c r="F795" s="2451"/>
      <c r="G795" s="2451"/>
      <c r="H795" s="2451"/>
      <c r="I795" s="2453"/>
      <c r="J795" s="2610"/>
    </row>
    <row r="796" spans="1:10" ht="14.1" customHeight="1">
      <c r="A796" s="2490" t="s">
        <v>3634</v>
      </c>
      <c r="B796" s="2460"/>
      <c r="C796" s="2460"/>
      <c r="D796" s="2460"/>
      <c r="E796" s="2460"/>
      <c r="F796" s="2460"/>
      <c r="G796" s="2460"/>
      <c r="H796" s="2460"/>
      <c r="I796" s="2491"/>
      <c r="J796" s="2610"/>
    </row>
    <row r="797" spans="1:10" ht="14.1" customHeight="1">
      <c r="A797" s="2452" t="s">
        <v>2348</v>
      </c>
      <c r="B797" s="2451"/>
      <c r="C797" s="2451"/>
      <c r="D797" s="2451"/>
      <c r="E797" s="2451"/>
      <c r="F797" s="2451"/>
      <c r="G797" s="2451"/>
      <c r="H797" s="2451"/>
      <c r="I797" s="2453"/>
      <c r="J797" s="2610"/>
    </row>
    <row r="798" spans="1:10" ht="15" customHeight="1">
      <c r="A798" s="2452" t="s">
        <v>4346</v>
      </c>
      <c r="B798" s="2451"/>
      <c r="C798" s="2451"/>
      <c r="D798" s="2451"/>
      <c r="E798" s="2451" t="s">
        <v>2349</v>
      </c>
      <c r="F798" s="2451"/>
      <c r="G798" s="2451"/>
      <c r="H798" s="2451"/>
      <c r="I798" s="2453"/>
      <c r="J798" s="2610"/>
    </row>
    <row r="799" spans="1:10" ht="15" customHeight="1">
      <c r="A799" s="2452"/>
      <c r="B799" s="2451"/>
      <c r="C799" s="2451"/>
      <c r="D799" s="2451"/>
      <c r="E799" s="2451" t="s">
        <v>1004</v>
      </c>
      <c r="F799" s="2451"/>
      <c r="G799" s="2451"/>
      <c r="H799" s="2451"/>
      <c r="I799" s="2453"/>
      <c r="J799" s="2610"/>
    </row>
    <row r="800" spans="1:10" ht="15" customHeight="1">
      <c r="A800" s="2452" t="s">
        <v>1744</v>
      </c>
      <c r="B800" s="2451"/>
      <c r="C800" s="2451"/>
      <c r="D800" s="2451"/>
      <c r="E800" s="2451"/>
      <c r="F800" s="2451"/>
      <c r="G800" s="2451"/>
      <c r="H800" s="2451"/>
      <c r="I800" s="2453"/>
      <c r="J800" s="2610"/>
    </row>
    <row r="801" spans="1:10" ht="15" customHeight="1">
      <c r="A801" s="2452" t="s">
        <v>1005</v>
      </c>
      <c r="B801" s="2451"/>
      <c r="C801" s="2451"/>
      <c r="D801" s="2451"/>
      <c r="E801" s="2451" t="s">
        <v>848</v>
      </c>
      <c r="F801" s="2451"/>
      <c r="G801" s="2451"/>
      <c r="H801" s="2451"/>
      <c r="I801" s="2453"/>
      <c r="J801" s="2610"/>
    </row>
    <row r="802" spans="1:10" ht="15" customHeight="1">
      <c r="A802" s="2452"/>
      <c r="B802" s="2451"/>
      <c r="C802" s="2451"/>
      <c r="D802" s="2451"/>
      <c r="E802" s="2451" t="s">
        <v>1737</v>
      </c>
      <c r="F802" s="2451"/>
      <c r="G802" s="2451"/>
      <c r="H802" s="2451"/>
      <c r="I802" s="2453"/>
      <c r="J802" s="2610"/>
    </row>
    <row r="803" spans="1:10" ht="15" customHeight="1">
      <c r="A803" s="2452" t="s">
        <v>849</v>
      </c>
      <c r="B803" s="2451"/>
      <c r="C803" s="2451"/>
      <c r="D803" s="2451"/>
      <c r="E803" s="2451"/>
      <c r="F803" s="2451"/>
      <c r="G803" s="2451"/>
      <c r="H803" s="2451"/>
      <c r="I803" s="2453"/>
      <c r="J803" s="2610"/>
    </row>
    <row r="804" spans="1:10" ht="15" customHeight="1">
      <c r="A804" s="2452" t="s">
        <v>4345</v>
      </c>
      <c r="B804" s="2451"/>
      <c r="C804" s="2451"/>
      <c r="D804" s="2451"/>
      <c r="E804" s="2451"/>
      <c r="F804" s="2451"/>
      <c r="G804" s="2451"/>
      <c r="H804" s="2451"/>
      <c r="I804" s="2453"/>
      <c r="J804" s="2610"/>
    </row>
    <row r="805" spans="1:10" ht="15" customHeight="1">
      <c r="A805" s="2452"/>
      <c r="B805" s="2451"/>
      <c r="C805" s="2451"/>
      <c r="D805" s="2451"/>
      <c r="E805" s="2451"/>
      <c r="F805" s="2451"/>
      <c r="G805" s="2451"/>
      <c r="H805" s="2451"/>
      <c r="I805" s="2453"/>
      <c r="J805" s="2610"/>
    </row>
    <row r="806" spans="1:10" ht="15" customHeight="1">
      <c r="A806" s="2492"/>
      <c r="B806" s="2464"/>
      <c r="C806" s="2464"/>
      <c r="D806" s="2464"/>
      <c r="E806" s="2464" t="s">
        <v>1738</v>
      </c>
      <c r="F806" s="2464"/>
      <c r="G806" s="2464"/>
      <c r="H806" s="2580"/>
      <c r="I806" s="2458"/>
      <c r="J806" s="2610"/>
    </row>
    <row r="807" spans="1:10" ht="15" customHeight="1">
      <c r="A807" s="2462" t="s">
        <v>1939</v>
      </c>
      <c r="B807" s="2463" t="s">
        <v>1739</v>
      </c>
      <c r="C807" s="2463" t="s">
        <v>3754</v>
      </c>
      <c r="D807" s="2463"/>
      <c r="E807" s="2463"/>
      <c r="F807" s="2463"/>
      <c r="G807" s="2463"/>
      <c r="H807" s="2516"/>
      <c r="I807" s="2461"/>
      <c r="J807" s="2610"/>
    </row>
    <row r="808" spans="1:10" ht="14.1" customHeight="1">
      <c r="A808" s="2462" t="s">
        <v>1941</v>
      </c>
      <c r="B808" s="2463"/>
      <c r="C808" s="2463" t="s">
        <v>1874</v>
      </c>
      <c r="D808" s="2463" t="s">
        <v>3032</v>
      </c>
      <c r="E808" s="2463" t="s">
        <v>1875</v>
      </c>
      <c r="F808" s="2463" t="s">
        <v>1876</v>
      </c>
      <c r="G808" s="2459" t="s">
        <v>1877</v>
      </c>
      <c r="H808" s="2460"/>
      <c r="I808" s="2461" t="s">
        <v>4031</v>
      </c>
      <c r="J808" s="2610"/>
    </row>
    <row r="809" spans="1:10" ht="14.1" customHeight="1">
      <c r="A809" s="2462"/>
      <c r="B809" s="2463"/>
      <c r="C809" s="2463"/>
      <c r="D809" s="2463"/>
      <c r="E809" s="2463"/>
      <c r="F809" s="2463"/>
      <c r="G809" s="2459"/>
      <c r="H809" s="2460"/>
      <c r="I809" s="2461"/>
      <c r="J809" s="2610"/>
    </row>
    <row r="810" spans="1:10" ht="14.1" customHeight="1">
      <c r="A810" s="2462"/>
      <c r="B810" s="2463" t="s">
        <v>932</v>
      </c>
      <c r="C810" s="2463" t="s">
        <v>933</v>
      </c>
      <c r="D810" s="2463" t="s">
        <v>934</v>
      </c>
      <c r="E810" s="2463" t="s">
        <v>935</v>
      </c>
      <c r="F810" s="2463" t="s">
        <v>936</v>
      </c>
      <c r="G810" s="2459" t="s">
        <v>937</v>
      </c>
      <c r="H810" s="2460"/>
      <c r="I810" s="2461" t="s">
        <v>938</v>
      </c>
      <c r="J810" s="2610"/>
    </row>
    <row r="811" spans="1:10" ht="14.1" customHeight="1">
      <c r="A811" s="2492">
        <v>23</v>
      </c>
      <c r="B811" s="2444" t="s">
        <v>3212</v>
      </c>
      <c r="C811" s="2464"/>
      <c r="D811" s="2444"/>
      <c r="E811" s="2444"/>
      <c r="F811" s="2444"/>
      <c r="G811" s="2444"/>
      <c r="H811" s="2444"/>
      <c r="I811" s="2507"/>
      <c r="J811" s="2610"/>
    </row>
    <row r="812" spans="1:10" ht="14.1" customHeight="1">
      <c r="A812" s="2462">
        <v>24</v>
      </c>
      <c r="B812" s="2446" t="s">
        <v>3213</v>
      </c>
      <c r="C812" s="2463"/>
      <c r="D812" s="2446"/>
      <c r="E812" s="2446"/>
      <c r="F812" s="2446"/>
      <c r="G812" s="2446"/>
      <c r="H812" s="2446"/>
      <c r="I812" s="2505"/>
      <c r="J812" s="2610"/>
    </row>
    <row r="813" spans="1:10" ht="14.1" customHeight="1">
      <c r="A813" s="2462">
        <v>25</v>
      </c>
      <c r="B813" s="2446" t="s">
        <v>3214</v>
      </c>
      <c r="C813" s="2463"/>
      <c r="D813" s="2446"/>
      <c r="E813" s="2446"/>
      <c r="F813" s="2446"/>
      <c r="G813" s="2446"/>
      <c r="H813" s="2446"/>
      <c r="I813" s="2505"/>
      <c r="J813" s="2610"/>
    </row>
    <row r="814" spans="1:10" ht="14.1" customHeight="1">
      <c r="A814" s="2462">
        <v>26</v>
      </c>
      <c r="B814" s="2446" t="s">
        <v>3215</v>
      </c>
      <c r="C814" s="2463"/>
      <c r="D814" s="2446"/>
      <c r="E814" s="2446"/>
      <c r="F814" s="2446"/>
      <c r="G814" s="2446"/>
      <c r="H814" s="2446"/>
      <c r="I814" s="2505"/>
      <c r="J814" s="2610"/>
    </row>
    <row r="815" spans="1:10" ht="14.1" customHeight="1">
      <c r="A815" s="2462">
        <v>27</v>
      </c>
      <c r="B815" s="2446" t="s">
        <v>3216</v>
      </c>
      <c r="C815" s="2463"/>
      <c r="D815" s="2446"/>
      <c r="E815" s="2446"/>
      <c r="F815" s="2446"/>
      <c r="G815" s="2446"/>
      <c r="H815" s="2446"/>
      <c r="I815" s="2505"/>
      <c r="J815" s="2610"/>
    </row>
    <row r="816" spans="1:10" ht="14.1" customHeight="1">
      <c r="A816" s="2462">
        <v>28</v>
      </c>
      <c r="B816" s="2446" t="s">
        <v>3217</v>
      </c>
      <c r="C816" s="2463"/>
      <c r="D816" s="2446"/>
      <c r="E816" s="2446"/>
      <c r="F816" s="2446"/>
      <c r="G816" s="2446"/>
      <c r="H816" s="2446"/>
      <c r="I816" s="2505"/>
      <c r="J816" s="2610"/>
    </row>
    <row r="817" spans="1:10" ht="14.1" customHeight="1">
      <c r="A817" s="2462">
        <v>29</v>
      </c>
      <c r="B817" s="2601" t="s">
        <v>3218</v>
      </c>
      <c r="C817" s="2607">
        <v>593189</v>
      </c>
      <c r="D817" s="2601" t="s">
        <v>4292</v>
      </c>
      <c r="E817" s="2601" t="s">
        <v>4295</v>
      </c>
      <c r="F817" s="2607">
        <v>6527</v>
      </c>
      <c r="G817" s="2463"/>
      <c r="H817" s="2463"/>
      <c r="I817" s="2461"/>
      <c r="J817" s="2610"/>
    </row>
    <row r="818" spans="1:10" ht="14.1" customHeight="1">
      <c r="A818" s="2462">
        <v>30</v>
      </c>
      <c r="B818" s="2601"/>
      <c r="C818" s="2607"/>
      <c r="D818" s="2601"/>
      <c r="E818" s="2601"/>
      <c r="F818" s="2607"/>
      <c r="G818" s="2463"/>
      <c r="H818" s="2463"/>
      <c r="I818" s="2461"/>
      <c r="J818" s="2610"/>
    </row>
    <row r="819" spans="1:10" ht="14.1" customHeight="1">
      <c r="A819" s="2462">
        <v>31</v>
      </c>
      <c r="B819" s="2601" t="s">
        <v>3219</v>
      </c>
      <c r="C819" s="2607">
        <v>593189</v>
      </c>
      <c r="D819" s="2601" t="s">
        <v>4293</v>
      </c>
      <c r="E819" s="2601" t="s">
        <v>4296</v>
      </c>
      <c r="F819" s="2607">
        <v>109449</v>
      </c>
      <c r="G819" s="2463"/>
      <c r="H819" s="2463"/>
      <c r="I819" s="2461"/>
      <c r="J819" s="2610"/>
    </row>
    <row r="820" spans="1:10" ht="14.1" customHeight="1">
      <c r="A820" s="2462">
        <v>32</v>
      </c>
      <c r="B820" s="2601" t="s">
        <v>3220</v>
      </c>
      <c r="C820" s="2607">
        <v>593189</v>
      </c>
      <c r="D820" s="2601" t="s">
        <v>4294</v>
      </c>
      <c r="E820" s="2601" t="s">
        <v>4296</v>
      </c>
      <c r="F820" s="2607">
        <v>152750</v>
      </c>
      <c r="G820" s="2463"/>
      <c r="H820" s="2463"/>
      <c r="I820" s="2461"/>
      <c r="J820" s="2610"/>
    </row>
    <row r="821" spans="1:10" ht="14.1" customHeight="1">
      <c r="A821" s="2462">
        <v>33</v>
      </c>
      <c r="B821" s="2446"/>
      <c r="C821" s="2607"/>
      <c r="D821" s="2446"/>
      <c r="E821" s="2446"/>
      <c r="F821" s="2608"/>
      <c r="G821" s="2446"/>
      <c r="H821" s="2446"/>
      <c r="I821" s="2505"/>
      <c r="J821" s="2610"/>
    </row>
    <row r="822" spans="1:10" ht="14.1" customHeight="1">
      <c r="A822" s="2462">
        <v>34</v>
      </c>
      <c r="B822" s="2446" t="s">
        <v>3221</v>
      </c>
      <c r="C822" s="2607">
        <v>593189</v>
      </c>
      <c r="D822" s="2446"/>
      <c r="E822" s="2446"/>
      <c r="F822" s="2446"/>
      <c r="G822" s="2446"/>
      <c r="H822" s="2446"/>
      <c r="I822" s="2505"/>
      <c r="J822" s="2610"/>
    </row>
    <row r="823" spans="1:10" ht="14.1" customHeight="1">
      <c r="A823" s="2462">
        <v>35</v>
      </c>
      <c r="B823" s="2446" t="s">
        <v>3222</v>
      </c>
      <c r="C823" s="2607"/>
      <c r="D823" s="2446"/>
      <c r="E823" s="2446"/>
      <c r="F823" s="2446"/>
      <c r="G823" s="2446"/>
      <c r="H823" s="2446"/>
      <c r="I823" s="2505"/>
      <c r="J823" s="2610"/>
    </row>
    <row r="824" spans="1:10" ht="14.1" customHeight="1" thickBot="1">
      <c r="A824" s="2499">
        <v>36</v>
      </c>
      <c r="B824" s="2501" t="s">
        <v>3753</v>
      </c>
      <c r="C824" s="2609">
        <v>593189</v>
      </c>
      <c r="D824" s="2609"/>
      <c r="E824" s="2501"/>
      <c r="F824" s="2501"/>
      <c r="G824" s="2501"/>
      <c r="H824" s="2501"/>
      <c r="I824" s="2502"/>
      <c r="J824" s="2610"/>
    </row>
    <row r="825" spans="1:10" ht="15" customHeight="1">
      <c r="A825" s="2449" t="s">
        <v>3184</v>
      </c>
      <c r="B825" s="2449"/>
      <c r="C825" s="2449"/>
      <c r="D825" s="2592" t="s">
        <v>1403</v>
      </c>
      <c r="E825" s="2449"/>
      <c r="F825" s="2449"/>
      <c r="G825" s="2449"/>
      <c r="H825" s="2449"/>
      <c r="I825" s="2449"/>
    </row>
    <row r="826" spans="1:10" ht="15" customHeight="1" thickBot="1">
      <c r="A826" s="2444" t="str">
        <f>+A1</f>
        <v>Annual Report of New York American Water Company, Inc. (f/k/a Long Island Water Corp)                                   Year Ended  December 31, 2013</v>
      </c>
    </row>
    <row r="827" spans="1:10" ht="15" customHeight="1">
      <c r="A827" s="2448"/>
      <c r="B827" s="2449"/>
      <c r="C827" s="2449"/>
      <c r="D827" s="2449"/>
      <c r="E827" s="2449"/>
      <c r="F827" s="2449"/>
      <c r="G827" s="2449"/>
      <c r="H827" s="2449"/>
      <c r="I827" s="2450"/>
      <c r="J827" s="2610"/>
    </row>
    <row r="828" spans="1:10" ht="15" customHeight="1">
      <c r="A828" s="2490" t="s">
        <v>3940</v>
      </c>
      <c r="B828" s="2460"/>
      <c r="C828" s="2460"/>
      <c r="D828" s="2460"/>
      <c r="E828" s="2460"/>
      <c r="F828" s="2460"/>
      <c r="G828" s="2460"/>
      <c r="H828" s="2460"/>
      <c r="I828" s="2491"/>
      <c r="J828" s="2610"/>
    </row>
    <row r="829" spans="1:10" ht="15" customHeight="1">
      <c r="A829" s="2452"/>
      <c r="B829" s="2451"/>
      <c r="C829" s="2451"/>
      <c r="D829" s="2451"/>
      <c r="E829" s="2451"/>
      <c r="F829" s="2451"/>
      <c r="G829" s="2451"/>
      <c r="H829" s="2451"/>
      <c r="I829" s="2453"/>
      <c r="J829" s="2610"/>
    </row>
    <row r="830" spans="1:10" ht="15" customHeight="1">
      <c r="A830" s="2454"/>
      <c r="B830" s="2445"/>
      <c r="C830" s="2445"/>
      <c r="D830" s="2445"/>
      <c r="E830" s="2445"/>
      <c r="F830" s="2445"/>
      <c r="G830" s="2445"/>
      <c r="H830" s="2445"/>
      <c r="I830" s="2455"/>
      <c r="J830" s="2610"/>
    </row>
    <row r="831" spans="1:10" ht="15" customHeight="1">
      <c r="A831" s="2452" t="s">
        <v>2611</v>
      </c>
      <c r="B831" s="2451"/>
      <c r="C831" s="2451"/>
      <c r="D831" s="2451"/>
      <c r="E831" s="2451"/>
      <c r="F831" s="2451"/>
      <c r="G831" s="2451"/>
      <c r="H831" s="2451"/>
      <c r="I831" s="2453"/>
      <c r="J831" s="2610"/>
    </row>
    <row r="832" spans="1:10" ht="15" customHeight="1">
      <c r="A832" s="2452" t="s">
        <v>2612</v>
      </c>
      <c r="B832" s="2451"/>
      <c r="C832" s="2451"/>
      <c r="D832" s="2451"/>
      <c r="E832" s="2451"/>
      <c r="F832" s="2451"/>
      <c r="G832" s="2451"/>
      <c r="H832" s="2451"/>
      <c r="I832" s="2453"/>
      <c r="J832" s="2610"/>
    </row>
    <row r="833" spans="1:10" ht="15" customHeight="1">
      <c r="A833" s="2452"/>
      <c r="B833" s="2451"/>
      <c r="C833" s="2451"/>
      <c r="D833" s="2451"/>
      <c r="E833" s="2451"/>
      <c r="F833" s="2451"/>
      <c r="G833" s="2451"/>
      <c r="H833" s="2451"/>
      <c r="I833" s="2453"/>
      <c r="J833" s="2610"/>
    </row>
    <row r="834" spans="1:10" ht="15" customHeight="1">
      <c r="A834" s="2492"/>
      <c r="B834" s="2464"/>
      <c r="C834" s="2464"/>
      <c r="D834" s="2464"/>
      <c r="E834" s="2464"/>
      <c r="F834" s="2464"/>
      <c r="G834" s="2464"/>
      <c r="H834" s="2464"/>
      <c r="I834" s="2458"/>
      <c r="J834" s="2610"/>
    </row>
    <row r="835" spans="1:10" ht="15" customHeight="1">
      <c r="A835" s="2462"/>
      <c r="B835" s="2463" t="s">
        <v>3026</v>
      </c>
      <c r="C835" s="2463" t="s">
        <v>94</v>
      </c>
      <c r="D835" s="2463" t="s">
        <v>3022</v>
      </c>
      <c r="E835" s="2463" t="s">
        <v>2820</v>
      </c>
      <c r="F835" s="2463" t="s">
        <v>3021</v>
      </c>
      <c r="G835" s="2463" t="s">
        <v>2821</v>
      </c>
      <c r="H835" s="2463" t="s">
        <v>2822</v>
      </c>
      <c r="I835" s="2461" t="s">
        <v>930</v>
      </c>
      <c r="J835" s="2610"/>
    </row>
    <row r="836" spans="1:10" ht="15" customHeight="1">
      <c r="A836" s="2462" t="s">
        <v>1939</v>
      </c>
      <c r="B836" s="2463" t="s">
        <v>4226</v>
      </c>
      <c r="C836" s="2463"/>
      <c r="D836" s="2463" t="s">
        <v>2823</v>
      </c>
      <c r="E836" s="2463" t="s">
        <v>4398</v>
      </c>
      <c r="F836" s="2463" t="s">
        <v>4398</v>
      </c>
      <c r="G836" s="2463" t="s">
        <v>4398</v>
      </c>
      <c r="H836" s="2463" t="s">
        <v>4399</v>
      </c>
      <c r="I836" s="2461" t="s">
        <v>931</v>
      </c>
      <c r="J836" s="2610"/>
    </row>
    <row r="837" spans="1:10" ht="15" customHeight="1">
      <c r="A837" s="2462" t="s">
        <v>1941</v>
      </c>
      <c r="B837" s="2463" t="s">
        <v>4400</v>
      </c>
      <c r="C837" s="2463"/>
      <c r="D837" s="2463" t="s">
        <v>4401</v>
      </c>
      <c r="E837" s="2463"/>
      <c r="F837" s="2463" t="s">
        <v>4402</v>
      </c>
      <c r="G837" s="2463" t="s">
        <v>3039</v>
      </c>
      <c r="H837" s="2463" t="s">
        <v>4403</v>
      </c>
      <c r="I837" s="2461"/>
      <c r="J837" s="2610"/>
    </row>
    <row r="838" spans="1:10" ht="15" customHeight="1">
      <c r="A838" s="2462"/>
      <c r="B838" s="2463" t="s">
        <v>932</v>
      </c>
      <c r="C838" s="2463" t="s">
        <v>933</v>
      </c>
      <c r="D838" s="2463" t="s">
        <v>934</v>
      </c>
      <c r="E838" s="2463" t="s">
        <v>935</v>
      </c>
      <c r="F838" s="2463" t="s">
        <v>936</v>
      </c>
      <c r="G838" s="2463" t="s">
        <v>937</v>
      </c>
      <c r="H838" s="2463" t="s">
        <v>938</v>
      </c>
      <c r="I838" s="2461" t="s">
        <v>939</v>
      </c>
      <c r="J838" s="2610"/>
    </row>
    <row r="839" spans="1:10" ht="15" customHeight="1">
      <c r="A839" s="2492">
        <v>1</v>
      </c>
      <c r="B839" s="2595" t="s">
        <v>955</v>
      </c>
      <c r="C839" s="2596" t="s">
        <v>3207</v>
      </c>
      <c r="D839" s="2611" t="s">
        <v>5308</v>
      </c>
      <c r="E839" s="2597">
        <v>1</v>
      </c>
      <c r="F839" s="2597"/>
      <c r="G839" s="2597"/>
      <c r="H839" s="2597"/>
      <c r="I839" s="2598" t="s">
        <v>987</v>
      </c>
      <c r="J839" s="2610"/>
    </row>
    <row r="840" spans="1:10" ht="15" customHeight="1">
      <c r="A840" s="2462">
        <v>2</v>
      </c>
      <c r="B840" s="2599" t="s">
        <v>3919</v>
      </c>
      <c r="C840" s="2600" t="s">
        <v>4613</v>
      </c>
      <c r="D840" s="2601">
        <v>1996</v>
      </c>
      <c r="E840" s="2601">
        <v>2</v>
      </c>
      <c r="F840" s="2601"/>
      <c r="G840" s="2601"/>
      <c r="H840" s="2601"/>
      <c r="I840" s="2602" t="s">
        <v>4390</v>
      </c>
      <c r="J840" s="2610"/>
    </row>
    <row r="841" spans="1:10" ht="14.1" customHeight="1">
      <c r="A841" s="2462">
        <v>3</v>
      </c>
      <c r="B841" s="2599" t="s">
        <v>3919</v>
      </c>
      <c r="C841" s="2600" t="s">
        <v>3208</v>
      </c>
      <c r="D841" s="2601">
        <v>1986</v>
      </c>
      <c r="E841" s="2601">
        <v>1</v>
      </c>
      <c r="F841" s="2601"/>
      <c r="G841" s="2601"/>
      <c r="H841" s="2601"/>
      <c r="I841" s="2602" t="s">
        <v>987</v>
      </c>
      <c r="J841" s="2610"/>
    </row>
    <row r="842" spans="1:10" ht="14.1" customHeight="1">
      <c r="A842" s="2462">
        <v>4</v>
      </c>
      <c r="B842" s="2599" t="s">
        <v>3919</v>
      </c>
      <c r="C842" s="2600" t="s">
        <v>3209</v>
      </c>
      <c r="D842" s="2601" t="s">
        <v>3920</v>
      </c>
      <c r="E842" s="2601">
        <v>2</v>
      </c>
      <c r="F842" s="2601"/>
      <c r="G842" s="2601"/>
      <c r="H842" s="2601"/>
      <c r="I842" s="2602" t="s">
        <v>4390</v>
      </c>
      <c r="J842" s="2610"/>
    </row>
    <row r="843" spans="1:10" ht="14.1" customHeight="1">
      <c r="A843" s="2462">
        <v>5</v>
      </c>
      <c r="B843" s="2599" t="s">
        <v>3919</v>
      </c>
      <c r="C843" s="2600" t="s">
        <v>4614</v>
      </c>
      <c r="D843" s="2601">
        <v>1973</v>
      </c>
      <c r="E843" s="2463">
        <v>1</v>
      </c>
      <c r="F843" s="2463"/>
      <c r="G843" s="2463"/>
      <c r="H843" s="2463"/>
      <c r="I843" s="2602" t="s">
        <v>987</v>
      </c>
      <c r="J843" s="2610"/>
    </row>
    <row r="844" spans="1:10" ht="14.1" customHeight="1">
      <c r="A844" s="2462">
        <v>6</v>
      </c>
      <c r="B844" s="2599" t="s">
        <v>3919</v>
      </c>
      <c r="C844" s="2600" t="s">
        <v>4615</v>
      </c>
      <c r="D844" s="2601">
        <v>1973</v>
      </c>
      <c r="E844" s="2463">
        <v>2</v>
      </c>
      <c r="F844" s="2463"/>
      <c r="G844" s="2463"/>
      <c r="H844" s="2463"/>
      <c r="I844" s="2602" t="s">
        <v>4390</v>
      </c>
      <c r="J844" s="2610"/>
    </row>
    <row r="845" spans="1:10" ht="14.1" customHeight="1">
      <c r="A845" s="2462">
        <v>7</v>
      </c>
      <c r="B845" s="2463"/>
      <c r="C845" s="2463"/>
      <c r="D845" s="2463"/>
      <c r="E845" s="2463"/>
      <c r="F845" s="2463"/>
      <c r="G845" s="2463"/>
      <c r="H845" s="2463"/>
      <c r="I845" s="2461"/>
      <c r="J845" s="2610"/>
    </row>
    <row r="846" spans="1:10" ht="14.1" customHeight="1">
      <c r="A846" s="2462">
        <v>8</v>
      </c>
      <c r="B846" s="2463"/>
      <c r="C846" s="2463"/>
      <c r="D846" s="2463"/>
      <c r="E846" s="2463"/>
      <c r="F846" s="2463"/>
      <c r="G846" s="2463"/>
      <c r="H846" s="2463"/>
      <c r="I846" s="2461"/>
      <c r="J846" s="2610"/>
    </row>
    <row r="847" spans="1:10" ht="14.1" customHeight="1">
      <c r="A847" s="2462">
        <v>9</v>
      </c>
      <c r="B847" s="2463"/>
      <c r="C847" s="2463"/>
      <c r="D847" s="2463"/>
      <c r="E847" s="2463"/>
      <c r="F847" s="2463"/>
      <c r="G847" s="2463"/>
      <c r="H847" s="2463"/>
      <c r="I847" s="2461"/>
      <c r="J847" s="2610"/>
    </row>
    <row r="848" spans="1:10" ht="14.1" customHeight="1">
      <c r="A848" s="2492">
        <v>10</v>
      </c>
      <c r="B848" s="2464" t="s">
        <v>940</v>
      </c>
      <c r="C848" s="2464"/>
      <c r="D848" s="2464"/>
      <c r="E848" s="2464"/>
      <c r="F848" s="2464"/>
      <c r="G848" s="2464"/>
      <c r="H848" s="2464"/>
      <c r="I848" s="2458"/>
      <c r="J848" s="2610"/>
    </row>
    <row r="849" spans="1:10" ht="14.1" customHeight="1">
      <c r="A849" s="2454"/>
      <c r="B849" s="2445" t="s">
        <v>941</v>
      </c>
      <c r="C849" s="2445"/>
      <c r="D849" s="2445"/>
      <c r="E849" s="2445"/>
      <c r="F849" s="2445"/>
      <c r="G849" s="2445"/>
      <c r="H849" s="2445"/>
      <c r="I849" s="2455"/>
      <c r="J849" s="2610"/>
    </row>
    <row r="850" spans="1:10" ht="14.1" customHeight="1">
      <c r="A850" s="2452"/>
      <c r="B850" s="2451"/>
      <c r="C850" s="2451"/>
      <c r="D850" s="2451"/>
      <c r="E850" s="2451"/>
      <c r="F850" s="2451"/>
      <c r="G850" s="2451"/>
      <c r="H850" s="2451"/>
      <c r="I850" s="2453"/>
      <c r="J850" s="2610"/>
    </row>
    <row r="851" spans="1:10" ht="14.1" customHeight="1">
      <c r="A851" s="2490" t="s">
        <v>3634</v>
      </c>
      <c r="B851" s="2460"/>
      <c r="C851" s="2460"/>
      <c r="D851" s="2460"/>
      <c r="E851" s="2460"/>
      <c r="F851" s="2460"/>
      <c r="G851" s="2460"/>
      <c r="H851" s="2460"/>
      <c r="I851" s="2491"/>
      <c r="J851" s="2610"/>
    </row>
    <row r="852" spans="1:10" ht="14.1" customHeight="1">
      <c r="A852" s="2452" t="s">
        <v>2348</v>
      </c>
      <c r="B852" s="2451"/>
      <c r="C852" s="2451"/>
      <c r="D852" s="2451"/>
      <c r="E852" s="2451"/>
      <c r="F852" s="2451"/>
      <c r="G852" s="2451"/>
      <c r="H852" s="2451"/>
      <c r="I852" s="2453"/>
      <c r="J852" s="2610"/>
    </row>
    <row r="853" spans="1:10" ht="14.1" customHeight="1">
      <c r="A853" s="2452" t="s">
        <v>4346</v>
      </c>
      <c r="B853" s="2451"/>
      <c r="C853" s="2451"/>
      <c r="D853" s="2451"/>
      <c r="E853" s="2451" t="s">
        <v>2349</v>
      </c>
      <c r="F853" s="2451"/>
      <c r="G853" s="2451"/>
      <c r="H853" s="2451"/>
      <c r="I853" s="2453"/>
      <c r="J853" s="2610"/>
    </row>
    <row r="854" spans="1:10" ht="15" customHeight="1">
      <c r="A854" s="2452"/>
      <c r="B854" s="2451"/>
      <c r="C854" s="2451"/>
      <c r="D854" s="2451"/>
      <c r="E854" s="2451" t="s">
        <v>1004</v>
      </c>
      <c r="F854" s="2451"/>
      <c r="G854" s="2451"/>
      <c r="H854" s="2451"/>
      <c r="I854" s="2453"/>
      <c r="J854" s="2610"/>
    </row>
    <row r="855" spans="1:10" ht="15" customHeight="1">
      <c r="A855" s="2452" t="s">
        <v>1744</v>
      </c>
      <c r="B855" s="2451"/>
      <c r="C855" s="2451"/>
      <c r="D855" s="2451"/>
      <c r="E855" s="2451"/>
      <c r="F855" s="2451"/>
      <c r="G855" s="2451"/>
      <c r="H855" s="2451"/>
      <c r="I855" s="2453"/>
      <c r="J855" s="2610"/>
    </row>
    <row r="856" spans="1:10" ht="15" customHeight="1">
      <c r="A856" s="2452" t="s">
        <v>1005</v>
      </c>
      <c r="B856" s="2451"/>
      <c r="C856" s="2451"/>
      <c r="D856" s="2451"/>
      <c r="E856" s="2451" t="s">
        <v>848</v>
      </c>
      <c r="F856" s="2451"/>
      <c r="G856" s="2451"/>
      <c r="H856" s="2451"/>
      <c r="I856" s="2453"/>
      <c r="J856" s="2610"/>
    </row>
    <row r="857" spans="1:10" ht="15" customHeight="1">
      <c r="A857" s="2452"/>
      <c r="B857" s="2451"/>
      <c r="C857" s="2451"/>
      <c r="D857" s="2451"/>
      <c r="E857" s="2451" t="s">
        <v>1737</v>
      </c>
      <c r="F857" s="2451"/>
      <c r="G857" s="2451"/>
      <c r="H857" s="2451"/>
      <c r="I857" s="2453"/>
      <c r="J857" s="2610"/>
    </row>
    <row r="858" spans="1:10" ht="15" customHeight="1">
      <c r="A858" s="2452" t="s">
        <v>849</v>
      </c>
      <c r="B858" s="2451"/>
      <c r="C858" s="2451"/>
      <c r="D858" s="2451"/>
      <c r="E858" s="2451"/>
      <c r="F858" s="2451"/>
      <c r="G858" s="2451"/>
      <c r="H858" s="2451"/>
      <c r="I858" s="2453"/>
      <c r="J858" s="2610"/>
    </row>
    <row r="859" spans="1:10" ht="15" customHeight="1">
      <c r="A859" s="2452" t="s">
        <v>4345</v>
      </c>
      <c r="B859" s="2451"/>
      <c r="C859" s="2451"/>
      <c r="D859" s="2451"/>
      <c r="E859" s="2451"/>
      <c r="F859" s="2451"/>
      <c r="G859" s="2451"/>
      <c r="H859" s="2451"/>
      <c r="I859" s="2453"/>
      <c r="J859" s="2610"/>
    </row>
    <row r="860" spans="1:10" ht="15" customHeight="1">
      <c r="A860" s="2452"/>
      <c r="B860" s="2451"/>
      <c r="C860" s="2451"/>
      <c r="D860" s="2451"/>
      <c r="E860" s="2451"/>
      <c r="F860" s="2451"/>
      <c r="G860" s="2451"/>
      <c r="H860" s="2451"/>
      <c r="I860" s="2453"/>
      <c r="J860" s="2610"/>
    </row>
    <row r="861" spans="1:10" ht="15" customHeight="1">
      <c r="A861" s="2492"/>
      <c r="B861" s="2464"/>
      <c r="C861" s="2464"/>
      <c r="D861" s="2464"/>
      <c r="E861" s="2464" t="s">
        <v>1738</v>
      </c>
      <c r="F861" s="2464"/>
      <c r="G861" s="2464"/>
      <c r="H861" s="2580"/>
      <c r="I861" s="2458"/>
      <c r="J861" s="2610"/>
    </row>
    <row r="862" spans="1:10" ht="15" customHeight="1">
      <c r="A862" s="2462" t="s">
        <v>1939</v>
      </c>
      <c r="B862" s="2463" t="s">
        <v>1739</v>
      </c>
      <c r="C862" s="2463" t="s">
        <v>3754</v>
      </c>
      <c r="D862" s="2463"/>
      <c r="E862" s="2463"/>
      <c r="F862" s="2463"/>
      <c r="G862" s="2463"/>
      <c r="H862" s="2516"/>
      <c r="I862" s="2461"/>
      <c r="J862" s="2610"/>
    </row>
    <row r="863" spans="1:10" ht="15" customHeight="1">
      <c r="A863" s="2462" t="s">
        <v>1941</v>
      </c>
      <c r="B863" s="2463"/>
      <c r="C863" s="2463" t="s">
        <v>1874</v>
      </c>
      <c r="D863" s="2463" t="s">
        <v>3032</v>
      </c>
      <c r="E863" s="2463" t="s">
        <v>1875</v>
      </c>
      <c r="F863" s="2463" t="s">
        <v>1876</v>
      </c>
      <c r="G863" s="2459" t="s">
        <v>1877</v>
      </c>
      <c r="H863" s="2460"/>
      <c r="I863" s="2461" t="s">
        <v>4031</v>
      </c>
      <c r="J863" s="2610"/>
    </row>
    <row r="864" spans="1:10" ht="14.1" customHeight="1">
      <c r="A864" s="2462"/>
      <c r="B864" s="2463"/>
      <c r="C864" s="2463"/>
      <c r="D864" s="2463"/>
      <c r="E864" s="2463"/>
      <c r="F864" s="2463"/>
      <c r="G864" s="2459"/>
      <c r="H864" s="2460"/>
      <c r="I864" s="2461"/>
      <c r="J864" s="2610"/>
    </row>
    <row r="865" spans="1:10" ht="14.1" customHeight="1">
      <c r="A865" s="2462"/>
      <c r="B865" s="2463" t="s">
        <v>932</v>
      </c>
      <c r="C865" s="2463" t="s">
        <v>933</v>
      </c>
      <c r="D865" s="2463" t="s">
        <v>934</v>
      </c>
      <c r="E865" s="2463" t="s">
        <v>935</v>
      </c>
      <c r="F865" s="2463" t="s">
        <v>936</v>
      </c>
      <c r="G865" s="2459" t="s">
        <v>937</v>
      </c>
      <c r="H865" s="2460"/>
      <c r="I865" s="2461" t="s">
        <v>938</v>
      </c>
      <c r="J865" s="2610"/>
    </row>
    <row r="866" spans="1:10" ht="14.1" customHeight="1">
      <c r="A866" s="2492">
        <v>23</v>
      </c>
      <c r="B866" s="2444" t="s">
        <v>3212</v>
      </c>
      <c r="C866" s="2464"/>
      <c r="D866" s="2444"/>
      <c r="E866" s="2444"/>
      <c r="F866" s="2444"/>
      <c r="G866" s="2444"/>
      <c r="H866" s="2444"/>
      <c r="I866" s="2507"/>
      <c r="J866" s="2610"/>
    </row>
    <row r="867" spans="1:10" ht="14.1" customHeight="1">
      <c r="A867" s="2462">
        <v>24</v>
      </c>
      <c r="B867" s="2446" t="s">
        <v>3213</v>
      </c>
      <c r="C867" s="2463"/>
      <c r="D867" s="2446"/>
      <c r="E867" s="2446"/>
      <c r="F867" s="2446"/>
      <c r="G867" s="2446"/>
      <c r="H867" s="2446"/>
      <c r="I867" s="2505"/>
      <c r="J867" s="2610"/>
    </row>
    <row r="868" spans="1:10" ht="14.1" customHeight="1">
      <c r="A868" s="2462">
        <v>25</v>
      </c>
      <c r="B868" s="2446" t="s">
        <v>3214</v>
      </c>
      <c r="C868" s="2463"/>
      <c r="D868" s="2446"/>
      <c r="E868" s="2446"/>
      <c r="F868" s="2446"/>
      <c r="G868" s="2446"/>
      <c r="H868" s="2446"/>
      <c r="I868" s="2505"/>
      <c r="J868" s="2610"/>
    </row>
    <row r="869" spans="1:10" ht="14.1" customHeight="1">
      <c r="A869" s="2462">
        <v>26</v>
      </c>
      <c r="B869" s="2446" t="s">
        <v>3215</v>
      </c>
      <c r="C869" s="2463"/>
      <c r="D869" s="2446"/>
      <c r="E869" s="2446"/>
      <c r="F869" s="2446"/>
      <c r="G869" s="2446"/>
      <c r="H869" s="2446"/>
      <c r="I869" s="2505"/>
      <c r="J869" s="2610"/>
    </row>
    <row r="870" spans="1:10" ht="14.1" customHeight="1">
      <c r="A870" s="2462">
        <v>27</v>
      </c>
      <c r="B870" s="2446" t="s">
        <v>3216</v>
      </c>
      <c r="C870" s="2463"/>
      <c r="D870" s="2446"/>
      <c r="E870" s="2446"/>
      <c r="F870" s="2446"/>
      <c r="G870" s="2446"/>
      <c r="H870" s="2446"/>
      <c r="I870" s="2505"/>
      <c r="J870" s="2610"/>
    </row>
    <row r="871" spans="1:10" ht="14.1" customHeight="1">
      <c r="A871" s="2462">
        <v>28</v>
      </c>
      <c r="B871" s="2446" t="s">
        <v>3217</v>
      </c>
      <c r="C871" s="2463"/>
      <c r="D871" s="2446"/>
      <c r="E871" s="2446"/>
      <c r="F871" s="2446"/>
      <c r="G871" s="2446"/>
      <c r="H871" s="2446"/>
      <c r="I871" s="2505"/>
      <c r="J871" s="2610"/>
    </row>
    <row r="872" spans="1:10" ht="14.1" customHeight="1">
      <c r="A872" s="2462">
        <v>29</v>
      </c>
      <c r="B872" s="2601" t="s">
        <v>3218</v>
      </c>
      <c r="C872" s="2607">
        <v>392017</v>
      </c>
      <c r="D872" s="2601" t="s">
        <v>4292</v>
      </c>
      <c r="E872" s="2601" t="s">
        <v>4295</v>
      </c>
      <c r="F872" s="2607">
        <v>5537</v>
      </c>
      <c r="G872" s="2463"/>
      <c r="H872" s="2463"/>
      <c r="I872" s="2461"/>
      <c r="J872" s="2610"/>
    </row>
    <row r="873" spans="1:10" ht="14.1" customHeight="1">
      <c r="A873" s="2462">
        <v>30</v>
      </c>
      <c r="B873" s="2601"/>
      <c r="C873" s="2607"/>
      <c r="D873" s="2601"/>
      <c r="E873" s="2601"/>
      <c r="F873" s="2607"/>
      <c r="G873" s="2463"/>
      <c r="H873" s="2463"/>
      <c r="I873" s="2461"/>
      <c r="J873" s="2610"/>
    </row>
    <row r="874" spans="1:10" ht="14.1" customHeight="1">
      <c r="A874" s="2462">
        <v>31</v>
      </c>
      <c r="B874" s="2601" t="s">
        <v>3219</v>
      </c>
      <c r="C874" s="2607">
        <v>392017</v>
      </c>
      <c r="D874" s="2601" t="s">
        <v>4293</v>
      </c>
      <c r="E874" s="2601" t="s">
        <v>4296</v>
      </c>
      <c r="F874" s="2607">
        <v>102176</v>
      </c>
      <c r="G874" s="2463"/>
      <c r="H874" s="2463"/>
      <c r="I874" s="2461"/>
      <c r="J874" s="2610"/>
    </row>
    <row r="875" spans="1:10" ht="14.1" customHeight="1">
      <c r="A875" s="2462">
        <v>32</v>
      </c>
      <c r="B875" s="2601" t="s">
        <v>3220</v>
      </c>
      <c r="C875" s="2607">
        <v>392017</v>
      </c>
      <c r="D875" s="2601" t="s">
        <v>4294</v>
      </c>
      <c r="E875" s="2601" t="s">
        <v>4296</v>
      </c>
      <c r="F875" s="2607">
        <v>105050</v>
      </c>
      <c r="G875" s="2463"/>
      <c r="H875" s="2463"/>
      <c r="I875" s="2461"/>
      <c r="J875" s="2610"/>
    </row>
    <row r="876" spans="1:10" ht="14.1" customHeight="1">
      <c r="A876" s="2462">
        <v>33</v>
      </c>
      <c r="B876" s="2446"/>
      <c r="C876" s="2607"/>
      <c r="D876" s="2446"/>
      <c r="E876" s="2446"/>
      <c r="F876" s="2608"/>
      <c r="G876" s="2446"/>
      <c r="H876" s="2446"/>
      <c r="I876" s="2505"/>
      <c r="J876" s="2610"/>
    </row>
    <row r="877" spans="1:10" ht="14.1" customHeight="1">
      <c r="A877" s="2462">
        <v>34</v>
      </c>
      <c r="B877" s="2446" t="s">
        <v>3221</v>
      </c>
      <c r="C877" s="2607">
        <v>392017</v>
      </c>
      <c r="D877" s="2446"/>
      <c r="E877" s="2446"/>
      <c r="F877" s="2446"/>
      <c r="G877" s="2446"/>
      <c r="H877" s="2446"/>
      <c r="I877" s="2505"/>
      <c r="J877" s="2610"/>
    </row>
    <row r="878" spans="1:10" ht="14.1" customHeight="1">
      <c r="A878" s="2462">
        <v>35</v>
      </c>
      <c r="B878" s="2446" t="s">
        <v>3222</v>
      </c>
      <c r="C878" s="2607"/>
      <c r="D878" s="2446"/>
      <c r="E878" s="2446"/>
      <c r="F878" s="2446"/>
      <c r="G878" s="2446"/>
      <c r="H878" s="2446"/>
      <c r="I878" s="2505"/>
      <c r="J878" s="2610"/>
    </row>
    <row r="879" spans="1:10" ht="14.1" customHeight="1" thickBot="1">
      <c r="A879" s="2499">
        <v>36</v>
      </c>
      <c r="B879" s="2501" t="s">
        <v>3753</v>
      </c>
      <c r="C879" s="2609">
        <v>392017</v>
      </c>
      <c r="D879" s="2609"/>
      <c r="E879" s="2501"/>
      <c r="F879" s="2501"/>
      <c r="G879" s="2501"/>
      <c r="H879" s="2501"/>
      <c r="I879" s="2502"/>
      <c r="J879" s="2610"/>
    </row>
    <row r="880" spans="1:10" ht="14.1" customHeight="1">
      <c r="A880" s="2449" t="s">
        <v>3184</v>
      </c>
      <c r="B880" s="2449"/>
      <c r="C880" s="2449"/>
      <c r="D880" s="2592" t="s">
        <v>1404</v>
      </c>
      <c r="E880" s="2449"/>
      <c r="F880" s="2449"/>
      <c r="G880" s="2449"/>
      <c r="H880" s="2449"/>
      <c r="I880" s="2449"/>
    </row>
    <row r="881" spans="1:10" ht="15" customHeight="1" thickBot="1">
      <c r="A881" s="2444" t="str">
        <f>+A1</f>
        <v>Annual Report of New York American Water Company, Inc. (f/k/a Long Island Water Corp)                                   Year Ended  December 31, 2013</v>
      </c>
    </row>
    <row r="882" spans="1:10" ht="15" customHeight="1">
      <c r="A882" s="2448"/>
      <c r="B882" s="2449"/>
      <c r="C882" s="2449"/>
      <c r="D882" s="2449"/>
      <c r="E882" s="2449"/>
      <c r="F882" s="2449"/>
      <c r="G882" s="2449"/>
      <c r="H882" s="2449"/>
      <c r="I882" s="2450"/>
      <c r="J882" s="2610"/>
    </row>
    <row r="883" spans="1:10" ht="15" customHeight="1">
      <c r="A883" s="2490" t="s">
        <v>3940</v>
      </c>
      <c r="B883" s="2460"/>
      <c r="C883" s="2460"/>
      <c r="D883" s="2460"/>
      <c r="E883" s="2460"/>
      <c r="F883" s="2460"/>
      <c r="G883" s="2460"/>
      <c r="H883" s="2460"/>
      <c r="I883" s="2491"/>
      <c r="J883" s="2610"/>
    </row>
    <row r="884" spans="1:10" ht="15" customHeight="1">
      <c r="A884" s="2452"/>
      <c r="B884" s="2451"/>
      <c r="C884" s="2451"/>
      <c r="D884" s="2451"/>
      <c r="E884" s="2451"/>
      <c r="F884" s="2451"/>
      <c r="G884" s="2451"/>
      <c r="H884" s="2451"/>
      <c r="I884" s="2453"/>
      <c r="J884" s="2610"/>
    </row>
    <row r="885" spans="1:10" ht="15" customHeight="1">
      <c r="A885" s="2454"/>
      <c r="B885" s="2445"/>
      <c r="C885" s="2445"/>
      <c r="D885" s="2445"/>
      <c r="E885" s="2445"/>
      <c r="F885" s="2445"/>
      <c r="G885" s="2445"/>
      <c r="H885" s="2445"/>
      <c r="I885" s="2455"/>
      <c r="J885" s="2610"/>
    </row>
    <row r="886" spans="1:10" ht="15" customHeight="1">
      <c r="A886" s="2452" t="s">
        <v>2611</v>
      </c>
      <c r="B886" s="2451"/>
      <c r="C886" s="2451"/>
      <c r="D886" s="2451"/>
      <c r="E886" s="2451"/>
      <c r="F886" s="2451"/>
      <c r="G886" s="2451"/>
      <c r="H886" s="2451"/>
      <c r="I886" s="2453"/>
      <c r="J886" s="2610"/>
    </row>
    <row r="887" spans="1:10" ht="15" customHeight="1">
      <c r="A887" s="2452" t="s">
        <v>2612</v>
      </c>
      <c r="B887" s="2451"/>
      <c r="C887" s="2451"/>
      <c r="D887" s="2451"/>
      <c r="E887" s="2451"/>
      <c r="F887" s="2451"/>
      <c r="G887" s="2451"/>
      <c r="H887" s="2451"/>
      <c r="I887" s="2453"/>
      <c r="J887" s="2610"/>
    </row>
    <row r="888" spans="1:10" ht="15" customHeight="1">
      <c r="A888" s="2452"/>
      <c r="B888" s="2451"/>
      <c r="C888" s="2451"/>
      <c r="D888" s="2451"/>
      <c r="E888" s="2451"/>
      <c r="F888" s="2451"/>
      <c r="G888" s="2451"/>
      <c r="H888" s="2451"/>
      <c r="I888" s="2453"/>
      <c r="J888" s="2610"/>
    </row>
    <row r="889" spans="1:10" ht="15" customHeight="1">
      <c r="A889" s="2492"/>
      <c r="B889" s="2464"/>
      <c r="C889" s="2464"/>
      <c r="D889" s="2464"/>
      <c r="E889" s="2464"/>
      <c r="F889" s="2464"/>
      <c r="G889" s="2464"/>
      <c r="H889" s="2464"/>
      <c r="I889" s="2458"/>
      <c r="J889" s="2610"/>
    </row>
    <row r="890" spans="1:10" ht="15" customHeight="1">
      <c r="A890" s="2462"/>
      <c r="B890" s="2463" t="s">
        <v>3026</v>
      </c>
      <c r="C890" s="2463" t="s">
        <v>94</v>
      </c>
      <c r="D890" s="2463" t="s">
        <v>3022</v>
      </c>
      <c r="E890" s="2463" t="s">
        <v>2820</v>
      </c>
      <c r="F890" s="2463" t="s">
        <v>3021</v>
      </c>
      <c r="G890" s="2463" t="s">
        <v>2821</v>
      </c>
      <c r="H890" s="2463" t="s">
        <v>2822</v>
      </c>
      <c r="I890" s="2461" t="s">
        <v>930</v>
      </c>
      <c r="J890" s="2610"/>
    </row>
    <row r="891" spans="1:10" ht="15" customHeight="1">
      <c r="A891" s="2462" t="s">
        <v>1939</v>
      </c>
      <c r="B891" s="2463" t="s">
        <v>4226</v>
      </c>
      <c r="C891" s="2463"/>
      <c r="D891" s="2463" t="s">
        <v>2823</v>
      </c>
      <c r="E891" s="2463" t="s">
        <v>4398</v>
      </c>
      <c r="F891" s="2463" t="s">
        <v>4398</v>
      </c>
      <c r="G891" s="2463" t="s">
        <v>4398</v>
      </c>
      <c r="H891" s="2463" t="s">
        <v>4399</v>
      </c>
      <c r="I891" s="2461" t="s">
        <v>931</v>
      </c>
      <c r="J891" s="2610"/>
    </row>
    <row r="892" spans="1:10" ht="15" customHeight="1">
      <c r="A892" s="2462" t="s">
        <v>1941</v>
      </c>
      <c r="B892" s="2463" t="s">
        <v>4400</v>
      </c>
      <c r="C892" s="2463"/>
      <c r="D892" s="2463" t="s">
        <v>4401</v>
      </c>
      <c r="E892" s="2463"/>
      <c r="F892" s="2463" t="s">
        <v>4402</v>
      </c>
      <c r="G892" s="2463" t="s">
        <v>3039</v>
      </c>
      <c r="H892" s="2463" t="s">
        <v>4403</v>
      </c>
      <c r="I892" s="2461"/>
      <c r="J892" s="2610"/>
    </row>
    <row r="893" spans="1:10" ht="15" customHeight="1">
      <c r="A893" s="2462"/>
      <c r="B893" s="2463" t="s">
        <v>932</v>
      </c>
      <c r="C893" s="2463" t="s">
        <v>933</v>
      </c>
      <c r="D893" s="2463" t="s">
        <v>934</v>
      </c>
      <c r="E893" s="2463" t="s">
        <v>935</v>
      </c>
      <c r="F893" s="2463" t="s">
        <v>936</v>
      </c>
      <c r="G893" s="2463" t="s">
        <v>937</v>
      </c>
      <c r="H893" s="2463" t="s">
        <v>938</v>
      </c>
      <c r="I893" s="2461" t="s">
        <v>939</v>
      </c>
      <c r="J893" s="2610"/>
    </row>
    <row r="894" spans="1:10" ht="15" customHeight="1">
      <c r="A894" s="2492">
        <v>1</v>
      </c>
      <c r="B894" s="2595" t="s">
        <v>3921</v>
      </c>
      <c r="C894" s="2596" t="s">
        <v>3207</v>
      </c>
      <c r="D894" s="2611" t="s">
        <v>5308</v>
      </c>
      <c r="E894" s="2597">
        <v>2</v>
      </c>
      <c r="F894" s="2597"/>
      <c r="G894" s="2597"/>
      <c r="H894" s="2597"/>
      <c r="I894" s="2598" t="s">
        <v>987</v>
      </c>
      <c r="J894" s="2610"/>
    </row>
    <row r="895" spans="1:10" ht="15" customHeight="1">
      <c r="A895" s="2462">
        <v>2</v>
      </c>
      <c r="B895" s="2599" t="s">
        <v>4632</v>
      </c>
      <c r="C895" s="2600" t="s">
        <v>4613</v>
      </c>
      <c r="D895" s="2601">
        <v>2005</v>
      </c>
      <c r="E895" s="2601">
        <v>2</v>
      </c>
      <c r="F895" s="2601"/>
      <c r="G895" s="2601"/>
      <c r="H895" s="2601"/>
      <c r="I895" s="2602" t="s">
        <v>4390</v>
      </c>
      <c r="J895" s="2610"/>
    </row>
    <row r="896" spans="1:10" ht="15" customHeight="1">
      <c r="A896" s="2462">
        <v>3</v>
      </c>
      <c r="B896" s="2599" t="s">
        <v>4632</v>
      </c>
      <c r="C896" s="2600" t="s">
        <v>3208</v>
      </c>
      <c r="D896" s="2601">
        <v>1989</v>
      </c>
      <c r="E896" s="2601">
        <v>1</v>
      </c>
      <c r="F896" s="2601"/>
      <c r="G896" s="2601"/>
      <c r="H896" s="2601"/>
      <c r="I896" s="2602" t="s">
        <v>987</v>
      </c>
      <c r="J896" s="2610"/>
    </row>
    <row r="897" spans="1:10" ht="14.1" customHeight="1">
      <c r="A897" s="2462">
        <v>4</v>
      </c>
      <c r="B897" s="2599" t="s">
        <v>4632</v>
      </c>
      <c r="C897" s="2600" t="s">
        <v>3209</v>
      </c>
      <c r="D897" s="2601">
        <v>2005</v>
      </c>
      <c r="E897" s="2601">
        <v>2</v>
      </c>
      <c r="F897" s="2601"/>
      <c r="G897" s="2601"/>
      <c r="H897" s="2601"/>
      <c r="I897" s="2602" t="s">
        <v>4390</v>
      </c>
      <c r="J897" s="2610"/>
    </row>
    <row r="898" spans="1:10" ht="14.1" customHeight="1">
      <c r="A898" s="2462">
        <v>5</v>
      </c>
      <c r="B898" s="2599" t="s">
        <v>4632</v>
      </c>
      <c r="C898" s="2600" t="s">
        <v>4614</v>
      </c>
      <c r="D898" s="2601">
        <v>1973</v>
      </c>
      <c r="E898" s="2463">
        <v>1</v>
      </c>
      <c r="F898" s="2463"/>
      <c r="G898" s="2463"/>
      <c r="H898" s="2463"/>
      <c r="I898" s="2602" t="s">
        <v>987</v>
      </c>
      <c r="J898" s="2610"/>
    </row>
    <row r="899" spans="1:10" ht="14.1" customHeight="1">
      <c r="A899" s="2462">
        <v>6</v>
      </c>
      <c r="B899" s="2599" t="s">
        <v>4632</v>
      </c>
      <c r="C899" s="2600" t="s">
        <v>4615</v>
      </c>
      <c r="D899" s="2601">
        <v>2005</v>
      </c>
      <c r="E899" s="2463">
        <v>2</v>
      </c>
      <c r="F899" s="2463"/>
      <c r="G899" s="2463"/>
      <c r="H899" s="2463"/>
      <c r="I899" s="2602" t="s">
        <v>4390</v>
      </c>
      <c r="J899" s="2610"/>
    </row>
    <row r="900" spans="1:10" ht="14.1" customHeight="1">
      <c r="A900" s="2462">
        <v>7</v>
      </c>
      <c r="B900" s="2463"/>
      <c r="C900" s="2463"/>
      <c r="D900" s="2463"/>
      <c r="E900" s="2463"/>
      <c r="F900" s="2463"/>
      <c r="G900" s="2463"/>
      <c r="H900" s="2463"/>
      <c r="I900" s="2461"/>
      <c r="J900" s="2610"/>
    </row>
    <row r="901" spans="1:10" ht="14.1" customHeight="1">
      <c r="A901" s="2462">
        <v>8</v>
      </c>
      <c r="B901" s="2463"/>
      <c r="C901" s="2463"/>
      <c r="D901" s="2463"/>
      <c r="E901" s="2463"/>
      <c r="F901" s="2463"/>
      <c r="G901" s="2463"/>
      <c r="H901" s="2463"/>
      <c r="I901" s="2461"/>
      <c r="J901" s="2610"/>
    </row>
    <row r="902" spans="1:10" ht="14.1" customHeight="1">
      <c r="A902" s="2462">
        <v>9</v>
      </c>
      <c r="B902" s="2463"/>
      <c r="C902" s="2463"/>
      <c r="D902" s="2463"/>
      <c r="E902" s="2463"/>
      <c r="F902" s="2463"/>
      <c r="G902" s="2463"/>
      <c r="H902" s="2463"/>
      <c r="I902" s="2461"/>
      <c r="J902" s="2610"/>
    </row>
    <row r="903" spans="1:10" ht="14.1" customHeight="1">
      <c r="A903" s="2492">
        <v>10</v>
      </c>
      <c r="B903" s="2464" t="s">
        <v>940</v>
      </c>
      <c r="C903" s="2464"/>
      <c r="D903" s="2464"/>
      <c r="E903" s="2464"/>
      <c r="F903" s="2464"/>
      <c r="G903" s="2464"/>
      <c r="H903" s="2464"/>
      <c r="I903" s="2458"/>
      <c r="J903" s="2610"/>
    </row>
    <row r="904" spans="1:10" ht="14.1" customHeight="1">
      <c r="A904" s="2454"/>
      <c r="B904" s="2445" t="s">
        <v>941</v>
      </c>
      <c r="C904" s="2445"/>
      <c r="D904" s="2445"/>
      <c r="E904" s="2445"/>
      <c r="F904" s="2445"/>
      <c r="G904" s="2445"/>
      <c r="H904" s="2445"/>
      <c r="I904" s="2455"/>
      <c r="J904" s="2610"/>
    </row>
    <row r="905" spans="1:10" ht="14.1" customHeight="1">
      <c r="A905" s="2452"/>
      <c r="B905" s="2451"/>
      <c r="C905" s="2451"/>
      <c r="D905" s="2451"/>
      <c r="E905" s="2451"/>
      <c r="F905" s="2451"/>
      <c r="G905" s="2451"/>
      <c r="H905" s="2451"/>
      <c r="I905" s="2453"/>
      <c r="J905" s="2610"/>
    </row>
    <row r="906" spans="1:10" ht="14.1" customHeight="1">
      <c r="A906" s="2490" t="s">
        <v>3634</v>
      </c>
      <c r="B906" s="2460"/>
      <c r="C906" s="2460"/>
      <c r="D906" s="2460"/>
      <c r="E906" s="2460"/>
      <c r="F906" s="2460"/>
      <c r="G906" s="2460"/>
      <c r="H906" s="2460"/>
      <c r="I906" s="2491"/>
      <c r="J906" s="2610"/>
    </row>
    <row r="907" spans="1:10" ht="14.1" customHeight="1">
      <c r="A907" s="2452" t="s">
        <v>2348</v>
      </c>
      <c r="B907" s="2451"/>
      <c r="C907" s="2451"/>
      <c r="D907" s="2451"/>
      <c r="E907" s="2451"/>
      <c r="F907" s="2451"/>
      <c r="G907" s="2451"/>
      <c r="H907" s="2451"/>
      <c r="I907" s="2453"/>
      <c r="J907" s="2610"/>
    </row>
    <row r="908" spans="1:10" ht="14.1" customHeight="1">
      <c r="A908" s="2452" t="s">
        <v>4346</v>
      </c>
      <c r="B908" s="2451"/>
      <c r="C908" s="2451"/>
      <c r="D908" s="2451"/>
      <c r="E908" s="2451" t="s">
        <v>2349</v>
      </c>
      <c r="F908" s="2451"/>
      <c r="G908" s="2451"/>
      <c r="H908" s="2451"/>
      <c r="I908" s="2453"/>
      <c r="J908" s="2610"/>
    </row>
    <row r="909" spans="1:10" ht="14.1" customHeight="1">
      <c r="A909" s="2452"/>
      <c r="B909" s="2451"/>
      <c r="C909" s="2451"/>
      <c r="D909" s="2451"/>
      <c r="E909" s="2451" t="s">
        <v>1004</v>
      </c>
      <c r="F909" s="2451"/>
      <c r="G909" s="2451"/>
      <c r="H909" s="2451"/>
      <c r="I909" s="2453"/>
      <c r="J909" s="2610"/>
    </row>
    <row r="910" spans="1:10" ht="15" customHeight="1">
      <c r="A910" s="2452" t="s">
        <v>1744</v>
      </c>
      <c r="B910" s="2451"/>
      <c r="C910" s="2451"/>
      <c r="D910" s="2451"/>
      <c r="E910" s="2451"/>
      <c r="F910" s="2451"/>
      <c r="G910" s="2451"/>
      <c r="H910" s="2451"/>
      <c r="I910" s="2453"/>
      <c r="J910" s="2610"/>
    </row>
    <row r="911" spans="1:10" ht="15" customHeight="1">
      <c r="A911" s="2452" t="s">
        <v>1005</v>
      </c>
      <c r="B911" s="2451"/>
      <c r="C911" s="2451"/>
      <c r="D911" s="2451"/>
      <c r="E911" s="2451" t="s">
        <v>848</v>
      </c>
      <c r="F911" s="2451"/>
      <c r="G911" s="2451"/>
      <c r="H911" s="2451"/>
      <c r="I911" s="2453"/>
      <c r="J911" s="2610"/>
    </row>
    <row r="912" spans="1:10" ht="15" customHeight="1">
      <c r="A912" s="2452"/>
      <c r="B912" s="2451"/>
      <c r="C912" s="2451"/>
      <c r="D912" s="2451"/>
      <c r="E912" s="2451" t="s">
        <v>1737</v>
      </c>
      <c r="F912" s="2451"/>
      <c r="G912" s="2451"/>
      <c r="H912" s="2451"/>
      <c r="I912" s="2453"/>
      <c r="J912" s="2610"/>
    </row>
    <row r="913" spans="1:10" ht="15" customHeight="1">
      <c r="A913" s="2452" t="s">
        <v>849</v>
      </c>
      <c r="B913" s="2451"/>
      <c r="C913" s="2451"/>
      <c r="D913" s="2451"/>
      <c r="E913" s="2451"/>
      <c r="F913" s="2451"/>
      <c r="G913" s="2451"/>
      <c r="H913" s="2451"/>
      <c r="I913" s="2453"/>
      <c r="J913" s="2610"/>
    </row>
    <row r="914" spans="1:10" ht="15" customHeight="1">
      <c r="A914" s="2452" t="s">
        <v>4345</v>
      </c>
      <c r="B914" s="2451"/>
      <c r="C914" s="2451"/>
      <c r="D914" s="2451"/>
      <c r="E914" s="2451"/>
      <c r="F914" s="2451"/>
      <c r="G914" s="2451"/>
      <c r="H914" s="2451"/>
      <c r="I914" s="2453"/>
      <c r="J914" s="2610"/>
    </row>
    <row r="915" spans="1:10" ht="15" customHeight="1">
      <c r="A915" s="2452"/>
      <c r="B915" s="2451"/>
      <c r="C915" s="2451"/>
      <c r="D915" s="2451"/>
      <c r="E915" s="2451"/>
      <c r="F915" s="2451"/>
      <c r="G915" s="2451"/>
      <c r="H915" s="2451"/>
      <c r="I915" s="2453"/>
      <c r="J915" s="2610"/>
    </row>
    <row r="916" spans="1:10" ht="15" customHeight="1">
      <c r="A916" s="2492"/>
      <c r="B916" s="2464"/>
      <c r="C916" s="2464"/>
      <c r="D916" s="2464"/>
      <c r="E916" s="2464" t="s">
        <v>1738</v>
      </c>
      <c r="F916" s="2464"/>
      <c r="G916" s="2464"/>
      <c r="H916" s="2580"/>
      <c r="I916" s="2458"/>
      <c r="J916" s="2610"/>
    </row>
    <row r="917" spans="1:10" ht="15" customHeight="1">
      <c r="A917" s="2462" t="s">
        <v>1939</v>
      </c>
      <c r="B917" s="2463" t="s">
        <v>1739</v>
      </c>
      <c r="C917" s="2463" t="s">
        <v>3754</v>
      </c>
      <c r="D917" s="2463"/>
      <c r="E917" s="2463"/>
      <c r="F917" s="2463"/>
      <c r="G917" s="2463"/>
      <c r="H917" s="2516"/>
      <c r="I917" s="2461"/>
      <c r="J917" s="2610"/>
    </row>
    <row r="918" spans="1:10" ht="15" customHeight="1">
      <c r="A918" s="2462" t="s">
        <v>1941</v>
      </c>
      <c r="B918" s="2463"/>
      <c r="C918" s="2463" t="s">
        <v>1874</v>
      </c>
      <c r="D918" s="2463" t="s">
        <v>3032</v>
      </c>
      <c r="E918" s="2463" t="s">
        <v>1875</v>
      </c>
      <c r="F918" s="2463" t="s">
        <v>1876</v>
      </c>
      <c r="G918" s="2459" t="s">
        <v>1877</v>
      </c>
      <c r="H918" s="2460"/>
      <c r="I918" s="2461" t="s">
        <v>4031</v>
      </c>
      <c r="J918" s="2610"/>
    </row>
    <row r="919" spans="1:10" ht="15" customHeight="1">
      <c r="A919" s="2462"/>
      <c r="B919" s="2463"/>
      <c r="C919" s="2463"/>
      <c r="D919" s="2463"/>
      <c r="E919" s="2463"/>
      <c r="F919" s="2463"/>
      <c r="G919" s="2459"/>
      <c r="H919" s="2460"/>
      <c r="I919" s="2461"/>
      <c r="J919" s="2610"/>
    </row>
    <row r="920" spans="1:10" ht="14.1" customHeight="1">
      <c r="A920" s="2462"/>
      <c r="B920" s="2463" t="s">
        <v>932</v>
      </c>
      <c r="C920" s="2463" t="s">
        <v>933</v>
      </c>
      <c r="D920" s="2463" t="s">
        <v>934</v>
      </c>
      <c r="E920" s="2463" t="s">
        <v>935</v>
      </c>
      <c r="F920" s="2463" t="s">
        <v>936</v>
      </c>
      <c r="G920" s="2459" t="s">
        <v>937</v>
      </c>
      <c r="H920" s="2460"/>
      <c r="I920" s="2461" t="s">
        <v>938</v>
      </c>
      <c r="J920" s="2610"/>
    </row>
    <row r="921" spans="1:10" ht="14.1" customHeight="1">
      <c r="A921" s="2492">
        <v>23</v>
      </c>
      <c r="B921" s="2444" t="s">
        <v>3212</v>
      </c>
      <c r="C921" s="2464"/>
      <c r="D921" s="2444"/>
      <c r="E921" s="2444"/>
      <c r="F921" s="2444"/>
      <c r="G921" s="2444"/>
      <c r="H921" s="2444"/>
      <c r="I921" s="2507"/>
      <c r="J921" s="2610"/>
    </row>
    <row r="922" spans="1:10" ht="14.1" customHeight="1">
      <c r="A922" s="2462">
        <v>24</v>
      </c>
      <c r="B922" s="2446" t="s">
        <v>3213</v>
      </c>
      <c r="C922" s="2463"/>
      <c r="D922" s="2446"/>
      <c r="E922" s="2446"/>
      <c r="F922" s="2446"/>
      <c r="G922" s="2446"/>
      <c r="H922" s="2446"/>
      <c r="I922" s="2505"/>
      <c r="J922" s="2610"/>
    </row>
    <row r="923" spans="1:10" ht="14.1" customHeight="1">
      <c r="A923" s="2462">
        <v>25</v>
      </c>
      <c r="B923" s="2446" t="s">
        <v>3214</v>
      </c>
      <c r="C923" s="2463"/>
      <c r="D923" s="2446"/>
      <c r="E923" s="2446"/>
      <c r="F923" s="2446"/>
      <c r="G923" s="2446"/>
      <c r="H923" s="2446"/>
      <c r="I923" s="2505"/>
      <c r="J923" s="2610"/>
    </row>
    <row r="924" spans="1:10" ht="14.1" customHeight="1">
      <c r="A924" s="2462">
        <v>26</v>
      </c>
      <c r="B924" s="2446" t="s">
        <v>3215</v>
      </c>
      <c r="C924" s="2463"/>
      <c r="D924" s="2446"/>
      <c r="E924" s="2446"/>
      <c r="F924" s="2446"/>
      <c r="G924" s="2446"/>
      <c r="H924" s="2446"/>
      <c r="I924" s="2505"/>
      <c r="J924" s="2610"/>
    </row>
    <row r="925" spans="1:10" ht="14.1" customHeight="1">
      <c r="A925" s="2462">
        <v>27</v>
      </c>
      <c r="B925" s="2446" t="s">
        <v>3216</v>
      </c>
      <c r="C925" s="2463"/>
      <c r="D925" s="2446"/>
      <c r="E925" s="2446"/>
      <c r="F925" s="2446"/>
      <c r="G925" s="2446"/>
      <c r="H925" s="2446"/>
      <c r="I925" s="2505"/>
      <c r="J925" s="2610"/>
    </row>
    <row r="926" spans="1:10" ht="14.1" customHeight="1">
      <c r="A926" s="2462">
        <v>28</v>
      </c>
      <c r="B926" s="2446" t="s">
        <v>3217</v>
      </c>
      <c r="C926" s="2463"/>
      <c r="D926" s="2446"/>
      <c r="E926" s="2446"/>
      <c r="F926" s="2446"/>
      <c r="G926" s="2446"/>
      <c r="H926" s="2446"/>
      <c r="I926" s="2505"/>
      <c r="J926" s="2610"/>
    </row>
    <row r="927" spans="1:10" ht="14.1" customHeight="1">
      <c r="A927" s="2462">
        <v>29</v>
      </c>
      <c r="B927" s="2601" t="s">
        <v>3218</v>
      </c>
      <c r="C927" s="2607">
        <v>613776</v>
      </c>
      <c r="D927" s="2601" t="s">
        <v>4292</v>
      </c>
      <c r="E927" s="2601" t="s">
        <v>4295</v>
      </c>
      <c r="F927" s="2607">
        <v>5442</v>
      </c>
      <c r="G927" s="2463"/>
      <c r="H927" s="2463"/>
      <c r="I927" s="2461"/>
      <c r="J927" s="2610"/>
    </row>
    <row r="928" spans="1:10" ht="14.1" customHeight="1">
      <c r="A928" s="2462">
        <v>30</v>
      </c>
      <c r="B928" s="2601"/>
      <c r="C928" s="2607"/>
      <c r="D928" s="2601"/>
      <c r="E928" s="2601"/>
      <c r="F928" s="2607"/>
      <c r="G928" s="2463"/>
      <c r="H928" s="2463"/>
      <c r="I928" s="2461"/>
      <c r="J928" s="2610"/>
    </row>
    <row r="929" spans="1:10" ht="14.1" customHeight="1">
      <c r="A929" s="2462">
        <v>31</v>
      </c>
      <c r="B929" s="2601" t="s">
        <v>3219</v>
      </c>
      <c r="C929" s="2607">
        <v>613776</v>
      </c>
      <c r="D929" s="2601" t="s">
        <v>4293</v>
      </c>
      <c r="E929" s="2601" t="s">
        <v>4296</v>
      </c>
      <c r="F929" s="2607">
        <v>94297</v>
      </c>
      <c r="G929" s="2463"/>
      <c r="H929" s="2463"/>
      <c r="I929" s="2461"/>
      <c r="J929" s="2610"/>
    </row>
    <row r="930" spans="1:10" ht="14.1" customHeight="1">
      <c r="A930" s="2462">
        <v>32</v>
      </c>
      <c r="B930" s="2601" t="s">
        <v>3220</v>
      </c>
      <c r="C930" s="2607">
        <v>613776</v>
      </c>
      <c r="D930" s="2601" t="s">
        <v>4294</v>
      </c>
      <c r="E930" s="2601" t="s">
        <v>4296</v>
      </c>
      <c r="F930" s="2607">
        <v>91200</v>
      </c>
      <c r="G930" s="2463"/>
      <c r="H930" s="2463"/>
      <c r="I930" s="2461"/>
      <c r="J930" s="2610"/>
    </row>
    <row r="931" spans="1:10" ht="14.1" customHeight="1">
      <c r="A931" s="2462">
        <v>33</v>
      </c>
      <c r="B931" s="2446"/>
      <c r="C931" s="2607"/>
      <c r="D931" s="2446"/>
      <c r="E931" s="2446"/>
      <c r="F931" s="2608"/>
      <c r="G931" s="2446"/>
      <c r="H931" s="2446"/>
      <c r="I931" s="2505"/>
      <c r="J931" s="2610"/>
    </row>
    <row r="932" spans="1:10" ht="14.1" customHeight="1">
      <c r="A932" s="2462">
        <v>34</v>
      </c>
      <c r="B932" s="2446" t="s">
        <v>3221</v>
      </c>
      <c r="C932" s="2607">
        <v>613776</v>
      </c>
      <c r="D932" s="2446"/>
      <c r="E932" s="2446"/>
      <c r="F932" s="2446"/>
      <c r="G932" s="2446"/>
      <c r="H932" s="2446"/>
      <c r="I932" s="2505"/>
      <c r="J932" s="2610"/>
    </row>
    <row r="933" spans="1:10" ht="14.1" customHeight="1">
      <c r="A933" s="2462">
        <v>35</v>
      </c>
      <c r="B933" s="2446" t="s">
        <v>3222</v>
      </c>
      <c r="C933" s="2607"/>
      <c r="D933" s="2446"/>
      <c r="E933" s="2446"/>
      <c r="F933" s="2446"/>
      <c r="G933" s="2446"/>
      <c r="H933" s="2446"/>
      <c r="I933" s="2505"/>
      <c r="J933" s="2610"/>
    </row>
    <row r="934" spans="1:10" ht="14.1" customHeight="1" thickBot="1">
      <c r="A934" s="2499">
        <v>36</v>
      </c>
      <c r="B934" s="2501" t="s">
        <v>3753</v>
      </c>
      <c r="C934" s="2609">
        <v>613776</v>
      </c>
      <c r="D934" s="2609"/>
      <c r="E934" s="2501"/>
      <c r="F934" s="2501"/>
      <c r="G934" s="2501"/>
      <c r="H934" s="2501"/>
      <c r="I934" s="2502"/>
      <c r="J934" s="2610"/>
    </row>
    <row r="935" spans="1:10" ht="14.1" customHeight="1">
      <c r="A935" s="2449" t="s">
        <v>3184</v>
      </c>
      <c r="B935" s="2449"/>
      <c r="C935" s="2449"/>
      <c r="D935" s="2592" t="s">
        <v>1405</v>
      </c>
      <c r="E935" s="2449"/>
      <c r="F935" s="2449"/>
      <c r="G935" s="2449"/>
      <c r="H935" s="2449"/>
      <c r="I935" s="2449"/>
    </row>
    <row r="936" spans="1:10" ht="14.1" customHeight="1" thickBot="1">
      <c r="A936" s="2444" t="str">
        <f>+A1</f>
        <v>Annual Report of New York American Water Company, Inc. (f/k/a Long Island Water Corp)                                   Year Ended  December 31, 2013</v>
      </c>
    </row>
    <row r="937" spans="1:10" ht="15" customHeight="1">
      <c r="A937" s="2448"/>
      <c r="B937" s="2449"/>
      <c r="C937" s="2449"/>
      <c r="D937" s="2449"/>
      <c r="E937" s="2449"/>
      <c r="F937" s="2449"/>
      <c r="G937" s="2449"/>
      <c r="H937" s="2449"/>
      <c r="I937" s="2450"/>
      <c r="J937" s="2610"/>
    </row>
    <row r="938" spans="1:10" ht="15" customHeight="1">
      <c r="A938" s="2490" t="s">
        <v>3940</v>
      </c>
      <c r="B938" s="2460"/>
      <c r="C938" s="2460"/>
      <c r="D938" s="2460"/>
      <c r="E938" s="2460"/>
      <c r="F938" s="2460"/>
      <c r="G938" s="2460"/>
      <c r="H938" s="2460"/>
      <c r="I938" s="2491"/>
      <c r="J938" s="2610"/>
    </row>
    <row r="939" spans="1:10" ht="15" customHeight="1">
      <c r="A939" s="2452"/>
      <c r="B939" s="2451"/>
      <c r="C939" s="2451"/>
      <c r="D939" s="2451"/>
      <c r="E939" s="2451"/>
      <c r="F939" s="2451"/>
      <c r="G939" s="2451"/>
      <c r="H939" s="2451"/>
      <c r="I939" s="2453"/>
      <c r="J939" s="2610"/>
    </row>
    <row r="940" spans="1:10" ht="15" customHeight="1">
      <c r="A940" s="2454"/>
      <c r="B940" s="2445"/>
      <c r="C940" s="2445"/>
      <c r="D940" s="2445"/>
      <c r="E940" s="2445"/>
      <c r="F940" s="2445"/>
      <c r="G940" s="2445"/>
      <c r="H940" s="2445"/>
      <c r="I940" s="2455"/>
      <c r="J940" s="2610"/>
    </row>
    <row r="941" spans="1:10" ht="15" customHeight="1">
      <c r="A941" s="2452" t="s">
        <v>2611</v>
      </c>
      <c r="B941" s="2451"/>
      <c r="C941" s="2451"/>
      <c r="D941" s="2451"/>
      <c r="E941" s="2451"/>
      <c r="F941" s="2451"/>
      <c r="G941" s="2451"/>
      <c r="H941" s="2451"/>
      <c r="I941" s="2453"/>
      <c r="J941" s="2610"/>
    </row>
    <row r="942" spans="1:10" ht="15" customHeight="1">
      <c r="A942" s="2452" t="s">
        <v>2612</v>
      </c>
      <c r="B942" s="2451"/>
      <c r="C942" s="2451"/>
      <c r="D942" s="2451"/>
      <c r="E942" s="2451"/>
      <c r="F942" s="2451"/>
      <c r="G942" s="2451"/>
      <c r="H942" s="2451"/>
      <c r="I942" s="2453"/>
      <c r="J942" s="2610"/>
    </row>
    <row r="943" spans="1:10" ht="15" customHeight="1">
      <c r="A943" s="2452"/>
      <c r="B943" s="2451"/>
      <c r="C943" s="2451"/>
      <c r="D943" s="2451"/>
      <c r="E943" s="2451"/>
      <c r="F943" s="2451"/>
      <c r="G943" s="2451"/>
      <c r="H943" s="2451"/>
      <c r="I943" s="2453"/>
      <c r="J943" s="2610"/>
    </row>
    <row r="944" spans="1:10" ht="15" customHeight="1">
      <c r="A944" s="2492"/>
      <c r="B944" s="2464"/>
      <c r="C944" s="2464"/>
      <c r="D944" s="2464"/>
      <c r="E944" s="2464"/>
      <c r="F944" s="2464"/>
      <c r="G944" s="2464"/>
      <c r="H944" s="2464"/>
      <c r="I944" s="2458"/>
      <c r="J944" s="2610"/>
    </row>
    <row r="945" spans="1:10" ht="15" customHeight="1">
      <c r="A945" s="2462"/>
      <c r="B945" s="2463" t="s">
        <v>3026</v>
      </c>
      <c r="C945" s="2463" t="s">
        <v>94</v>
      </c>
      <c r="D945" s="2463" t="s">
        <v>3022</v>
      </c>
      <c r="E945" s="2463" t="s">
        <v>2820</v>
      </c>
      <c r="F945" s="2463" t="s">
        <v>3021</v>
      </c>
      <c r="G945" s="2463" t="s">
        <v>2821</v>
      </c>
      <c r="H945" s="2463" t="s">
        <v>2822</v>
      </c>
      <c r="I945" s="2461" t="s">
        <v>930</v>
      </c>
      <c r="J945" s="2610"/>
    </row>
    <row r="946" spans="1:10" ht="15" customHeight="1">
      <c r="A946" s="2462" t="s">
        <v>1939</v>
      </c>
      <c r="B946" s="2463" t="s">
        <v>4226</v>
      </c>
      <c r="C946" s="2463"/>
      <c r="D946" s="2463" t="s">
        <v>2823</v>
      </c>
      <c r="E946" s="2463" t="s">
        <v>4398</v>
      </c>
      <c r="F946" s="2463" t="s">
        <v>4398</v>
      </c>
      <c r="G946" s="2463" t="s">
        <v>4398</v>
      </c>
      <c r="H946" s="2463" t="s">
        <v>4399</v>
      </c>
      <c r="I946" s="2461" t="s">
        <v>931</v>
      </c>
      <c r="J946" s="2610"/>
    </row>
    <row r="947" spans="1:10" ht="15" customHeight="1">
      <c r="A947" s="2462" t="s">
        <v>1941</v>
      </c>
      <c r="B947" s="2463" t="s">
        <v>4400</v>
      </c>
      <c r="C947" s="2463"/>
      <c r="D947" s="2463" t="s">
        <v>4401</v>
      </c>
      <c r="E947" s="2463"/>
      <c r="F947" s="2463" t="s">
        <v>4402</v>
      </c>
      <c r="G947" s="2463" t="s">
        <v>3039</v>
      </c>
      <c r="H947" s="2463" t="s">
        <v>4403</v>
      </c>
      <c r="I947" s="2461"/>
      <c r="J947" s="2610"/>
    </row>
    <row r="948" spans="1:10" ht="15" customHeight="1">
      <c r="A948" s="2462"/>
      <c r="B948" s="2463" t="s">
        <v>932</v>
      </c>
      <c r="C948" s="2463" t="s">
        <v>933</v>
      </c>
      <c r="D948" s="2463" t="s">
        <v>934</v>
      </c>
      <c r="E948" s="2463" t="s">
        <v>935</v>
      </c>
      <c r="F948" s="2463" t="s">
        <v>936</v>
      </c>
      <c r="G948" s="2463" t="s">
        <v>937</v>
      </c>
      <c r="H948" s="2463" t="s">
        <v>938</v>
      </c>
      <c r="I948" s="2461" t="s">
        <v>939</v>
      </c>
      <c r="J948" s="2610"/>
    </row>
    <row r="949" spans="1:10" ht="15" customHeight="1">
      <c r="A949" s="2492">
        <v>1</v>
      </c>
      <c r="B949" s="2595" t="s">
        <v>3922</v>
      </c>
      <c r="C949" s="2596" t="s">
        <v>3207</v>
      </c>
      <c r="D949" s="2611" t="s">
        <v>5308</v>
      </c>
      <c r="E949" s="2597">
        <v>2</v>
      </c>
      <c r="F949" s="2597"/>
      <c r="G949" s="2597"/>
      <c r="H949" s="2597"/>
      <c r="I949" s="2598" t="s">
        <v>987</v>
      </c>
      <c r="J949" s="2610"/>
    </row>
    <row r="950" spans="1:10" ht="15" customHeight="1">
      <c r="A950" s="2462">
        <v>2</v>
      </c>
      <c r="B950" s="2599" t="s">
        <v>3923</v>
      </c>
      <c r="C950" s="2600" t="s">
        <v>4613</v>
      </c>
      <c r="D950" s="2601">
        <v>1995</v>
      </c>
      <c r="E950" s="2601">
        <v>1</v>
      </c>
      <c r="F950" s="2601"/>
      <c r="G950" s="2601"/>
      <c r="H950" s="2601"/>
      <c r="I950" s="2602" t="s">
        <v>4390</v>
      </c>
      <c r="J950" s="2610"/>
    </row>
    <row r="951" spans="1:10" ht="15" customHeight="1">
      <c r="A951" s="2462">
        <v>3</v>
      </c>
      <c r="B951" s="2599" t="s">
        <v>3923</v>
      </c>
      <c r="C951" s="2600" t="s">
        <v>3208</v>
      </c>
      <c r="D951" s="2601">
        <v>1995</v>
      </c>
      <c r="E951" s="2601">
        <v>1</v>
      </c>
      <c r="F951" s="2601"/>
      <c r="G951" s="2601"/>
      <c r="H951" s="2601"/>
      <c r="I951" s="2602" t="s">
        <v>987</v>
      </c>
      <c r="J951" s="2610"/>
    </row>
    <row r="952" spans="1:10" ht="15" customHeight="1">
      <c r="A952" s="2462">
        <v>4</v>
      </c>
      <c r="B952" s="2599" t="s">
        <v>3923</v>
      </c>
      <c r="C952" s="2600" t="s">
        <v>3209</v>
      </c>
      <c r="D952" s="2601">
        <v>1975</v>
      </c>
      <c r="E952" s="2601">
        <v>1</v>
      </c>
      <c r="F952" s="2601"/>
      <c r="G952" s="2601"/>
      <c r="H952" s="2601"/>
      <c r="I952" s="2602" t="s">
        <v>4390</v>
      </c>
      <c r="J952" s="2610"/>
    </row>
    <row r="953" spans="1:10" ht="14.1" customHeight="1">
      <c r="A953" s="2462">
        <v>5</v>
      </c>
      <c r="B953" s="2599" t="s">
        <v>3923</v>
      </c>
      <c r="C953" s="2600" t="s">
        <v>4614</v>
      </c>
      <c r="D953" s="2601">
        <v>1973</v>
      </c>
      <c r="E953" s="2463">
        <v>1</v>
      </c>
      <c r="F953" s="2463"/>
      <c r="G953" s="2463"/>
      <c r="H953" s="2463"/>
      <c r="I953" s="2602" t="s">
        <v>987</v>
      </c>
      <c r="J953" s="2610"/>
    </row>
    <row r="954" spans="1:10" ht="14.1" customHeight="1">
      <c r="A954" s="2462">
        <v>6</v>
      </c>
      <c r="B954" s="2599" t="s">
        <v>3923</v>
      </c>
      <c r="C954" s="2600" t="s">
        <v>4615</v>
      </c>
      <c r="D954" s="2601">
        <v>1973</v>
      </c>
      <c r="E954" s="2463">
        <v>1</v>
      </c>
      <c r="F954" s="2463"/>
      <c r="G954" s="2463"/>
      <c r="H954" s="2463"/>
      <c r="I954" s="2602" t="s">
        <v>4390</v>
      </c>
      <c r="J954" s="2610"/>
    </row>
    <row r="955" spans="1:10" ht="14.1" customHeight="1">
      <c r="A955" s="2462">
        <v>7</v>
      </c>
      <c r="B955" s="2463"/>
      <c r="C955" s="2463"/>
      <c r="D955" s="2463"/>
      <c r="E955" s="2463"/>
      <c r="F955" s="2463"/>
      <c r="G955" s="2463"/>
      <c r="H955" s="2463"/>
      <c r="I955" s="2461"/>
      <c r="J955" s="2610"/>
    </row>
    <row r="956" spans="1:10" ht="14.1" customHeight="1">
      <c r="A956" s="2462">
        <v>8</v>
      </c>
      <c r="B956" s="2463"/>
      <c r="C956" s="2463"/>
      <c r="D956" s="2463"/>
      <c r="E956" s="2463"/>
      <c r="F956" s="2463"/>
      <c r="G956" s="2463"/>
      <c r="H956" s="2463"/>
      <c r="I956" s="2461"/>
      <c r="J956" s="2610"/>
    </row>
    <row r="957" spans="1:10" ht="14.1" customHeight="1">
      <c r="A957" s="2462">
        <v>9</v>
      </c>
      <c r="B957" s="2463"/>
      <c r="C957" s="2463"/>
      <c r="D957" s="2463"/>
      <c r="E957" s="2463"/>
      <c r="F957" s="2463"/>
      <c r="G957" s="2463"/>
      <c r="H957" s="2463"/>
      <c r="I957" s="2461"/>
      <c r="J957" s="2610"/>
    </row>
    <row r="958" spans="1:10" ht="14.1" customHeight="1">
      <c r="A958" s="2492">
        <v>10</v>
      </c>
      <c r="B958" s="2464" t="s">
        <v>940</v>
      </c>
      <c r="C958" s="2464"/>
      <c r="D958" s="2464"/>
      <c r="E958" s="2464"/>
      <c r="F958" s="2464"/>
      <c r="G958" s="2464"/>
      <c r="H958" s="2464"/>
      <c r="I958" s="2458"/>
      <c r="J958" s="2610"/>
    </row>
    <row r="959" spans="1:10" ht="14.1" customHeight="1">
      <c r="A959" s="2454"/>
      <c r="B959" s="2445" t="s">
        <v>941</v>
      </c>
      <c r="C959" s="2445"/>
      <c r="D959" s="2445"/>
      <c r="E959" s="2445"/>
      <c r="F959" s="2445"/>
      <c r="G959" s="2445"/>
      <c r="H959" s="2445"/>
      <c r="I959" s="2455"/>
      <c r="J959" s="2610"/>
    </row>
    <row r="960" spans="1:10" ht="14.1" customHeight="1">
      <c r="A960" s="2452"/>
      <c r="B960" s="2451"/>
      <c r="C960" s="2451"/>
      <c r="D960" s="2451"/>
      <c r="E960" s="2451"/>
      <c r="F960" s="2451"/>
      <c r="G960" s="2451"/>
      <c r="H960" s="2451"/>
      <c r="I960" s="2453"/>
      <c r="J960" s="2610"/>
    </row>
    <row r="961" spans="1:10" ht="14.1" customHeight="1">
      <c r="A961" s="2490" t="s">
        <v>3634</v>
      </c>
      <c r="B961" s="2460"/>
      <c r="C961" s="2460"/>
      <c r="D961" s="2460"/>
      <c r="E961" s="2460"/>
      <c r="F961" s="2460"/>
      <c r="G961" s="2460"/>
      <c r="H961" s="2460"/>
      <c r="I961" s="2491"/>
      <c r="J961" s="2610"/>
    </row>
    <row r="962" spans="1:10" ht="14.1" customHeight="1">
      <c r="A962" s="2452" t="s">
        <v>2348</v>
      </c>
      <c r="B962" s="2451"/>
      <c r="C962" s="2451"/>
      <c r="D962" s="2451"/>
      <c r="E962" s="2451"/>
      <c r="F962" s="2451"/>
      <c r="G962" s="2451"/>
      <c r="H962" s="2451"/>
      <c r="I962" s="2453"/>
      <c r="J962" s="2610"/>
    </row>
    <row r="963" spans="1:10" ht="14.1" customHeight="1">
      <c r="A963" s="2452" t="s">
        <v>4346</v>
      </c>
      <c r="B963" s="2451"/>
      <c r="C963" s="2451"/>
      <c r="D963" s="2451"/>
      <c r="E963" s="2451" t="s">
        <v>2349</v>
      </c>
      <c r="F963" s="2451"/>
      <c r="G963" s="2451"/>
      <c r="H963" s="2451"/>
      <c r="I963" s="2453"/>
      <c r="J963" s="2610"/>
    </row>
    <row r="964" spans="1:10" ht="14.1" customHeight="1">
      <c r="A964" s="2452"/>
      <c r="B964" s="2451"/>
      <c r="C964" s="2451"/>
      <c r="D964" s="2451"/>
      <c r="E964" s="2451" t="s">
        <v>1004</v>
      </c>
      <c r="F964" s="2451"/>
      <c r="G964" s="2451"/>
      <c r="H964" s="2451"/>
      <c r="I964" s="2453"/>
      <c r="J964" s="2610"/>
    </row>
    <row r="965" spans="1:10" ht="14.1" customHeight="1">
      <c r="A965" s="2452" t="s">
        <v>1744</v>
      </c>
      <c r="B965" s="2451"/>
      <c r="C965" s="2451"/>
      <c r="D965" s="2451"/>
      <c r="E965" s="2451"/>
      <c r="F965" s="2451"/>
      <c r="G965" s="2451"/>
      <c r="H965" s="2451"/>
      <c r="I965" s="2453"/>
      <c r="J965" s="2610"/>
    </row>
    <row r="966" spans="1:10" ht="15" customHeight="1">
      <c r="A966" s="2452" t="s">
        <v>1005</v>
      </c>
      <c r="B966" s="2451"/>
      <c r="C966" s="2451"/>
      <c r="D966" s="2451"/>
      <c r="E966" s="2451" t="s">
        <v>848</v>
      </c>
      <c r="F966" s="2451"/>
      <c r="G966" s="2451"/>
      <c r="H966" s="2451"/>
      <c r="I966" s="2453"/>
      <c r="J966" s="2610"/>
    </row>
    <row r="967" spans="1:10" ht="15" customHeight="1">
      <c r="A967" s="2452"/>
      <c r="B967" s="2451"/>
      <c r="C967" s="2451"/>
      <c r="D967" s="2451"/>
      <c r="E967" s="2451" t="s">
        <v>1737</v>
      </c>
      <c r="F967" s="2451"/>
      <c r="G967" s="2451"/>
      <c r="H967" s="2451"/>
      <c r="I967" s="2453"/>
      <c r="J967" s="2610"/>
    </row>
    <row r="968" spans="1:10" ht="15" customHeight="1">
      <c r="A968" s="2452" t="s">
        <v>849</v>
      </c>
      <c r="B968" s="2451"/>
      <c r="C968" s="2451"/>
      <c r="D968" s="2451"/>
      <c r="E968" s="2451"/>
      <c r="F968" s="2451"/>
      <c r="G968" s="2451"/>
      <c r="H968" s="2451"/>
      <c r="I968" s="2453"/>
      <c r="J968" s="2610"/>
    </row>
    <row r="969" spans="1:10" ht="15" customHeight="1">
      <c r="A969" s="2452" t="s">
        <v>4345</v>
      </c>
      <c r="B969" s="2451"/>
      <c r="C969" s="2451"/>
      <c r="D969" s="2451"/>
      <c r="E969" s="2451"/>
      <c r="F969" s="2451"/>
      <c r="G969" s="2451"/>
      <c r="H969" s="2451"/>
      <c r="I969" s="2453"/>
      <c r="J969" s="2610"/>
    </row>
    <row r="970" spans="1:10" ht="15" customHeight="1">
      <c r="A970" s="2452"/>
      <c r="B970" s="2451"/>
      <c r="C970" s="2451"/>
      <c r="D970" s="2451"/>
      <c r="E970" s="2451"/>
      <c r="F970" s="2451"/>
      <c r="G970" s="2451"/>
      <c r="H970" s="2451"/>
      <c r="I970" s="2453"/>
      <c r="J970" s="2610"/>
    </row>
    <row r="971" spans="1:10" ht="15" customHeight="1">
      <c r="A971" s="2492"/>
      <c r="B971" s="2464"/>
      <c r="C971" s="2464"/>
      <c r="D971" s="2464"/>
      <c r="E971" s="2464" t="s">
        <v>1738</v>
      </c>
      <c r="F971" s="2464"/>
      <c r="G971" s="2464"/>
      <c r="H971" s="2580"/>
      <c r="I971" s="2458"/>
      <c r="J971" s="2610"/>
    </row>
    <row r="972" spans="1:10" ht="15" customHeight="1">
      <c r="A972" s="2462" t="s">
        <v>1939</v>
      </c>
      <c r="B972" s="2463" t="s">
        <v>1739</v>
      </c>
      <c r="C972" s="2463" t="s">
        <v>3754</v>
      </c>
      <c r="D972" s="2463"/>
      <c r="E972" s="2463"/>
      <c r="F972" s="2463"/>
      <c r="G972" s="2463"/>
      <c r="H972" s="2516"/>
      <c r="I972" s="2461"/>
      <c r="J972" s="2610"/>
    </row>
    <row r="973" spans="1:10" ht="15" customHeight="1">
      <c r="A973" s="2462" t="s">
        <v>1941</v>
      </c>
      <c r="B973" s="2463"/>
      <c r="C973" s="2463" t="s">
        <v>1874</v>
      </c>
      <c r="D973" s="2463" t="s">
        <v>3032</v>
      </c>
      <c r="E973" s="2463" t="s">
        <v>1875</v>
      </c>
      <c r="F973" s="2463" t="s">
        <v>1876</v>
      </c>
      <c r="G973" s="2459" t="s">
        <v>1877</v>
      </c>
      <c r="H973" s="2460"/>
      <c r="I973" s="2461" t="s">
        <v>4031</v>
      </c>
      <c r="J973" s="2610"/>
    </row>
    <row r="974" spans="1:10" ht="15" customHeight="1">
      <c r="A974" s="2462"/>
      <c r="B974" s="2463"/>
      <c r="C974" s="2463"/>
      <c r="D974" s="2463"/>
      <c r="E974" s="2463"/>
      <c r="F974" s="2463"/>
      <c r="G974" s="2459"/>
      <c r="H974" s="2460"/>
      <c r="I974" s="2461"/>
      <c r="J974" s="2610"/>
    </row>
    <row r="975" spans="1:10" ht="15" customHeight="1">
      <c r="A975" s="2462"/>
      <c r="B975" s="2463" t="s">
        <v>932</v>
      </c>
      <c r="C975" s="2463" t="s">
        <v>933</v>
      </c>
      <c r="D975" s="2463" t="s">
        <v>934</v>
      </c>
      <c r="E975" s="2463" t="s">
        <v>935</v>
      </c>
      <c r="F975" s="2463" t="s">
        <v>936</v>
      </c>
      <c r="G975" s="2459" t="s">
        <v>937</v>
      </c>
      <c r="H975" s="2460"/>
      <c r="I975" s="2461" t="s">
        <v>938</v>
      </c>
      <c r="J975" s="2610"/>
    </row>
    <row r="976" spans="1:10" ht="14.1" customHeight="1">
      <c r="A976" s="2492">
        <v>23</v>
      </c>
      <c r="B976" s="2444" t="s">
        <v>3212</v>
      </c>
      <c r="C976" s="2464"/>
      <c r="D976" s="2444"/>
      <c r="E976" s="2444"/>
      <c r="F976" s="2444"/>
      <c r="G976" s="2444"/>
      <c r="H976" s="2444"/>
      <c r="I976" s="2507"/>
      <c r="J976" s="2610"/>
    </row>
    <row r="977" spans="1:10" ht="14.1" customHeight="1">
      <c r="A977" s="2462">
        <v>24</v>
      </c>
      <c r="B977" s="2446" t="s">
        <v>3213</v>
      </c>
      <c r="C977" s="2463"/>
      <c r="D977" s="2446"/>
      <c r="E977" s="2446"/>
      <c r="F977" s="2446"/>
      <c r="G977" s="2446"/>
      <c r="H977" s="2446"/>
      <c r="I977" s="2505"/>
      <c r="J977" s="2610"/>
    </row>
    <row r="978" spans="1:10" ht="14.1" customHeight="1">
      <c r="A978" s="2462">
        <v>25</v>
      </c>
      <c r="B978" s="2446" t="s">
        <v>3214</v>
      </c>
      <c r="C978" s="2463"/>
      <c r="D978" s="2446"/>
      <c r="E978" s="2446"/>
      <c r="F978" s="2446"/>
      <c r="G978" s="2446"/>
      <c r="H978" s="2446"/>
      <c r="I978" s="2505"/>
      <c r="J978" s="2610"/>
    </row>
    <row r="979" spans="1:10" ht="14.1" customHeight="1">
      <c r="A979" s="2462">
        <v>26</v>
      </c>
      <c r="B979" s="2446" t="s">
        <v>3215</v>
      </c>
      <c r="C979" s="2463"/>
      <c r="D979" s="2446"/>
      <c r="E979" s="2446"/>
      <c r="F979" s="2446"/>
      <c r="G979" s="2446"/>
      <c r="H979" s="2446"/>
      <c r="I979" s="2505"/>
      <c r="J979" s="2610"/>
    </row>
    <row r="980" spans="1:10" ht="14.1" customHeight="1">
      <c r="A980" s="2462">
        <v>27</v>
      </c>
      <c r="B980" s="2446" t="s">
        <v>3216</v>
      </c>
      <c r="C980" s="2463"/>
      <c r="D980" s="2446"/>
      <c r="E980" s="2446"/>
      <c r="F980" s="2446"/>
      <c r="G980" s="2446"/>
      <c r="H980" s="2446"/>
      <c r="I980" s="2505"/>
      <c r="J980" s="2610"/>
    </row>
    <row r="981" spans="1:10" ht="14.1" customHeight="1">
      <c r="A981" s="2462">
        <v>28</v>
      </c>
      <c r="B981" s="2446" t="s">
        <v>3217</v>
      </c>
      <c r="C981" s="2463"/>
      <c r="D981" s="2446"/>
      <c r="E981" s="2446"/>
      <c r="F981" s="2446"/>
      <c r="G981" s="2446"/>
      <c r="H981" s="2446"/>
      <c r="I981" s="2505"/>
      <c r="J981" s="2610"/>
    </row>
    <row r="982" spans="1:10" ht="14.1" customHeight="1">
      <c r="A982" s="2462">
        <v>29</v>
      </c>
      <c r="B982" s="2601" t="s">
        <v>3218</v>
      </c>
      <c r="C982" s="2607">
        <v>352666</v>
      </c>
      <c r="D982" s="2601" t="s">
        <v>4292</v>
      </c>
      <c r="E982" s="2601" t="s">
        <v>4295</v>
      </c>
      <c r="F982" s="2607">
        <v>5028</v>
      </c>
      <c r="G982" s="2463"/>
      <c r="H982" s="2463"/>
      <c r="I982" s="2461"/>
      <c r="J982" s="2610"/>
    </row>
    <row r="983" spans="1:10" ht="14.1" customHeight="1">
      <c r="A983" s="2462">
        <v>30</v>
      </c>
      <c r="B983" s="2601"/>
      <c r="C983" s="2607"/>
      <c r="D983" s="2601"/>
      <c r="E983" s="2601"/>
      <c r="F983" s="2607"/>
      <c r="G983" s="2463"/>
      <c r="H983" s="2463"/>
      <c r="I983" s="2461"/>
      <c r="J983" s="2610"/>
    </row>
    <row r="984" spans="1:10" ht="14.1" customHeight="1">
      <c r="A984" s="2462">
        <v>31</v>
      </c>
      <c r="B984" s="2601" t="s">
        <v>3219</v>
      </c>
      <c r="C984" s="2607">
        <v>352666</v>
      </c>
      <c r="D984" s="2601" t="s">
        <v>4293</v>
      </c>
      <c r="E984" s="2601" t="s">
        <v>4296</v>
      </c>
      <c r="F984" s="2607">
        <v>55084</v>
      </c>
      <c r="G984" s="2463"/>
      <c r="H984" s="2463"/>
      <c r="I984" s="2461"/>
      <c r="J984" s="2610"/>
    </row>
    <row r="985" spans="1:10" ht="14.1" customHeight="1">
      <c r="A985" s="2462">
        <v>32</v>
      </c>
      <c r="B985" s="2601" t="s">
        <v>3220</v>
      </c>
      <c r="C985" s="2607">
        <v>352666</v>
      </c>
      <c r="D985" s="2601" t="s">
        <v>4294</v>
      </c>
      <c r="E985" s="2601" t="s">
        <v>4296</v>
      </c>
      <c r="F985" s="2607">
        <v>78850</v>
      </c>
      <c r="G985" s="2463"/>
      <c r="H985" s="2463"/>
      <c r="I985" s="2461"/>
      <c r="J985" s="2610"/>
    </row>
    <row r="986" spans="1:10" ht="14.1" customHeight="1">
      <c r="A986" s="2462">
        <v>33</v>
      </c>
      <c r="B986" s="2446"/>
      <c r="C986" s="2607"/>
      <c r="D986" s="2446"/>
      <c r="E986" s="2446"/>
      <c r="F986" s="2608"/>
      <c r="G986" s="2446"/>
      <c r="H986" s="2446"/>
      <c r="I986" s="2505"/>
      <c r="J986" s="2610"/>
    </row>
    <row r="987" spans="1:10" ht="14.1" customHeight="1">
      <c r="A987" s="2462">
        <v>34</v>
      </c>
      <c r="B987" s="2446" t="s">
        <v>3221</v>
      </c>
      <c r="C987" s="2607">
        <v>352666</v>
      </c>
      <c r="D987" s="2446"/>
      <c r="E987" s="2446"/>
      <c r="F987" s="2446"/>
      <c r="G987" s="2446"/>
      <c r="H987" s="2446"/>
      <c r="I987" s="2505"/>
      <c r="J987" s="2610"/>
    </row>
    <row r="988" spans="1:10" ht="14.1" customHeight="1">
      <c r="A988" s="2462">
        <v>35</v>
      </c>
      <c r="B988" s="2446" t="s">
        <v>3222</v>
      </c>
      <c r="C988" s="2607"/>
      <c r="D988" s="2446"/>
      <c r="E988" s="2446"/>
      <c r="F988" s="2446"/>
      <c r="G988" s="2446"/>
      <c r="H988" s="2446"/>
      <c r="I988" s="2505"/>
      <c r="J988" s="2610"/>
    </row>
    <row r="989" spans="1:10" ht="14.1" customHeight="1" thickBot="1">
      <c r="A989" s="2499">
        <v>36</v>
      </c>
      <c r="B989" s="2501" t="s">
        <v>3753</v>
      </c>
      <c r="C989" s="2609">
        <v>352666</v>
      </c>
      <c r="D989" s="2609"/>
      <c r="E989" s="2501"/>
      <c r="F989" s="2501"/>
      <c r="G989" s="2501"/>
      <c r="H989" s="2501"/>
      <c r="I989" s="2502"/>
      <c r="J989" s="2610"/>
    </row>
    <row r="990" spans="1:10" ht="14.1" customHeight="1">
      <c r="A990" s="2449" t="s">
        <v>3184</v>
      </c>
      <c r="B990" s="2449"/>
      <c r="C990" s="2449"/>
      <c r="D990" s="2592" t="s">
        <v>1406</v>
      </c>
      <c r="E990" s="2449"/>
      <c r="F990" s="2449"/>
      <c r="G990" s="2449"/>
      <c r="H990" s="2449"/>
      <c r="I990" s="2449"/>
    </row>
    <row r="991" spans="1:10" ht="14.1" customHeight="1" thickBot="1">
      <c r="A991" s="2444" t="str">
        <f>+A1</f>
        <v>Annual Report of New York American Water Company, Inc. (f/k/a Long Island Water Corp)                                   Year Ended  December 31, 2013</v>
      </c>
    </row>
    <row r="992" spans="1:10" ht="14.1" customHeight="1">
      <c r="A992" s="2448"/>
      <c r="B992" s="2449"/>
      <c r="C992" s="2449"/>
      <c r="D992" s="2449"/>
      <c r="E992" s="2449"/>
      <c r="F992" s="2449"/>
      <c r="G992" s="2449"/>
      <c r="H992" s="2449"/>
      <c r="I992" s="2450"/>
      <c r="J992" s="2610"/>
    </row>
    <row r="993" spans="1:10" ht="15" customHeight="1">
      <c r="A993" s="2490" t="s">
        <v>3940</v>
      </c>
      <c r="B993" s="2460"/>
      <c r="C993" s="2460"/>
      <c r="D993" s="2460"/>
      <c r="E993" s="2460"/>
      <c r="F993" s="2460"/>
      <c r="G993" s="2460"/>
      <c r="H993" s="2460"/>
      <c r="I993" s="2491"/>
      <c r="J993" s="2610"/>
    </row>
    <row r="994" spans="1:10" ht="15" customHeight="1">
      <c r="A994" s="2452"/>
      <c r="B994" s="2451"/>
      <c r="C994" s="2451"/>
      <c r="D994" s="2451"/>
      <c r="E994" s="2451"/>
      <c r="F994" s="2451"/>
      <c r="G994" s="2451"/>
      <c r="H994" s="2451"/>
      <c r="I994" s="2453"/>
      <c r="J994" s="2610"/>
    </row>
    <row r="995" spans="1:10" ht="15" customHeight="1">
      <c r="A995" s="2454"/>
      <c r="B995" s="2445"/>
      <c r="C995" s="2445"/>
      <c r="D995" s="2445"/>
      <c r="E995" s="2445"/>
      <c r="F995" s="2445"/>
      <c r="G995" s="2445"/>
      <c r="H995" s="2445"/>
      <c r="I995" s="2455"/>
      <c r="J995" s="2610"/>
    </row>
    <row r="996" spans="1:10" ht="15" customHeight="1">
      <c r="A996" s="2452" t="s">
        <v>2611</v>
      </c>
      <c r="B996" s="2451"/>
      <c r="C996" s="2451"/>
      <c r="D996" s="2451"/>
      <c r="E996" s="2451"/>
      <c r="F996" s="2451"/>
      <c r="G996" s="2451"/>
      <c r="H996" s="2451"/>
      <c r="I996" s="2453"/>
      <c r="J996" s="2610"/>
    </row>
    <row r="997" spans="1:10" ht="15" customHeight="1">
      <c r="A997" s="2452" t="s">
        <v>2612</v>
      </c>
      <c r="B997" s="2451"/>
      <c r="C997" s="2451"/>
      <c r="D997" s="2451"/>
      <c r="E997" s="2451"/>
      <c r="F997" s="2451"/>
      <c r="G997" s="2451"/>
      <c r="H997" s="2451"/>
      <c r="I997" s="2453"/>
      <c r="J997" s="2610"/>
    </row>
    <row r="998" spans="1:10" ht="15" customHeight="1">
      <c r="A998" s="2452"/>
      <c r="B998" s="2451"/>
      <c r="C998" s="2451"/>
      <c r="D998" s="2451"/>
      <c r="E998" s="2451"/>
      <c r="F998" s="2451"/>
      <c r="G998" s="2451"/>
      <c r="H998" s="2451"/>
      <c r="I998" s="2453"/>
      <c r="J998" s="2610"/>
    </row>
    <row r="999" spans="1:10" ht="15" customHeight="1">
      <c r="A999" s="2492"/>
      <c r="B999" s="2464"/>
      <c r="C999" s="2464"/>
      <c r="D999" s="2464"/>
      <c r="E999" s="2464"/>
      <c r="F999" s="2464"/>
      <c r="G999" s="2464"/>
      <c r="H999" s="2464"/>
      <c r="I999" s="2458"/>
      <c r="J999" s="2610"/>
    </row>
    <row r="1000" spans="1:10" ht="15" customHeight="1">
      <c r="A1000" s="2462"/>
      <c r="B1000" s="2463" t="s">
        <v>3026</v>
      </c>
      <c r="C1000" s="2463" t="s">
        <v>94</v>
      </c>
      <c r="D1000" s="2463" t="s">
        <v>3022</v>
      </c>
      <c r="E1000" s="2463" t="s">
        <v>2820</v>
      </c>
      <c r="F1000" s="2463" t="s">
        <v>3021</v>
      </c>
      <c r="G1000" s="2463" t="s">
        <v>2821</v>
      </c>
      <c r="H1000" s="2463" t="s">
        <v>2822</v>
      </c>
      <c r="I1000" s="2461" t="s">
        <v>930</v>
      </c>
      <c r="J1000" s="2610"/>
    </row>
    <row r="1001" spans="1:10" ht="15" customHeight="1">
      <c r="A1001" s="2462" t="s">
        <v>1939</v>
      </c>
      <c r="B1001" s="2463" t="s">
        <v>4226</v>
      </c>
      <c r="C1001" s="2463"/>
      <c r="D1001" s="2463" t="s">
        <v>2823</v>
      </c>
      <c r="E1001" s="2463" t="s">
        <v>4398</v>
      </c>
      <c r="F1001" s="2463" t="s">
        <v>4398</v>
      </c>
      <c r="G1001" s="2463" t="s">
        <v>4398</v>
      </c>
      <c r="H1001" s="2463" t="s">
        <v>4399</v>
      </c>
      <c r="I1001" s="2461" t="s">
        <v>931</v>
      </c>
      <c r="J1001" s="2610"/>
    </row>
    <row r="1002" spans="1:10" ht="15" customHeight="1">
      <c r="A1002" s="2462" t="s">
        <v>1941</v>
      </c>
      <c r="B1002" s="2463" t="s">
        <v>4400</v>
      </c>
      <c r="C1002" s="2463"/>
      <c r="D1002" s="2463" t="s">
        <v>4401</v>
      </c>
      <c r="E1002" s="2463"/>
      <c r="F1002" s="2463" t="s">
        <v>4402</v>
      </c>
      <c r="G1002" s="2463" t="s">
        <v>3039</v>
      </c>
      <c r="H1002" s="2463" t="s">
        <v>4403</v>
      </c>
      <c r="I1002" s="2461"/>
      <c r="J1002" s="2610"/>
    </row>
    <row r="1003" spans="1:10" ht="15" customHeight="1">
      <c r="A1003" s="2462"/>
      <c r="B1003" s="2463" t="s">
        <v>932</v>
      </c>
      <c r="C1003" s="2463" t="s">
        <v>933</v>
      </c>
      <c r="D1003" s="2463" t="s">
        <v>934</v>
      </c>
      <c r="E1003" s="2463" t="s">
        <v>935</v>
      </c>
      <c r="F1003" s="2463" t="s">
        <v>936</v>
      </c>
      <c r="G1003" s="2463" t="s">
        <v>937</v>
      </c>
      <c r="H1003" s="2463" t="s">
        <v>938</v>
      </c>
      <c r="I1003" s="2461" t="s">
        <v>939</v>
      </c>
      <c r="J1003" s="2610"/>
    </row>
    <row r="1004" spans="1:10" ht="15" customHeight="1">
      <c r="A1004" s="2492">
        <v>1</v>
      </c>
      <c r="B1004" s="2595" t="s">
        <v>2855</v>
      </c>
      <c r="C1004" s="2596" t="s">
        <v>3207</v>
      </c>
      <c r="D1004" s="2611" t="s">
        <v>5308</v>
      </c>
      <c r="E1004" s="2597">
        <v>2</v>
      </c>
      <c r="F1004" s="2597"/>
      <c r="G1004" s="2597"/>
      <c r="H1004" s="2597"/>
      <c r="I1004" s="2598" t="s">
        <v>987</v>
      </c>
      <c r="J1004" s="2610"/>
    </row>
    <row r="1005" spans="1:10" ht="15" customHeight="1">
      <c r="A1005" s="2462">
        <v>2</v>
      </c>
      <c r="B1005" s="2599" t="s">
        <v>1212</v>
      </c>
      <c r="C1005" s="2600" t="s">
        <v>4613</v>
      </c>
      <c r="D1005" s="2601">
        <v>1995</v>
      </c>
      <c r="E1005" s="2601">
        <v>1</v>
      </c>
      <c r="F1005" s="2601"/>
      <c r="G1005" s="2601"/>
      <c r="H1005" s="2601"/>
      <c r="I1005" s="2602" t="s">
        <v>4390</v>
      </c>
      <c r="J1005" s="2610"/>
    </row>
    <row r="1006" spans="1:10" ht="15" customHeight="1">
      <c r="A1006" s="2462">
        <v>3</v>
      </c>
      <c r="B1006" s="2599" t="s">
        <v>1212</v>
      </c>
      <c r="C1006" s="2600" t="s">
        <v>3208</v>
      </c>
      <c r="D1006" s="2601">
        <v>1997</v>
      </c>
      <c r="E1006" s="2601">
        <v>1</v>
      </c>
      <c r="F1006" s="2601"/>
      <c r="G1006" s="2601"/>
      <c r="H1006" s="2601"/>
      <c r="I1006" s="2602" t="s">
        <v>987</v>
      </c>
      <c r="J1006" s="2610"/>
    </row>
    <row r="1007" spans="1:10" ht="15" customHeight="1">
      <c r="A1007" s="2462">
        <v>4</v>
      </c>
      <c r="B1007" s="2599" t="s">
        <v>1212</v>
      </c>
      <c r="C1007" s="2600" t="s">
        <v>3209</v>
      </c>
      <c r="D1007" s="2601">
        <v>1975</v>
      </c>
      <c r="E1007" s="2601">
        <v>1</v>
      </c>
      <c r="F1007" s="2601"/>
      <c r="G1007" s="2601"/>
      <c r="H1007" s="2601"/>
      <c r="I1007" s="2602" t="s">
        <v>4390</v>
      </c>
      <c r="J1007" s="2610"/>
    </row>
    <row r="1008" spans="1:10" ht="15" customHeight="1">
      <c r="A1008" s="2462">
        <v>5</v>
      </c>
      <c r="B1008" s="2599" t="s">
        <v>1212</v>
      </c>
      <c r="C1008" s="2600" t="s">
        <v>4614</v>
      </c>
      <c r="D1008" s="2601">
        <v>1973</v>
      </c>
      <c r="E1008" s="2463">
        <v>1</v>
      </c>
      <c r="F1008" s="2463"/>
      <c r="G1008" s="2463"/>
      <c r="H1008" s="2463"/>
      <c r="I1008" s="2602" t="s">
        <v>987</v>
      </c>
      <c r="J1008" s="2610"/>
    </row>
    <row r="1009" spans="1:10" ht="14.1" customHeight="1">
      <c r="A1009" s="2462">
        <v>6</v>
      </c>
      <c r="B1009" s="2599" t="s">
        <v>1212</v>
      </c>
      <c r="C1009" s="2600" t="s">
        <v>4615</v>
      </c>
      <c r="D1009" s="2601">
        <v>1973</v>
      </c>
      <c r="E1009" s="2463">
        <v>1</v>
      </c>
      <c r="F1009" s="2463"/>
      <c r="G1009" s="2463"/>
      <c r="H1009" s="2463"/>
      <c r="I1009" s="2602" t="s">
        <v>4390</v>
      </c>
      <c r="J1009" s="2610"/>
    </row>
    <row r="1010" spans="1:10" ht="14.1" customHeight="1">
      <c r="A1010" s="2462">
        <v>7</v>
      </c>
      <c r="B1010" s="2463"/>
      <c r="C1010" s="2463"/>
      <c r="D1010" s="2463"/>
      <c r="E1010" s="2463"/>
      <c r="F1010" s="2463"/>
      <c r="G1010" s="2463"/>
      <c r="H1010" s="2463"/>
      <c r="I1010" s="2461"/>
      <c r="J1010" s="2610"/>
    </row>
    <row r="1011" spans="1:10" ht="14.1" customHeight="1">
      <c r="A1011" s="2462">
        <v>8</v>
      </c>
      <c r="B1011" s="2463"/>
      <c r="C1011" s="2463"/>
      <c r="D1011" s="2463"/>
      <c r="E1011" s="2463"/>
      <c r="F1011" s="2463"/>
      <c r="G1011" s="2463"/>
      <c r="H1011" s="2463"/>
      <c r="I1011" s="2461"/>
      <c r="J1011" s="2610"/>
    </row>
    <row r="1012" spans="1:10" ht="14.1" customHeight="1">
      <c r="A1012" s="2462">
        <v>9</v>
      </c>
      <c r="B1012" s="2463"/>
      <c r="C1012" s="2463"/>
      <c r="D1012" s="2463"/>
      <c r="E1012" s="2463"/>
      <c r="F1012" s="2463"/>
      <c r="G1012" s="2463"/>
      <c r="H1012" s="2463"/>
      <c r="I1012" s="2461"/>
      <c r="J1012" s="2610"/>
    </row>
    <row r="1013" spans="1:10" ht="14.1" customHeight="1">
      <c r="A1013" s="2492">
        <v>10</v>
      </c>
      <c r="B1013" s="2464" t="s">
        <v>940</v>
      </c>
      <c r="C1013" s="2464"/>
      <c r="D1013" s="2464"/>
      <c r="E1013" s="2464"/>
      <c r="F1013" s="2464"/>
      <c r="G1013" s="2464"/>
      <c r="H1013" s="2464"/>
      <c r="I1013" s="2458"/>
      <c r="J1013" s="2610"/>
    </row>
    <row r="1014" spans="1:10" ht="14.1" customHeight="1">
      <c r="A1014" s="2454"/>
      <c r="B1014" s="2445" t="s">
        <v>941</v>
      </c>
      <c r="C1014" s="2445"/>
      <c r="D1014" s="2445"/>
      <c r="E1014" s="2445"/>
      <c r="F1014" s="2445"/>
      <c r="G1014" s="2445"/>
      <c r="H1014" s="2445"/>
      <c r="I1014" s="2455"/>
      <c r="J1014" s="2610"/>
    </row>
    <row r="1015" spans="1:10" ht="14.1" customHeight="1">
      <c r="A1015" s="2452"/>
      <c r="B1015" s="2451"/>
      <c r="C1015" s="2451"/>
      <c r="D1015" s="2451"/>
      <c r="E1015" s="2451"/>
      <c r="F1015" s="2451"/>
      <c r="G1015" s="2451"/>
      <c r="H1015" s="2451"/>
      <c r="I1015" s="2453"/>
      <c r="J1015" s="2610"/>
    </row>
    <row r="1016" spans="1:10" ht="14.1" customHeight="1">
      <c r="A1016" s="2490" t="s">
        <v>3634</v>
      </c>
      <c r="B1016" s="2460"/>
      <c r="C1016" s="2460"/>
      <c r="D1016" s="2460"/>
      <c r="E1016" s="2460"/>
      <c r="F1016" s="2460"/>
      <c r="G1016" s="2460"/>
      <c r="H1016" s="2460"/>
      <c r="I1016" s="2491"/>
      <c r="J1016" s="2610"/>
    </row>
    <row r="1017" spans="1:10" ht="14.1" customHeight="1">
      <c r="A1017" s="2452" t="s">
        <v>2348</v>
      </c>
      <c r="B1017" s="2451"/>
      <c r="C1017" s="2451"/>
      <c r="D1017" s="2451"/>
      <c r="E1017" s="2451"/>
      <c r="F1017" s="2451"/>
      <c r="G1017" s="2451"/>
      <c r="H1017" s="2451"/>
      <c r="I1017" s="2453"/>
      <c r="J1017" s="2610"/>
    </row>
    <row r="1018" spans="1:10" ht="14.1" customHeight="1">
      <c r="A1018" s="2452" t="s">
        <v>4346</v>
      </c>
      <c r="B1018" s="2451"/>
      <c r="C1018" s="2451"/>
      <c r="D1018" s="2451"/>
      <c r="E1018" s="2451" t="s">
        <v>2349</v>
      </c>
      <c r="F1018" s="2451"/>
      <c r="G1018" s="2451"/>
      <c r="H1018" s="2451"/>
      <c r="I1018" s="2453"/>
      <c r="J1018" s="2610"/>
    </row>
    <row r="1019" spans="1:10" ht="14.1" customHeight="1">
      <c r="A1019" s="2452"/>
      <c r="B1019" s="2451"/>
      <c r="C1019" s="2451"/>
      <c r="D1019" s="2451"/>
      <c r="E1019" s="2451" t="s">
        <v>1004</v>
      </c>
      <c r="F1019" s="2451"/>
      <c r="G1019" s="2451"/>
      <c r="H1019" s="2451"/>
      <c r="I1019" s="2453"/>
      <c r="J1019" s="2610"/>
    </row>
    <row r="1020" spans="1:10" ht="14.1" customHeight="1">
      <c r="A1020" s="2452" t="s">
        <v>1744</v>
      </c>
      <c r="B1020" s="2451"/>
      <c r="C1020" s="2451"/>
      <c r="D1020" s="2451"/>
      <c r="E1020" s="2451"/>
      <c r="F1020" s="2451"/>
      <c r="G1020" s="2451"/>
      <c r="H1020" s="2451"/>
      <c r="I1020" s="2453"/>
      <c r="J1020" s="2610"/>
    </row>
    <row r="1021" spans="1:10" ht="14.1" customHeight="1">
      <c r="A1021" s="2452" t="s">
        <v>1005</v>
      </c>
      <c r="B1021" s="2451"/>
      <c r="C1021" s="2451"/>
      <c r="D1021" s="2451"/>
      <c r="E1021" s="2451" t="s">
        <v>848</v>
      </c>
      <c r="F1021" s="2451"/>
      <c r="G1021" s="2451"/>
      <c r="H1021" s="2451"/>
      <c r="I1021" s="2453"/>
      <c r="J1021" s="2610"/>
    </row>
    <row r="1022" spans="1:10" ht="15" customHeight="1">
      <c r="A1022" s="2452"/>
      <c r="B1022" s="2451"/>
      <c r="C1022" s="2451"/>
      <c r="D1022" s="2451"/>
      <c r="E1022" s="2451" t="s">
        <v>1737</v>
      </c>
      <c r="F1022" s="2451"/>
      <c r="G1022" s="2451"/>
      <c r="H1022" s="2451"/>
      <c r="I1022" s="2453"/>
      <c r="J1022" s="2610"/>
    </row>
    <row r="1023" spans="1:10" ht="15" customHeight="1">
      <c r="A1023" s="2452" t="s">
        <v>849</v>
      </c>
      <c r="B1023" s="2451"/>
      <c r="C1023" s="2451"/>
      <c r="D1023" s="2451"/>
      <c r="E1023" s="2451"/>
      <c r="F1023" s="2451"/>
      <c r="G1023" s="2451"/>
      <c r="H1023" s="2451"/>
      <c r="I1023" s="2453"/>
      <c r="J1023" s="2610"/>
    </row>
    <row r="1024" spans="1:10" ht="15" customHeight="1">
      <c r="A1024" s="2452" t="s">
        <v>4345</v>
      </c>
      <c r="B1024" s="2451"/>
      <c r="C1024" s="2451"/>
      <c r="D1024" s="2451"/>
      <c r="E1024" s="2451"/>
      <c r="F1024" s="2451"/>
      <c r="G1024" s="2451"/>
      <c r="H1024" s="2451"/>
      <c r="I1024" s="2453"/>
      <c r="J1024" s="2610"/>
    </row>
    <row r="1025" spans="1:10" ht="15" customHeight="1">
      <c r="A1025" s="2452"/>
      <c r="B1025" s="2451"/>
      <c r="C1025" s="2451"/>
      <c r="D1025" s="2451"/>
      <c r="E1025" s="2451"/>
      <c r="F1025" s="2451"/>
      <c r="G1025" s="2451"/>
      <c r="H1025" s="2451"/>
      <c r="I1025" s="2453"/>
      <c r="J1025" s="2610"/>
    </row>
    <row r="1026" spans="1:10" ht="15" customHeight="1">
      <c r="A1026" s="2492"/>
      <c r="B1026" s="2464"/>
      <c r="C1026" s="2464"/>
      <c r="D1026" s="2464"/>
      <c r="E1026" s="2464" t="s">
        <v>1738</v>
      </c>
      <c r="F1026" s="2464"/>
      <c r="G1026" s="2464"/>
      <c r="H1026" s="2580"/>
      <c r="I1026" s="2458"/>
      <c r="J1026" s="2610"/>
    </row>
    <row r="1027" spans="1:10" ht="15" customHeight="1">
      <c r="A1027" s="2462" t="s">
        <v>1939</v>
      </c>
      <c r="B1027" s="2463" t="s">
        <v>1739</v>
      </c>
      <c r="C1027" s="2463" t="s">
        <v>3754</v>
      </c>
      <c r="D1027" s="2463"/>
      <c r="E1027" s="2463"/>
      <c r="F1027" s="2463"/>
      <c r="G1027" s="2463"/>
      <c r="H1027" s="2516"/>
      <c r="I1027" s="2461"/>
      <c r="J1027" s="2610"/>
    </row>
    <row r="1028" spans="1:10" ht="15" customHeight="1">
      <c r="A1028" s="2462" t="s">
        <v>1941</v>
      </c>
      <c r="B1028" s="2463"/>
      <c r="C1028" s="2463" t="s">
        <v>1874</v>
      </c>
      <c r="D1028" s="2463" t="s">
        <v>3032</v>
      </c>
      <c r="E1028" s="2463" t="s">
        <v>1875</v>
      </c>
      <c r="F1028" s="2463" t="s">
        <v>1876</v>
      </c>
      <c r="G1028" s="2459" t="s">
        <v>1877</v>
      </c>
      <c r="H1028" s="2460"/>
      <c r="I1028" s="2461" t="s">
        <v>4031</v>
      </c>
      <c r="J1028" s="2610"/>
    </row>
    <row r="1029" spans="1:10" ht="15" customHeight="1">
      <c r="A1029" s="2462"/>
      <c r="B1029" s="2463"/>
      <c r="C1029" s="2463"/>
      <c r="D1029" s="2463"/>
      <c r="E1029" s="2463"/>
      <c r="F1029" s="2463"/>
      <c r="G1029" s="2459"/>
      <c r="H1029" s="2460"/>
      <c r="I1029" s="2461"/>
      <c r="J1029" s="2610"/>
    </row>
    <row r="1030" spans="1:10" ht="15" customHeight="1">
      <c r="A1030" s="2462"/>
      <c r="B1030" s="2463" t="s">
        <v>932</v>
      </c>
      <c r="C1030" s="2463" t="s">
        <v>933</v>
      </c>
      <c r="D1030" s="2463" t="s">
        <v>934</v>
      </c>
      <c r="E1030" s="2463" t="s">
        <v>935</v>
      </c>
      <c r="F1030" s="2463" t="s">
        <v>936</v>
      </c>
      <c r="G1030" s="2459" t="s">
        <v>937</v>
      </c>
      <c r="H1030" s="2460"/>
      <c r="I1030" s="2461" t="s">
        <v>938</v>
      </c>
      <c r="J1030" s="2610"/>
    </row>
    <row r="1031" spans="1:10" ht="15" customHeight="1">
      <c r="A1031" s="2492">
        <v>23</v>
      </c>
      <c r="B1031" s="2444" t="s">
        <v>3212</v>
      </c>
      <c r="C1031" s="2464"/>
      <c r="D1031" s="2444"/>
      <c r="E1031" s="2444"/>
      <c r="F1031" s="2444"/>
      <c r="G1031" s="2444"/>
      <c r="H1031" s="2444"/>
      <c r="I1031" s="2507"/>
      <c r="J1031" s="2610"/>
    </row>
    <row r="1032" spans="1:10" ht="14.1" customHeight="1">
      <c r="A1032" s="2462">
        <v>24</v>
      </c>
      <c r="B1032" s="2446" t="s">
        <v>3213</v>
      </c>
      <c r="C1032" s="2463"/>
      <c r="D1032" s="2446"/>
      <c r="E1032" s="2446"/>
      <c r="F1032" s="2446"/>
      <c r="G1032" s="2446"/>
      <c r="H1032" s="2446"/>
      <c r="I1032" s="2505"/>
      <c r="J1032" s="2610"/>
    </row>
    <row r="1033" spans="1:10" ht="14.1" customHeight="1">
      <c r="A1033" s="2462">
        <v>25</v>
      </c>
      <c r="B1033" s="2446" t="s">
        <v>3214</v>
      </c>
      <c r="C1033" s="2463"/>
      <c r="D1033" s="2446"/>
      <c r="E1033" s="2446"/>
      <c r="F1033" s="2446"/>
      <c r="G1033" s="2446"/>
      <c r="H1033" s="2446"/>
      <c r="I1033" s="2505"/>
      <c r="J1033" s="2610"/>
    </row>
    <row r="1034" spans="1:10" ht="14.1" customHeight="1">
      <c r="A1034" s="2462">
        <v>26</v>
      </c>
      <c r="B1034" s="2446" t="s">
        <v>3215</v>
      </c>
      <c r="C1034" s="2463"/>
      <c r="D1034" s="2446"/>
      <c r="E1034" s="2446"/>
      <c r="F1034" s="2446"/>
      <c r="G1034" s="2446"/>
      <c r="H1034" s="2446"/>
      <c r="I1034" s="2505"/>
      <c r="J1034" s="2610"/>
    </row>
    <row r="1035" spans="1:10" ht="14.1" customHeight="1">
      <c r="A1035" s="2462">
        <v>27</v>
      </c>
      <c r="B1035" s="2446" t="s">
        <v>3216</v>
      </c>
      <c r="C1035" s="2463"/>
      <c r="D1035" s="2446"/>
      <c r="E1035" s="2446"/>
      <c r="F1035" s="2446"/>
      <c r="G1035" s="2446"/>
      <c r="H1035" s="2446"/>
      <c r="I1035" s="2505"/>
      <c r="J1035" s="2610"/>
    </row>
    <row r="1036" spans="1:10" ht="14.1" customHeight="1">
      <c r="A1036" s="2462">
        <v>28</v>
      </c>
      <c r="B1036" s="2446" t="s">
        <v>3217</v>
      </c>
      <c r="C1036" s="2463"/>
      <c r="D1036" s="2446"/>
      <c r="E1036" s="2446"/>
      <c r="F1036" s="2446"/>
      <c r="G1036" s="2446"/>
      <c r="H1036" s="2446"/>
      <c r="I1036" s="2505"/>
      <c r="J1036" s="2610"/>
    </row>
    <row r="1037" spans="1:10" ht="14.1" customHeight="1">
      <c r="A1037" s="2462">
        <v>29</v>
      </c>
      <c r="B1037" s="2601" t="s">
        <v>3218</v>
      </c>
      <c r="C1037" s="2607">
        <v>179574</v>
      </c>
      <c r="D1037" s="2601" t="s">
        <v>4292</v>
      </c>
      <c r="E1037" s="2601" t="s">
        <v>4295</v>
      </c>
      <c r="F1037" s="2607">
        <f>[38]F!GF34</f>
        <v>3733</v>
      </c>
      <c r="G1037" s="2463"/>
      <c r="H1037" s="2463"/>
      <c r="I1037" s="2461"/>
      <c r="J1037" s="2610"/>
    </row>
    <row r="1038" spans="1:10" ht="14.1" customHeight="1">
      <c r="A1038" s="2462">
        <v>30</v>
      </c>
      <c r="B1038" s="2601"/>
      <c r="C1038" s="2607"/>
      <c r="D1038" s="2601"/>
      <c r="E1038" s="2601"/>
      <c r="F1038" s="2607"/>
      <c r="G1038" s="2463"/>
      <c r="H1038" s="2463"/>
      <c r="I1038" s="2461"/>
      <c r="J1038" s="2610"/>
    </row>
    <row r="1039" spans="1:10" ht="14.1" customHeight="1">
      <c r="A1039" s="2462">
        <v>31</v>
      </c>
      <c r="B1039" s="2601" t="s">
        <v>3219</v>
      </c>
      <c r="C1039" s="2607">
        <v>179574</v>
      </c>
      <c r="D1039" s="2601" t="s">
        <v>4293</v>
      </c>
      <c r="E1039" s="2601" t="s">
        <v>4296</v>
      </c>
      <c r="F1039" s="2607">
        <f>[38]F!HC34</f>
        <v>91149</v>
      </c>
      <c r="G1039" s="2463"/>
      <c r="H1039" s="2463"/>
      <c r="I1039" s="2461"/>
      <c r="J1039" s="2610"/>
    </row>
    <row r="1040" spans="1:10" ht="14.1" customHeight="1">
      <c r="A1040" s="2462">
        <v>32</v>
      </c>
      <c r="B1040" s="2601" t="s">
        <v>3220</v>
      </c>
      <c r="C1040" s="2607">
        <v>179574</v>
      </c>
      <c r="D1040" s="2601" t="s">
        <v>4294</v>
      </c>
      <c r="E1040" s="2601" t="s">
        <v>4296</v>
      </c>
      <c r="F1040" s="2607">
        <f>[38]F!IA35</f>
        <v>67800</v>
      </c>
      <c r="G1040" s="2463"/>
      <c r="H1040" s="2463"/>
      <c r="I1040" s="2461"/>
      <c r="J1040" s="2610"/>
    </row>
    <row r="1041" spans="1:10" ht="14.1" customHeight="1">
      <c r="A1041" s="2462">
        <v>33</v>
      </c>
      <c r="B1041" s="2446"/>
      <c r="C1041" s="2607"/>
      <c r="D1041" s="2446"/>
      <c r="E1041" s="2446"/>
      <c r="F1041" s="2608"/>
      <c r="G1041" s="2446"/>
      <c r="H1041" s="2446"/>
      <c r="I1041" s="2505"/>
      <c r="J1041" s="2610"/>
    </row>
    <row r="1042" spans="1:10" ht="14.1" customHeight="1">
      <c r="A1042" s="2462">
        <v>34</v>
      </c>
      <c r="B1042" s="2446" t="s">
        <v>3221</v>
      </c>
      <c r="C1042" s="2607">
        <v>179574</v>
      </c>
      <c r="D1042" s="2446"/>
      <c r="E1042" s="2446"/>
      <c r="F1042" s="2446"/>
      <c r="G1042" s="2446"/>
      <c r="H1042" s="2446"/>
      <c r="I1042" s="2505"/>
      <c r="J1042" s="2610"/>
    </row>
    <row r="1043" spans="1:10" ht="14.1" customHeight="1">
      <c r="A1043" s="2462">
        <v>35</v>
      </c>
      <c r="B1043" s="2446" t="s">
        <v>3222</v>
      </c>
      <c r="C1043" s="2607"/>
      <c r="D1043" s="2446"/>
      <c r="E1043" s="2446"/>
      <c r="F1043" s="2446"/>
      <c r="G1043" s="2446"/>
      <c r="H1043" s="2446"/>
      <c r="I1043" s="2505"/>
      <c r="J1043" s="2610"/>
    </row>
    <row r="1044" spans="1:10" ht="14.1" customHeight="1" thickBot="1">
      <c r="A1044" s="2499">
        <v>36</v>
      </c>
      <c r="B1044" s="2501" t="s">
        <v>3753</v>
      </c>
      <c r="C1044" s="2609">
        <v>179574</v>
      </c>
      <c r="D1044" s="2609"/>
      <c r="E1044" s="2501"/>
      <c r="F1044" s="2501"/>
      <c r="G1044" s="2501"/>
      <c r="H1044" s="2501"/>
      <c r="I1044" s="2502"/>
      <c r="J1044" s="2610"/>
    </row>
    <row r="1045" spans="1:10" ht="14.1" customHeight="1">
      <c r="A1045" s="2449" t="s">
        <v>3184</v>
      </c>
      <c r="B1045" s="2449"/>
      <c r="C1045" s="2449"/>
      <c r="D1045" s="2592" t="s">
        <v>1407</v>
      </c>
      <c r="E1045" s="2449"/>
      <c r="F1045" s="2449"/>
      <c r="G1045" s="2449"/>
      <c r="H1045" s="2449"/>
      <c r="I1045" s="2449"/>
    </row>
    <row r="1046" spans="1:10" ht="14.1" customHeight="1" thickBot="1">
      <c r="A1046" s="2444" t="str">
        <f>+A1</f>
        <v>Annual Report of New York American Water Company, Inc. (f/k/a Long Island Water Corp)                                   Year Ended  December 31, 2013</v>
      </c>
    </row>
    <row r="1047" spans="1:10" ht="14.1" customHeight="1">
      <c r="A1047" s="2448"/>
      <c r="B1047" s="2449"/>
      <c r="C1047" s="2449"/>
      <c r="D1047" s="2449"/>
      <c r="E1047" s="2449"/>
      <c r="F1047" s="2449"/>
      <c r="G1047" s="2449"/>
      <c r="H1047" s="2449"/>
      <c r="I1047" s="2450"/>
      <c r="J1047" s="2610"/>
    </row>
    <row r="1048" spans="1:10" ht="14.1" customHeight="1">
      <c r="A1048" s="2490" t="s">
        <v>3940</v>
      </c>
      <c r="B1048" s="2460"/>
      <c r="C1048" s="2460"/>
      <c r="D1048" s="2460"/>
      <c r="E1048" s="2460"/>
      <c r="F1048" s="2460"/>
      <c r="G1048" s="2460"/>
      <c r="H1048" s="2460"/>
      <c r="I1048" s="2491"/>
      <c r="J1048" s="2610"/>
    </row>
    <row r="1049" spans="1:10" ht="15" customHeight="1">
      <c r="A1049" s="2452"/>
      <c r="B1049" s="2451"/>
      <c r="C1049" s="2451"/>
      <c r="D1049" s="2451"/>
      <c r="E1049" s="2451"/>
      <c r="F1049" s="2451"/>
      <c r="G1049" s="2451"/>
      <c r="H1049" s="2451"/>
      <c r="I1049" s="2453"/>
      <c r="J1049" s="2610"/>
    </row>
    <row r="1050" spans="1:10" ht="15" customHeight="1">
      <c r="A1050" s="2454"/>
      <c r="B1050" s="2445"/>
      <c r="C1050" s="2445"/>
      <c r="D1050" s="2445"/>
      <c r="E1050" s="2445"/>
      <c r="F1050" s="2445"/>
      <c r="G1050" s="2445"/>
      <c r="H1050" s="2445"/>
      <c r="I1050" s="2455"/>
      <c r="J1050" s="2610"/>
    </row>
    <row r="1051" spans="1:10" ht="15" customHeight="1">
      <c r="A1051" s="2452" t="s">
        <v>2611</v>
      </c>
      <c r="B1051" s="2451"/>
      <c r="C1051" s="2451"/>
      <c r="D1051" s="2451"/>
      <c r="E1051" s="2451"/>
      <c r="F1051" s="2451"/>
      <c r="G1051" s="2451"/>
      <c r="H1051" s="2451"/>
      <c r="I1051" s="2453"/>
      <c r="J1051" s="2610"/>
    </row>
    <row r="1052" spans="1:10" ht="15" customHeight="1">
      <c r="A1052" s="2452" t="s">
        <v>2612</v>
      </c>
      <c r="B1052" s="2451"/>
      <c r="C1052" s="2451"/>
      <c r="D1052" s="2451"/>
      <c r="E1052" s="2451"/>
      <c r="F1052" s="2451"/>
      <c r="G1052" s="2451"/>
      <c r="H1052" s="2451"/>
      <c r="I1052" s="2453"/>
      <c r="J1052" s="2610"/>
    </row>
    <row r="1053" spans="1:10" ht="15" customHeight="1">
      <c r="A1053" s="2452"/>
      <c r="B1053" s="2451"/>
      <c r="C1053" s="2451"/>
      <c r="D1053" s="2451"/>
      <c r="E1053" s="2451"/>
      <c r="F1053" s="2451"/>
      <c r="G1053" s="2451"/>
      <c r="H1053" s="2451"/>
      <c r="I1053" s="2453"/>
      <c r="J1053" s="2610"/>
    </row>
    <row r="1054" spans="1:10" ht="15" customHeight="1">
      <c r="A1054" s="2492"/>
      <c r="B1054" s="2464"/>
      <c r="C1054" s="2464"/>
      <c r="D1054" s="2464"/>
      <c r="E1054" s="2464"/>
      <c r="F1054" s="2464"/>
      <c r="G1054" s="2464"/>
      <c r="H1054" s="2464"/>
      <c r="I1054" s="2458"/>
      <c r="J1054" s="2610"/>
    </row>
    <row r="1055" spans="1:10" ht="15" customHeight="1">
      <c r="A1055" s="2462"/>
      <c r="B1055" s="2463" t="s">
        <v>3026</v>
      </c>
      <c r="C1055" s="2463" t="s">
        <v>94</v>
      </c>
      <c r="D1055" s="2463" t="s">
        <v>3022</v>
      </c>
      <c r="E1055" s="2463" t="s">
        <v>2820</v>
      </c>
      <c r="F1055" s="2463" t="s">
        <v>3021</v>
      </c>
      <c r="G1055" s="2463" t="s">
        <v>2821</v>
      </c>
      <c r="H1055" s="2463" t="s">
        <v>2822</v>
      </c>
      <c r="I1055" s="2461" t="s">
        <v>930</v>
      </c>
      <c r="J1055" s="2610"/>
    </row>
    <row r="1056" spans="1:10" ht="15" customHeight="1">
      <c r="A1056" s="2462" t="s">
        <v>1939</v>
      </c>
      <c r="B1056" s="2463" t="s">
        <v>4226</v>
      </c>
      <c r="C1056" s="2463"/>
      <c r="D1056" s="2463" t="s">
        <v>2823</v>
      </c>
      <c r="E1056" s="2463" t="s">
        <v>4398</v>
      </c>
      <c r="F1056" s="2463" t="s">
        <v>4398</v>
      </c>
      <c r="G1056" s="2463" t="s">
        <v>4398</v>
      </c>
      <c r="H1056" s="2463" t="s">
        <v>4399</v>
      </c>
      <c r="I1056" s="2461" t="s">
        <v>931</v>
      </c>
      <c r="J1056" s="2610"/>
    </row>
    <row r="1057" spans="1:10" ht="15" customHeight="1">
      <c r="A1057" s="2462" t="s">
        <v>1941</v>
      </c>
      <c r="B1057" s="2463" t="s">
        <v>4400</v>
      </c>
      <c r="C1057" s="2463"/>
      <c r="D1057" s="2463" t="s">
        <v>4401</v>
      </c>
      <c r="E1057" s="2463"/>
      <c r="F1057" s="2463" t="s">
        <v>4402</v>
      </c>
      <c r="G1057" s="2463" t="s">
        <v>3039</v>
      </c>
      <c r="H1057" s="2463" t="s">
        <v>4403</v>
      </c>
      <c r="I1057" s="2461"/>
      <c r="J1057" s="2610"/>
    </row>
    <row r="1058" spans="1:10" ht="15" customHeight="1">
      <c r="A1058" s="2462"/>
      <c r="B1058" s="2463" t="s">
        <v>932</v>
      </c>
      <c r="C1058" s="2463" t="s">
        <v>933</v>
      </c>
      <c r="D1058" s="2463" t="s">
        <v>934</v>
      </c>
      <c r="E1058" s="2463" t="s">
        <v>935</v>
      </c>
      <c r="F1058" s="2463" t="s">
        <v>936</v>
      </c>
      <c r="G1058" s="2463" t="s">
        <v>937</v>
      </c>
      <c r="H1058" s="2463" t="s">
        <v>938</v>
      </c>
      <c r="I1058" s="2461" t="s">
        <v>939</v>
      </c>
      <c r="J1058" s="2610"/>
    </row>
    <row r="1059" spans="1:10" ht="15" customHeight="1">
      <c r="A1059" s="2492">
        <v>1</v>
      </c>
      <c r="B1059" s="2595" t="s">
        <v>1213</v>
      </c>
      <c r="C1059" s="2596" t="s">
        <v>3207</v>
      </c>
      <c r="D1059" s="2611" t="s">
        <v>5308</v>
      </c>
      <c r="E1059" s="2597">
        <v>2</v>
      </c>
      <c r="F1059" s="2597"/>
      <c r="G1059" s="2597"/>
      <c r="H1059" s="2597"/>
      <c r="I1059" s="2598" t="s">
        <v>987</v>
      </c>
      <c r="J1059" s="2610"/>
    </row>
    <row r="1060" spans="1:10" ht="15" customHeight="1">
      <c r="A1060" s="2462">
        <v>2</v>
      </c>
      <c r="B1060" s="2599" t="s">
        <v>2564</v>
      </c>
      <c r="C1060" s="2600" t="s">
        <v>4613</v>
      </c>
      <c r="D1060" s="2601">
        <v>1995</v>
      </c>
      <c r="E1060" s="2601">
        <v>2</v>
      </c>
      <c r="F1060" s="2601"/>
      <c r="G1060" s="2601"/>
      <c r="H1060" s="2601"/>
      <c r="I1060" s="2602" t="s">
        <v>4390</v>
      </c>
      <c r="J1060" s="2610"/>
    </row>
    <row r="1061" spans="1:10" ht="15" customHeight="1">
      <c r="A1061" s="2462">
        <v>3</v>
      </c>
      <c r="B1061" s="2599" t="s">
        <v>2564</v>
      </c>
      <c r="C1061" s="2600" t="s">
        <v>3208</v>
      </c>
      <c r="D1061" s="2601">
        <v>1996</v>
      </c>
      <c r="E1061" s="2601">
        <v>1</v>
      </c>
      <c r="F1061" s="2601"/>
      <c r="G1061" s="2601"/>
      <c r="H1061" s="2601"/>
      <c r="I1061" s="2602" t="s">
        <v>987</v>
      </c>
      <c r="J1061" s="2610"/>
    </row>
    <row r="1062" spans="1:10" ht="15" customHeight="1">
      <c r="A1062" s="2462">
        <v>4</v>
      </c>
      <c r="B1062" s="2599" t="s">
        <v>2564</v>
      </c>
      <c r="C1062" s="2600" t="s">
        <v>3209</v>
      </c>
      <c r="D1062" s="2601" t="s">
        <v>4633</v>
      </c>
      <c r="E1062" s="2601">
        <v>2</v>
      </c>
      <c r="F1062" s="2601"/>
      <c r="G1062" s="2601"/>
      <c r="H1062" s="2601"/>
      <c r="I1062" s="2602" t="s">
        <v>4390</v>
      </c>
      <c r="J1062" s="2610"/>
    </row>
    <row r="1063" spans="1:10" ht="15" customHeight="1">
      <c r="A1063" s="2462">
        <v>5</v>
      </c>
      <c r="B1063" s="2599" t="s">
        <v>2564</v>
      </c>
      <c r="C1063" s="2600" t="s">
        <v>4614</v>
      </c>
      <c r="D1063" s="2601">
        <v>1973</v>
      </c>
      <c r="E1063" s="2463">
        <v>1</v>
      </c>
      <c r="F1063" s="2463"/>
      <c r="G1063" s="2463"/>
      <c r="H1063" s="2463"/>
      <c r="I1063" s="2602" t="s">
        <v>987</v>
      </c>
      <c r="J1063" s="2610"/>
    </row>
    <row r="1064" spans="1:10" ht="15" customHeight="1">
      <c r="A1064" s="2462">
        <v>6</v>
      </c>
      <c r="B1064" s="2599" t="s">
        <v>2564</v>
      </c>
      <c r="C1064" s="2600" t="s">
        <v>4615</v>
      </c>
      <c r="D1064" s="2601">
        <v>1973</v>
      </c>
      <c r="E1064" s="2463">
        <v>2</v>
      </c>
      <c r="F1064" s="2463"/>
      <c r="G1064" s="2463"/>
      <c r="H1064" s="2463"/>
      <c r="I1064" s="2602" t="s">
        <v>4390</v>
      </c>
      <c r="J1064" s="2610"/>
    </row>
    <row r="1065" spans="1:10" ht="14.1" customHeight="1">
      <c r="A1065" s="2462">
        <v>7</v>
      </c>
      <c r="B1065" s="2463"/>
      <c r="C1065" s="2463"/>
      <c r="D1065" s="2463"/>
      <c r="E1065" s="2463"/>
      <c r="F1065" s="2463"/>
      <c r="G1065" s="2463"/>
      <c r="H1065" s="2463"/>
      <c r="I1065" s="2461"/>
      <c r="J1065" s="2610"/>
    </row>
    <row r="1066" spans="1:10" ht="14.1" customHeight="1">
      <c r="A1066" s="2462">
        <v>8</v>
      </c>
      <c r="B1066" s="2463"/>
      <c r="C1066" s="2463"/>
      <c r="D1066" s="2463"/>
      <c r="E1066" s="2463"/>
      <c r="F1066" s="2463"/>
      <c r="G1066" s="2463"/>
      <c r="H1066" s="2463"/>
      <c r="I1066" s="2461"/>
      <c r="J1066" s="2610"/>
    </row>
    <row r="1067" spans="1:10" ht="14.1" customHeight="1">
      <c r="A1067" s="2462">
        <v>9</v>
      </c>
      <c r="B1067" s="2463"/>
      <c r="C1067" s="2463"/>
      <c r="D1067" s="2463"/>
      <c r="E1067" s="2463"/>
      <c r="F1067" s="2463"/>
      <c r="G1067" s="2463"/>
      <c r="H1067" s="2463"/>
      <c r="I1067" s="2461"/>
      <c r="J1067" s="2610"/>
    </row>
    <row r="1068" spans="1:10" ht="14.1" customHeight="1">
      <c r="A1068" s="2492">
        <v>10</v>
      </c>
      <c r="B1068" s="2464" t="s">
        <v>940</v>
      </c>
      <c r="C1068" s="2464"/>
      <c r="D1068" s="2464"/>
      <c r="E1068" s="2464"/>
      <c r="F1068" s="2464"/>
      <c r="G1068" s="2464"/>
      <c r="H1068" s="2464"/>
      <c r="I1068" s="2458"/>
      <c r="J1068" s="2610"/>
    </row>
    <row r="1069" spans="1:10" ht="14.1" customHeight="1">
      <c r="A1069" s="2454"/>
      <c r="B1069" s="2445" t="s">
        <v>941</v>
      </c>
      <c r="C1069" s="2445"/>
      <c r="D1069" s="2445"/>
      <c r="E1069" s="2445"/>
      <c r="F1069" s="2445"/>
      <c r="G1069" s="2445"/>
      <c r="H1069" s="2445"/>
      <c r="I1069" s="2455"/>
      <c r="J1069" s="2610"/>
    </row>
    <row r="1070" spans="1:10" ht="14.1" customHeight="1">
      <c r="A1070" s="2452"/>
      <c r="B1070" s="2451"/>
      <c r="C1070" s="2451"/>
      <c r="D1070" s="2451"/>
      <c r="E1070" s="2451"/>
      <c r="F1070" s="2451"/>
      <c r="G1070" s="2451"/>
      <c r="H1070" s="2451"/>
      <c r="I1070" s="2453"/>
      <c r="J1070" s="2610"/>
    </row>
    <row r="1071" spans="1:10" ht="14.1" customHeight="1">
      <c r="A1071" s="2490" t="s">
        <v>3634</v>
      </c>
      <c r="B1071" s="2460"/>
      <c r="C1071" s="2460"/>
      <c r="D1071" s="2460"/>
      <c r="E1071" s="2460"/>
      <c r="F1071" s="2460"/>
      <c r="G1071" s="2460"/>
      <c r="H1071" s="2460"/>
      <c r="I1071" s="2491"/>
      <c r="J1071" s="2610"/>
    </row>
    <row r="1072" spans="1:10" ht="14.1" customHeight="1">
      <c r="A1072" s="2452" t="s">
        <v>2348</v>
      </c>
      <c r="B1072" s="2451"/>
      <c r="C1072" s="2451"/>
      <c r="D1072" s="2451"/>
      <c r="E1072" s="2451"/>
      <c r="F1072" s="2451"/>
      <c r="G1072" s="2451"/>
      <c r="H1072" s="2451"/>
      <c r="I1072" s="2453"/>
      <c r="J1072" s="2610"/>
    </row>
    <row r="1073" spans="1:10" ht="14.1" customHeight="1">
      <c r="A1073" s="2452" t="s">
        <v>4346</v>
      </c>
      <c r="B1073" s="2451"/>
      <c r="C1073" s="2451"/>
      <c r="D1073" s="2451"/>
      <c r="E1073" s="2451" t="s">
        <v>2349</v>
      </c>
      <c r="F1073" s="2451"/>
      <c r="G1073" s="2451"/>
      <c r="H1073" s="2451"/>
      <c r="I1073" s="2453"/>
      <c r="J1073" s="2610"/>
    </row>
    <row r="1074" spans="1:10" ht="14.1" customHeight="1">
      <c r="A1074" s="2452"/>
      <c r="B1074" s="2451"/>
      <c r="C1074" s="2451"/>
      <c r="D1074" s="2451"/>
      <c r="E1074" s="2451" t="s">
        <v>1004</v>
      </c>
      <c r="F1074" s="2451"/>
      <c r="G1074" s="2451"/>
      <c r="H1074" s="2451"/>
      <c r="I1074" s="2453"/>
      <c r="J1074" s="2610"/>
    </row>
    <row r="1075" spans="1:10" ht="14.1" customHeight="1">
      <c r="A1075" s="2452" t="s">
        <v>1744</v>
      </c>
      <c r="B1075" s="2451"/>
      <c r="C1075" s="2451"/>
      <c r="D1075" s="2451"/>
      <c r="E1075" s="2451"/>
      <c r="F1075" s="2451"/>
      <c r="G1075" s="2451"/>
      <c r="H1075" s="2451"/>
      <c r="I1075" s="2453"/>
      <c r="J1075" s="2610"/>
    </row>
    <row r="1076" spans="1:10" ht="14.1" customHeight="1">
      <c r="A1076" s="2452" t="s">
        <v>1005</v>
      </c>
      <c r="B1076" s="2451"/>
      <c r="C1076" s="2451"/>
      <c r="D1076" s="2451"/>
      <c r="E1076" s="2451" t="s">
        <v>848</v>
      </c>
      <c r="F1076" s="2451"/>
      <c r="G1076" s="2451"/>
      <c r="H1076" s="2451"/>
      <c r="I1076" s="2453"/>
      <c r="J1076" s="2610"/>
    </row>
    <row r="1077" spans="1:10" ht="14.1" customHeight="1">
      <c r="A1077" s="2452"/>
      <c r="B1077" s="2451"/>
      <c r="C1077" s="2451"/>
      <c r="D1077" s="2451"/>
      <c r="E1077" s="2451" t="s">
        <v>1737</v>
      </c>
      <c r="F1077" s="2451"/>
      <c r="G1077" s="2451"/>
      <c r="H1077" s="2451"/>
      <c r="I1077" s="2453"/>
      <c r="J1077" s="2610"/>
    </row>
    <row r="1078" spans="1:10" ht="15" customHeight="1">
      <c r="A1078" s="2452" t="s">
        <v>849</v>
      </c>
      <c r="B1078" s="2451"/>
      <c r="C1078" s="2451"/>
      <c r="D1078" s="2451"/>
      <c r="E1078" s="2451"/>
      <c r="F1078" s="2451"/>
      <c r="G1078" s="2451"/>
      <c r="H1078" s="2451"/>
      <c r="I1078" s="2453"/>
      <c r="J1078" s="2610"/>
    </row>
    <row r="1079" spans="1:10" ht="15" customHeight="1">
      <c r="A1079" s="2452" t="s">
        <v>4345</v>
      </c>
      <c r="B1079" s="2451"/>
      <c r="C1079" s="2451"/>
      <c r="D1079" s="2451"/>
      <c r="E1079" s="2451"/>
      <c r="F1079" s="2451"/>
      <c r="G1079" s="2451"/>
      <c r="H1079" s="2451"/>
      <c r="I1079" s="2453"/>
      <c r="J1079" s="2610"/>
    </row>
    <row r="1080" spans="1:10" ht="15" customHeight="1">
      <c r="A1080" s="2452"/>
      <c r="B1080" s="2451"/>
      <c r="C1080" s="2451"/>
      <c r="D1080" s="2451"/>
      <c r="E1080" s="2451"/>
      <c r="F1080" s="2451"/>
      <c r="G1080" s="2451"/>
      <c r="H1080" s="2451"/>
      <c r="I1080" s="2453"/>
      <c r="J1080" s="2610"/>
    </row>
    <row r="1081" spans="1:10" ht="15" customHeight="1">
      <c r="A1081" s="2492"/>
      <c r="B1081" s="2464"/>
      <c r="C1081" s="2464"/>
      <c r="D1081" s="2464"/>
      <c r="E1081" s="2464" t="s">
        <v>1738</v>
      </c>
      <c r="F1081" s="2464"/>
      <c r="G1081" s="2464"/>
      <c r="H1081" s="2580"/>
      <c r="I1081" s="2458"/>
      <c r="J1081" s="2610"/>
    </row>
    <row r="1082" spans="1:10" ht="15" customHeight="1">
      <c r="A1082" s="2462" t="s">
        <v>1939</v>
      </c>
      <c r="B1082" s="2463" t="s">
        <v>1739</v>
      </c>
      <c r="C1082" s="2463" t="s">
        <v>3754</v>
      </c>
      <c r="D1082" s="2463"/>
      <c r="E1082" s="2463"/>
      <c r="F1082" s="2463"/>
      <c r="G1082" s="2463"/>
      <c r="H1082" s="2516"/>
      <c r="I1082" s="2461"/>
      <c r="J1082" s="2610"/>
    </row>
    <row r="1083" spans="1:10" ht="15" customHeight="1">
      <c r="A1083" s="2462" t="s">
        <v>1941</v>
      </c>
      <c r="B1083" s="2463"/>
      <c r="C1083" s="2463" t="s">
        <v>1874</v>
      </c>
      <c r="D1083" s="2463" t="s">
        <v>3032</v>
      </c>
      <c r="E1083" s="2463" t="s">
        <v>1875</v>
      </c>
      <c r="F1083" s="2463" t="s">
        <v>1876</v>
      </c>
      <c r="G1083" s="2459" t="s">
        <v>1877</v>
      </c>
      <c r="H1083" s="2460"/>
      <c r="I1083" s="2461" t="s">
        <v>4031</v>
      </c>
      <c r="J1083" s="2610"/>
    </row>
    <row r="1084" spans="1:10" ht="15" customHeight="1">
      <c r="A1084" s="2462"/>
      <c r="B1084" s="2463"/>
      <c r="C1084" s="2463"/>
      <c r="D1084" s="2463"/>
      <c r="E1084" s="2463"/>
      <c r="F1084" s="2463"/>
      <c r="G1084" s="2459"/>
      <c r="H1084" s="2460"/>
      <c r="I1084" s="2461"/>
      <c r="J1084" s="2610"/>
    </row>
    <row r="1085" spans="1:10" ht="15" customHeight="1">
      <c r="A1085" s="2462"/>
      <c r="B1085" s="2463" t="s">
        <v>932</v>
      </c>
      <c r="C1085" s="2463" t="s">
        <v>933</v>
      </c>
      <c r="D1085" s="2463" t="s">
        <v>934</v>
      </c>
      <c r="E1085" s="2463" t="s">
        <v>935</v>
      </c>
      <c r="F1085" s="2463" t="s">
        <v>936</v>
      </c>
      <c r="G1085" s="2459" t="s">
        <v>937</v>
      </c>
      <c r="H1085" s="2460"/>
      <c r="I1085" s="2461" t="s">
        <v>938</v>
      </c>
      <c r="J1085" s="2610"/>
    </row>
    <row r="1086" spans="1:10" ht="15" customHeight="1">
      <c r="A1086" s="2492">
        <v>23</v>
      </c>
      <c r="B1086" s="2444" t="s">
        <v>3212</v>
      </c>
      <c r="C1086" s="2464"/>
      <c r="D1086" s="2444"/>
      <c r="E1086" s="2444"/>
      <c r="F1086" s="2444"/>
      <c r="G1086" s="2444"/>
      <c r="H1086" s="2444"/>
      <c r="I1086" s="2507"/>
      <c r="J1086" s="2610"/>
    </row>
    <row r="1087" spans="1:10" ht="15" customHeight="1">
      <c r="A1087" s="2462">
        <v>24</v>
      </c>
      <c r="B1087" s="2446" t="s">
        <v>3213</v>
      </c>
      <c r="C1087" s="2463"/>
      <c r="D1087" s="2446"/>
      <c r="E1087" s="2446"/>
      <c r="F1087" s="2446"/>
      <c r="G1087" s="2446"/>
      <c r="H1087" s="2446"/>
      <c r="I1087" s="2505"/>
      <c r="J1087" s="2610"/>
    </row>
    <row r="1088" spans="1:10" ht="14.1" customHeight="1">
      <c r="A1088" s="2462">
        <v>25</v>
      </c>
      <c r="B1088" s="2446" t="s">
        <v>3214</v>
      </c>
      <c r="C1088" s="2463"/>
      <c r="D1088" s="2446"/>
      <c r="E1088" s="2446"/>
      <c r="F1088" s="2446"/>
      <c r="G1088" s="2446"/>
      <c r="H1088" s="2446"/>
      <c r="I1088" s="2505"/>
      <c r="J1088" s="2610"/>
    </row>
    <row r="1089" spans="1:10" ht="14.1" customHeight="1">
      <c r="A1089" s="2462">
        <v>26</v>
      </c>
      <c r="B1089" s="2446" t="s">
        <v>3215</v>
      </c>
      <c r="C1089" s="2463"/>
      <c r="D1089" s="2446"/>
      <c r="E1089" s="2446"/>
      <c r="F1089" s="2446"/>
      <c r="G1089" s="2446"/>
      <c r="H1089" s="2446"/>
      <c r="I1089" s="2505"/>
      <c r="J1089" s="2610"/>
    </row>
    <row r="1090" spans="1:10" ht="14.1" customHeight="1">
      <c r="A1090" s="2462">
        <v>27</v>
      </c>
      <c r="B1090" s="2446" t="s">
        <v>3216</v>
      </c>
      <c r="C1090" s="2463"/>
      <c r="D1090" s="2446"/>
      <c r="E1090" s="2446"/>
      <c r="F1090" s="2446"/>
      <c r="G1090" s="2446"/>
      <c r="H1090" s="2446"/>
      <c r="I1090" s="2505"/>
      <c r="J1090" s="2610"/>
    </row>
    <row r="1091" spans="1:10" ht="14.1" customHeight="1">
      <c r="A1091" s="2462">
        <v>28</v>
      </c>
      <c r="B1091" s="2446" t="s">
        <v>3217</v>
      </c>
      <c r="C1091" s="2463"/>
      <c r="D1091" s="2446"/>
      <c r="E1091" s="2446"/>
      <c r="F1091" s="2446"/>
      <c r="G1091" s="2446"/>
      <c r="H1091" s="2446"/>
      <c r="I1091" s="2505"/>
      <c r="J1091" s="2610"/>
    </row>
    <row r="1092" spans="1:10" ht="14.1" customHeight="1">
      <c r="A1092" s="2462">
        <v>29</v>
      </c>
      <c r="B1092" s="2601" t="s">
        <v>3218</v>
      </c>
      <c r="C1092" s="2607">
        <v>255107</v>
      </c>
      <c r="D1092" s="2601" t="s">
        <v>4292</v>
      </c>
      <c r="E1092" s="2601" t="s">
        <v>4295</v>
      </c>
      <c r="F1092" s="2607">
        <v>4003</v>
      </c>
      <c r="G1092" s="2463"/>
      <c r="H1092" s="2463"/>
      <c r="I1092" s="2461"/>
      <c r="J1092" s="2610"/>
    </row>
    <row r="1093" spans="1:10" ht="14.1" customHeight="1">
      <c r="A1093" s="2462">
        <v>30</v>
      </c>
      <c r="B1093" s="2601"/>
      <c r="C1093" s="2607"/>
      <c r="D1093" s="2601"/>
      <c r="E1093" s="2601"/>
      <c r="F1093" s="2607"/>
      <c r="G1093" s="2463"/>
      <c r="H1093" s="2463"/>
      <c r="I1093" s="2461"/>
      <c r="J1093" s="2610"/>
    </row>
    <row r="1094" spans="1:10" ht="14.1" customHeight="1">
      <c r="A1094" s="2462">
        <v>31</v>
      </c>
      <c r="B1094" s="2601" t="s">
        <v>3219</v>
      </c>
      <c r="C1094" s="2607">
        <v>255107</v>
      </c>
      <c r="D1094" s="2601" t="s">
        <v>4293</v>
      </c>
      <c r="E1094" s="2601" t="s">
        <v>4296</v>
      </c>
      <c r="F1094" s="2607">
        <v>61016</v>
      </c>
      <c r="G1094" s="2463"/>
      <c r="H1094" s="2463"/>
      <c r="I1094" s="2461"/>
      <c r="J1094" s="2610"/>
    </row>
    <row r="1095" spans="1:10" ht="14.1" customHeight="1">
      <c r="A1095" s="2462">
        <v>32</v>
      </c>
      <c r="B1095" s="2601" t="s">
        <v>3220</v>
      </c>
      <c r="C1095" s="2607">
        <v>255107</v>
      </c>
      <c r="D1095" s="2601" t="s">
        <v>4294</v>
      </c>
      <c r="E1095" s="2601" t="s">
        <v>4296</v>
      </c>
      <c r="F1095" s="2607">
        <v>69050</v>
      </c>
      <c r="G1095" s="2463"/>
      <c r="H1095" s="2463"/>
      <c r="I1095" s="2461"/>
      <c r="J1095" s="2610"/>
    </row>
    <row r="1096" spans="1:10" ht="14.1" customHeight="1">
      <c r="A1096" s="2462">
        <v>33</v>
      </c>
      <c r="B1096" s="2446"/>
      <c r="C1096" s="2607"/>
      <c r="D1096" s="2446"/>
      <c r="E1096" s="2446"/>
      <c r="F1096" s="2608"/>
      <c r="G1096" s="2446"/>
      <c r="H1096" s="2446"/>
      <c r="I1096" s="2505"/>
      <c r="J1096" s="2610"/>
    </row>
    <row r="1097" spans="1:10" ht="14.1" customHeight="1">
      <c r="A1097" s="2462">
        <v>34</v>
      </c>
      <c r="B1097" s="2446" t="s">
        <v>3221</v>
      </c>
      <c r="C1097" s="2607">
        <v>255107</v>
      </c>
      <c r="D1097" s="2446"/>
      <c r="E1097" s="2446"/>
      <c r="F1097" s="2446"/>
      <c r="G1097" s="2446"/>
      <c r="H1097" s="2446"/>
      <c r="I1097" s="2505"/>
      <c r="J1097" s="2610"/>
    </row>
    <row r="1098" spans="1:10" ht="14.1" customHeight="1">
      <c r="A1098" s="2462">
        <v>35</v>
      </c>
      <c r="B1098" s="2446" t="s">
        <v>3222</v>
      </c>
      <c r="C1098" s="2607"/>
      <c r="D1098" s="2446"/>
      <c r="E1098" s="2446"/>
      <c r="F1098" s="2446"/>
      <c r="G1098" s="2446"/>
      <c r="H1098" s="2446"/>
      <c r="I1098" s="2505"/>
      <c r="J1098" s="2610"/>
    </row>
    <row r="1099" spans="1:10" ht="14.1" customHeight="1" thickBot="1">
      <c r="A1099" s="2499">
        <v>36</v>
      </c>
      <c r="B1099" s="2501" t="s">
        <v>3753</v>
      </c>
      <c r="C1099" s="2609">
        <v>255107</v>
      </c>
      <c r="D1099" s="2609"/>
      <c r="E1099" s="2501"/>
      <c r="F1099" s="2501"/>
      <c r="G1099" s="2501"/>
      <c r="H1099" s="2501"/>
      <c r="I1099" s="2502"/>
      <c r="J1099" s="2610"/>
    </row>
    <row r="1100" spans="1:10" ht="14.1" customHeight="1">
      <c r="A1100" s="2449" t="s">
        <v>3184</v>
      </c>
      <c r="B1100" s="2449"/>
      <c r="C1100" s="2449"/>
      <c r="D1100" s="2592" t="s">
        <v>1408</v>
      </c>
      <c r="E1100" s="2449"/>
      <c r="F1100" s="2449"/>
      <c r="G1100" s="2449"/>
      <c r="H1100" s="2449"/>
      <c r="I1100" s="2449"/>
    </row>
    <row r="1101" spans="1:10" ht="14.1" customHeight="1" thickBot="1">
      <c r="A1101" s="2444" t="str">
        <f>+A1</f>
        <v>Annual Report of New York American Water Company, Inc. (f/k/a Long Island Water Corp)                                   Year Ended  December 31, 2013</v>
      </c>
    </row>
    <row r="1102" spans="1:10" ht="14.1" customHeight="1">
      <c r="A1102" s="2448"/>
      <c r="B1102" s="2449"/>
      <c r="C1102" s="2449"/>
      <c r="D1102" s="2449"/>
      <c r="E1102" s="2449"/>
      <c r="F1102" s="2449"/>
      <c r="G1102" s="2449"/>
      <c r="H1102" s="2449"/>
      <c r="I1102" s="2450"/>
      <c r="J1102" s="2610"/>
    </row>
    <row r="1103" spans="1:10" ht="14.1" customHeight="1">
      <c r="A1103" s="2490" t="s">
        <v>3940</v>
      </c>
      <c r="B1103" s="2460"/>
      <c r="C1103" s="2460"/>
      <c r="D1103" s="2460"/>
      <c r="E1103" s="2460"/>
      <c r="F1103" s="2460"/>
      <c r="G1103" s="2460"/>
      <c r="H1103" s="2460"/>
      <c r="I1103" s="2491"/>
      <c r="J1103" s="2610"/>
    </row>
    <row r="1104" spans="1:10" ht="14.1" customHeight="1">
      <c r="A1104" s="2452"/>
      <c r="B1104" s="2451"/>
      <c r="C1104" s="2451"/>
      <c r="D1104" s="2451"/>
      <c r="E1104" s="2451"/>
      <c r="F1104" s="2451"/>
      <c r="G1104" s="2451"/>
      <c r="H1104" s="2451"/>
      <c r="I1104" s="2453"/>
      <c r="J1104" s="2610"/>
    </row>
    <row r="1105" spans="1:10" ht="15" customHeight="1">
      <c r="A1105" s="2454"/>
      <c r="B1105" s="2445"/>
      <c r="C1105" s="2445"/>
      <c r="D1105" s="2445"/>
      <c r="E1105" s="2445"/>
      <c r="F1105" s="2445"/>
      <c r="G1105" s="2445"/>
      <c r="H1105" s="2445"/>
      <c r="I1105" s="2455"/>
      <c r="J1105" s="2610"/>
    </row>
    <row r="1106" spans="1:10" ht="15" customHeight="1">
      <c r="A1106" s="2452" t="s">
        <v>2611</v>
      </c>
      <c r="B1106" s="2451"/>
      <c r="C1106" s="2451"/>
      <c r="D1106" s="2451"/>
      <c r="E1106" s="2451"/>
      <c r="F1106" s="2451"/>
      <c r="G1106" s="2451"/>
      <c r="H1106" s="2451"/>
      <c r="I1106" s="2453"/>
      <c r="J1106" s="2610"/>
    </row>
    <row r="1107" spans="1:10" ht="15" customHeight="1">
      <c r="A1107" s="2452" t="s">
        <v>2612</v>
      </c>
      <c r="B1107" s="2451"/>
      <c r="C1107" s="2451"/>
      <c r="D1107" s="2451"/>
      <c r="E1107" s="2451"/>
      <c r="F1107" s="2451"/>
      <c r="G1107" s="2451"/>
      <c r="H1107" s="2451"/>
      <c r="I1107" s="2453"/>
      <c r="J1107" s="2610"/>
    </row>
    <row r="1108" spans="1:10" ht="15" customHeight="1">
      <c r="A1108" s="2452"/>
      <c r="B1108" s="2451"/>
      <c r="C1108" s="2451"/>
      <c r="D1108" s="2451"/>
      <c r="E1108" s="2451"/>
      <c r="F1108" s="2451"/>
      <c r="G1108" s="2451"/>
      <c r="H1108" s="2451"/>
      <c r="I1108" s="2453"/>
      <c r="J1108" s="2610"/>
    </row>
    <row r="1109" spans="1:10" ht="15" customHeight="1">
      <c r="A1109" s="2492"/>
      <c r="B1109" s="2464"/>
      <c r="C1109" s="2464"/>
      <c r="D1109" s="2464"/>
      <c r="E1109" s="2464"/>
      <c r="F1109" s="2464"/>
      <c r="G1109" s="2464"/>
      <c r="H1109" s="2464"/>
      <c r="I1109" s="2458"/>
      <c r="J1109" s="2610"/>
    </row>
    <row r="1110" spans="1:10" ht="15" customHeight="1">
      <c r="A1110" s="2462"/>
      <c r="B1110" s="2463" t="s">
        <v>3026</v>
      </c>
      <c r="C1110" s="2463" t="s">
        <v>94</v>
      </c>
      <c r="D1110" s="2463" t="s">
        <v>3022</v>
      </c>
      <c r="E1110" s="2463" t="s">
        <v>2820</v>
      </c>
      <c r="F1110" s="2463" t="s">
        <v>3021</v>
      </c>
      <c r="G1110" s="2463" t="s">
        <v>2821</v>
      </c>
      <c r="H1110" s="2463" t="s">
        <v>2822</v>
      </c>
      <c r="I1110" s="2461" t="s">
        <v>930</v>
      </c>
      <c r="J1110" s="2610"/>
    </row>
    <row r="1111" spans="1:10" ht="15" customHeight="1">
      <c r="A1111" s="2462" t="s">
        <v>1939</v>
      </c>
      <c r="B1111" s="2463" t="s">
        <v>4226</v>
      </c>
      <c r="C1111" s="2463"/>
      <c r="D1111" s="2463" t="s">
        <v>2823</v>
      </c>
      <c r="E1111" s="2463" t="s">
        <v>4398</v>
      </c>
      <c r="F1111" s="2463" t="s">
        <v>4398</v>
      </c>
      <c r="G1111" s="2463" t="s">
        <v>4398</v>
      </c>
      <c r="H1111" s="2463" t="s">
        <v>4399</v>
      </c>
      <c r="I1111" s="2461" t="s">
        <v>931</v>
      </c>
      <c r="J1111" s="2610"/>
    </row>
    <row r="1112" spans="1:10" ht="15" customHeight="1">
      <c r="A1112" s="2462" t="s">
        <v>1941</v>
      </c>
      <c r="B1112" s="2463" t="s">
        <v>4400</v>
      </c>
      <c r="C1112" s="2463"/>
      <c r="D1112" s="2463" t="s">
        <v>4401</v>
      </c>
      <c r="E1112" s="2463"/>
      <c r="F1112" s="2463" t="s">
        <v>4402</v>
      </c>
      <c r="G1112" s="2463" t="s">
        <v>3039</v>
      </c>
      <c r="H1112" s="2463" t="s">
        <v>4617</v>
      </c>
      <c r="I1112" s="2461"/>
      <c r="J1112" s="2610"/>
    </row>
    <row r="1113" spans="1:10" ht="15" customHeight="1">
      <c r="A1113" s="2462"/>
      <c r="B1113" s="2463" t="s">
        <v>932</v>
      </c>
      <c r="C1113" s="2463" t="s">
        <v>933</v>
      </c>
      <c r="D1113" s="2463" t="s">
        <v>934</v>
      </c>
      <c r="E1113" s="2463" t="s">
        <v>935</v>
      </c>
      <c r="F1113" s="2463" t="s">
        <v>936</v>
      </c>
      <c r="G1113" s="2463" t="s">
        <v>937</v>
      </c>
      <c r="H1113" s="2463" t="s">
        <v>938</v>
      </c>
      <c r="I1113" s="2461" t="s">
        <v>939</v>
      </c>
      <c r="J1113" s="2610"/>
    </row>
    <row r="1114" spans="1:10" ht="15" customHeight="1">
      <c r="A1114" s="2492">
        <v>1</v>
      </c>
      <c r="B1114" s="2595" t="s">
        <v>2140</v>
      </c>
      <c r="C1114" s="2596" t="s">
        <v>3207</v>
      </c>
      <c r="D1114" s="2611" t="s">
        <v>1400</v>
      </c>
      <c r="E1114" s="2597">
        <v>2</v>
      </c>
      <c r="F1114" s="2597"/>
      <c r="G1114" s="2597"/>
      <c r="H1114" s="2597"/>
      <c r="I1114" s="2598" t="s">
        <v>987</v>
      </c>
      <c r="J1114" s="2610"/>
    </row>
    <row r="1115" spans="1:10" ht="15" customHeight="1">
      <c r="A1115" s="2462">
        <v>2</v>
      </c>
      <c r="B1115" s="2599" t="s">
        <v>1498</v>
      </c>
      <c r="C1115" s="2600" t="s">
        <v>4613</v>
      </c>
      <c r="D1115" s="2601">
        <v>2005</v>
      </c>
      <c r="E1115" s="2601">
        <v>3</v>
      </c>
      <c r="F1115" s="2601"/>
      <c r="G1115" s="2601"/>
      <c r="H1115" s="2601"/>
      <c r="I1115" s="2602" t="s">
        <v>4390</v>
      </c>
      <c r="J1115" s="2610"/>
    </row>
    <row r="1116" spans="1:10" ht="15" customHeight="1">
      <c r="A1116" s="2462">
        <v>3</v>
      </c>
      <c r="B1116" s="2599" t="s">
        <v>1498</v>
      </c>
      <c r="C1116" s="2600" t="s">
        <v>3208</v>
      </c>
      <c r="D1116" s="2601">
        <v>2005</v>
      </c>
      <c r="E1116" s="2601">
        <v>1</v>
      </c>
      <c r="F1116" s="2601"/>
      <c r="G1116" s="2601"/>
      <c r="H1116" s="2601"/>
      <c r="I1116" s="2602" t="s">
        <v>987</v>
      </c>
      <c r="J1116" s="2610"/>
    </row>
    <row r="1117" spans="1:10" ht="15" customHeight="1">
      <c r="A1117" s="2462">
        <v>4</v>
      </c>
      <c r="B1117" s="2599" t="s">
        <v>1498</v>
      </c>
      <c r="C1117" s="2600" t="s">
        <v>3209</v>
      </c>
      <c r="D1117" s="2601">
        <v>2005</v>
      </c>
      <c r="E1117" s="2601">
        <v>3</v>
      </c>
      <c r="F1117" s="2601"/>
      <c r="G1117" s="2601"/>
      <c r="H1117" s="2601"/>
      <c r="I1117" s="2602" t="s">
        <v>4390</v>
      </c>
      <c r="J1117" s="2610"/>
    </row>
    <row r="1118" spans="1:10" ht="15" customHeight="1">
      <c r="A1118" s="2462">
        <v>5</v>
      </c>
      <c r="B1118" s="2599" t="s">
        <v>1498</v>
      </c>
      <c r="C1118" s="2600" t="s">
        <v>4614</v>
      </c>
      <c r="D1118" s="2601">
        <v>1973</v>
      </c>
      <c r="E1118" s="2463">
        <v>1</v>
      </c>
      <c r="F1118" s="2463"/>
      <c r="G1118" s="2463"/>
      <c r="H1118" s="2463"/>
      <c r="I1118" s="2602" t="s">
        <v>987</v>
      </c>
      <c r="J1118" s="2513"/>
    </row>
    <row r="1119" spans="1:10" ht="15" customHeight="1">
      <c r="A1119" s="2462">
        <v>6</v>
      </c>
      <c r="B1119" s="2599" t="s">
        <v>1498</v>
      </c>
      <c r="C1119" s="2600" t="s">
        <v>4615</v>
      </c>
      <c r="D1119" s="2601">
        <v>2005</v>
      </c>
      <c r="E1119" s="2463">
        <v>3</v>
      </c>
      <c r="F1119" s="2463"/>
      <c r="G1119" s="2463"/>
      <c r="H1119" s="2463"/>
      <c r="I1119" s="2602" t="s">
        <v>4390</v>
      </c>
      <c r="J1119" s="2610"/>
    </row>
    <row r="1120" spans="1:10" ht="15" customHeight="1">
      <c r="A1120" s="2462">
        <v>7</v>
      </c>
      <c r="B1120" s="2599" t="s">
        <v>1498</v>
      </c>
      <c r="C1120" s="2600" t="s">
        <v>1448</v>
      </c>
      <c r="D1120" s="2601">
        <v>2005</v>
      </c>
      <c r="E1120" s="2601" t="s">
        <v>4630</v>
      </c>
      <c r="F1120" s="2601" t="s">
        <v>4631</v>
      </c>
      <c r="G1120" s="2601" t="s">
        <v>4629</v>
      </c>
      <c r="H1120" s="2601">
        <v>4000</v>
      </c>
      <c r="I1120" s="2602" t="s">
        <v>2141</v>
      </c>
      <c r="J1120" s="2610"/>
    </row>
    <row r="1121" spans="1:10" ht="14.1" customHeight="1">
      <c r="A1121" s="2462">
        <v>8</v>
      </c>
      <c r="B1121" s="2601"/>
      <c r="C1121" s="2601"/>
      <c r="D1121" s="2601"/>
      <c r="E1121" s="2601"/>
      <c r="F1121" s="2601"/>
      <c r="G1121" s="2601"/>
      <c r="H1121" s="2601"/>
      <c r="I1121" s="2602"/>
      <c r="J1121" s="2610"/>
    </row>
    <row r="1122" spans="1:10" ht="14.1" customHeight="1">
      <c r="A1122" s="2462">
        <v>9</v>
      </c>
      <c r="B1122" s="2601"/>
      <c r="C1122" s="2601"/>
      <c r="D1122" s="2601"/>
      <c r="E1122" s="2601"/>
      <c r="F1122" s="2601"/>
      <c r="G1122" s="2601"/>
      <c r="H1122" s="2601"/>
      <c r="I1122" s="2602"/>
      <c r="J1122" s="2610"/>
    </row>
    <row r="1123" spans="1:10" ht="14.1" customHeight="1">
      <c r="A1123" s="2492">
        <v>10</v>
      </c>
      <c r="B1123" s="2464" t="s">
        <v>940</v>
      </c>
      <c r="C1123" s="2464"/>
      <c r="D1123" s="2464"/>
      <c r="E1123" s="2464"/>
      <c r="F1123" s="2464"/>
      <c r="G1123" s="2464"/>
      <c r="H1123" s="2464"/>
      <c r="I1123" s="2458"/>
      <c r="J1123" s="2610"/>
    </row>
    <row r="1124" spans="1:10" ht="14.1" customHeight="1">
      <c r="A1124" s="2454"/>
      <c r="B1124" s="2445" t="s">
        <v>941</v>
      </c>
      <c r="C1124" s="2445"/>
      <c r="D1124" s="2445"/>
      <c r="E1124" s="2445"/>
      <c r="F1124" s="2445"/>
      <c r="G1124" s="2445"/>
      <c r="H1124" s="2445"/>
      <c r="I1124" s="2455"/>
      <c r="J1124" s="2610"/>
    </row>
    <row r="1125" spans="1:10" ht="14.1" customHeight="1">
      <c r="A1125" s="2452"/>
      <c r="B1125" s="2451"/>
      <c r="C1125" s="2451"/>
      <c r="D1125" s="2451"/>
      <c r="E1125" s="2451"/>
      <c r="F1125" s="2451"/>
      <c r="G1125" s="2451"/>
      <c r="H1125" s="2451"/>
      <c r="I1125" s="2453"/>
      <c r="J1125" s="2610"/>
    </row>
    <row r="1126" spans="1:10" ht="14.1" customHeight="1">
      <c r="A1126" s="2490" t="s">
        <v>3634</v>
      </c>
      <c r="B1126" s="2460"/>
      <c r="C1126" s="2460"/>
      <c r="D1126" s="2460"/>
      <c r="E1126" s="2460"/>
      <c r="F1126" s="2460"/>
      <c r="G1126" s="2460"/>
      <c r="H1126" s="2460"/>
      <c r="I1126" s="2491"/>
      <c r="J1126" s="2610"/>
    </row>
    <row r="1127" spans="1:10" ht="14.1" customHeight="1">
      <c r="A1127" s="2452" t="s">
        <v>2348</v>
      </c>
      <c r="B1127" s="2451"/>
      <c r="C1127" s="2451"/>
      <c r="D1127" s="2451"/>
      <c r="E1127" s="2451"/>
      <c r="F1127" s="2451"/>
      <c r="G1127" s="2451"/>
      <c r="H1127" s="2451"/>
      <c r="I1127" s="2453"/>
      <c r="J1127" s="2610"/>
    </row>
    <row r="1128" spans="1:10" ht="14.1" customHeight="1">
      <c r="A1128" s="2452" t="s">
        <v>4346</v>
      </c>
      <c r="B1128" s="2451"/>
      <c r="C1128" s="2451"/>
      <c r="D1128" s="2451"/>
      <c r="E1128" s="2451" t="s">
        <v>2349</v>
      </c>
      <c r="F1128" s="2451"/>
      <c r="G1128" s="2451"/>
      <c r="H1128" s="2451"/>
      <c r="I1128" s="2453"/>
      <c r="J1128" s="2610"/>
    </row>
    <row r="1129" spans="1:10" ht="14.1" customHeight="1">
      <c r="A1129" s="2452"/>
      <c r="B1129" s="2451"/>
      <c r="C1129" s="2451"/>
      <c r="D1129" s="2451"/>
      <c r="E1129" s="2451" t="s">
        <v>1004</v>
      </c>
      <c r="F1129" s="2451"/>
      <c r="G1129" s="2451"/>
      <c r="H1129" s="2451"/>
      <c r="I1129" s="2453"/>
      <c r="J1129" s="2610"/>
    </row>
    <row r="1130" spans="1:10" ht="14.1" customHeight="1">
      <c r="A1130" s="2452" t="s">
        <v>1744</v>
      </c>
      <c r="B1130" s="2451"/>
      <c r="C1130" s="2451"/>
      <c r="D1130" s="2451"/>
      <c r="E1130" s="2451"/>
      <c r="F1130" s="2451"/>
      <c r="G1130" s="2451"/>
      <c r="H1130" s="2451"/>
      <c r="I1130" s="2453"/>
      <c r="J1130" s="2610"/>
    </row>
    <row r="1131" spans="1:10" ht="14.1" customHeight="1">
      <c r="A1131" s="2452" t="s">
        <v>1005</v>
      </c>
      <c r="B1131" s="2451"/>
      <c r="C1131" s="2451"/>
      <c r="D1131" s="2451"/>
      <c r="E1131" s="2451" t="s">
        <v>848</v>
      </c>
      <c r="F1131" s="2451"/>
      <c r="G1131" s="2451"/>
      <c r="H1131" s="2451"/>
      <c r="I1131" s="2453"/>
      <c r="J1131" s="2610"/>
    </row>
    <row r="1132" spans="1:10" ht="14.1" customHeight="1">
      <c r="A1132" s="2452"/>
      <c r="B1132" s="2451"/>
      <c r="C1132" s="2451"/>
      <c r="D1132" s="2451"/>
      <c r="E1132" s="2451" t="s">
        <v>1737</v>
      </c>
      <c r="F1132" s="2451"/>
      <c r="G1132" s="2451"/>
      <c r="H1132" s="2451"/>
      <c r="I1132" s="2453"/>
      <c r="J1132" s="2610"/>
    </row>
    <row r="1133" spans="1:10" ht="14.1" customHeight="1">
      <c r="A1133" s="2452" t="s">
        <v>849</v>
      </c>
      <c r="B1133" s="2451"/>
      <c r="C1133" s="2451"/>
      <c r="D1133" s="2451"/>
      <c r="E1133" s="2451"/>
      <c r="F1133" s="2451"/>
      <c r="G1133" s="2451"/>
      <c r="H1133" s="2451"/>
      <c r="I1133" s="2453"/>
      <c r="J1133" s="2610"/>
    </row>
    <row r="1134" spans="1:10" ht="15" customHeight="1">
      <c r="A1134" s="2452" t="s">
        <v>4345</v>
      </c>
      <c r="B1134" s="2451"/>
      <c r="C1134" s="2451"/>
      <c r="D1134" s="2451"/>
      <c r="E1134" s="2451"/>
      <c r="F1134" s="2451"/>
      <c r="G1134" s="2451"/>
      <c r="H1134" s="2451"/>
      <c r="I1134" s="2453"/>
      <c r="J1134" s="2610"/>
    </row>
    <row r="1135" spans="1:10" ht="15" customHeight="1">
      <c r="A1135" s="2452"/>
      <c r="B1135" s="2451"/>
      <c r="C1135" s="2451"/>
      <c r="D1135" s="2451"/>
      <c r="E1135" s="2451"/>
      <c r="F1135" s="2451"/>
      <c r="G1135" s="2451"/>
      <c r="H1135" s="2451"/>
      <c r="I1135" s="2453"/>
      <c r="J1135" s="2610"/>
    </row>
    <row r="1136" spans="1:10" ht="15" customHeight="1">
      <c r="A1136" s="2492"/>
      <c r="B1136" s="2464"/>
      <c r="C1136" s="2464"/>
      <c r="D1136" s="2464"/>
      <c r="E1136" s="2464" t="s">
        <v>1738</v>
      </c>
      <c r="F1136" s="2464"/>
      <c r="G1136" s="2464"/>
      <c r="H1136" s="2580"/>
      <c r="I1136" s="2458"/>
      <c r="J1136" s="2610"/>
    </row>
    <row r="1137" spans="1:10" ht="15" customHeight="1">
      <c r="A1137" s="2462" t="s">
        <v>1939</v>
      </c>
      <c r="B1137" s="2463" t="s">
        <v>1739</v>
      </c>
      <c r="C1137" s="2463" t="s">
        <v>3754</v>
      </c>
      <c r="D1137" s="2463"/>
      <c r="E1137" s="2463"/>
      <c r="F1137" s="2463"/>
      <c r="G1137" s="2463"/>
      <c r="H1137" s="2516"/>
      <c r="I1137" s="2461"/>
      <c r="J1137" s="2610"/>
    </row>
    <row r="1138" spans="1:10" ht="15" customHeight="1">
      <c r="A1138" s="2462" t="s">
        <v>1941</v>
      </c>
      <c r="B1138" s="2463"/>
      <c r="C1138" s="2463" t="s">
        <v>1874</v>
      </c>
      <c r="D1138" s="2463" t="s">
        <v>3032</v>
      </c>
      <c r="E1138" s="2463" t="s">
        <v>1875</v>
      </c>
      <c r="F1138" s="2463" t="s">
        <v>1876</v>
      </c>
      <c r="G1138" s="2459" t="s">
        <v>1877</v>
      </c>
      <c r="H1138" s="2460"/>
      <c r="I1138" s="2461" t="s">
        <v>4031</v>
      </c>
      <c r="J1138" s="2610"/>
    </row>
    <row r="1139" spans="1:10" ht="15" customHeight="1">
      <c r="A1139" s="2462"/>
      <c r="B1139" s="2463"/>
      <c r="C1139" s="2463"/>
      <c r="D1139" s="2463"/>
      <c r="E1139" s="2463"/>
      <c r="F1139" s="2463"/>
      <c r="G1139" s="2459"/>
      <c r="H1139" s="2460"/>
      <c r="I1139" s="2461"/>
      <c r="J1139" s="2610"/>
    </row>
    <row r="1140" spans="1:10" ht="15" customHeight="1">
      <c r="A1140" s="2462"/>
      <c r="B1140" s="2463" t="s">
        <v>932</v>
      </c>
      <c r="C1140" s="2463" t="s">
        <v>933</v>
      </c>
      <c r="D1140" s="2463" t="s">
        <v>934</v>
      </c>
      <c r="E1140" s="2463" t="s">
        <v>935</v>
      </c>
      <c r="F1140" s="2463" t="s">
        <v>936</v>
      </c>
      <c r="G1140" s="2459" t="s">
        <v>937</v>
      </c>
      <c r="H1140" s="2460"/>
      <c r="I1140" s="2461" t="s">
        <v>938</v>
      </c>
      <c r="J1140" s="2610"/>
    </row>
    <row r="1141" spans="1:10" ht="15" customHeight="1">
      <c r="A1141" s="2492">
        <v>23</v>
      </c>
      <c r="B1141" s="2444" t="s">
        <v>3212</v>
      </c>
      <c r="C1141" s="2464"/>
      <c r="D1141" s="2444"/>
      <c r="E1141" s="2444"/>
      <c r="F1141" s="2444"/>
      <c r="G1141" s="2444"/>
      <c r="H1141" s="2444"/>
      <c r="I1141" s="2507"/>
      <c r="J1141" s="2610"/>
    </row>
    <row r="1142" spans="1:10" ht="15" customHeight="1">
      <c r="A1142" s="2462">
        <v>24</v>
      </c>
      <c r="B1142" s="2446" t="s">
        <v>3213</v>
      </c>
      <c r="C1142" s="2463"/>
      <c r="D1142" s="2446"/>
      <c r="E1142" s="2446"/>
      <c r="F1142" s="2446"/>
      <c r="G1142" s="2446"/>
      <c r="H1142" s="2446"/>
      <c r="I1142" s="2505"/>
      <c r="J1142" s="2610"/>
    </row>
    <row r="1143" spans="1:10" ht="15" customHeight="1">
      <c r="A1143" s="2462">
        <v>25</v>
      </c>
      <c r="B1143" s="2446" t="s">
        <v>3214</v>
      </c>
      <c r="C1143" s="2463"/>
      <c r="D1143" s="2446"/>
      <c r="E1143" s="2446"/>
      <c r="F1143" s="2446"/>
      <c r="G1143" s="2446"/>
      <c r="H1143" s="2446"/>
      <c r="I1143" s="2505"/>
      <c r="J1143" s="2610"/>
    </row>
    <row r="1144" spans="1:10" ht="14.1" customHeight="1">
      <c r="A1144" s="2462">
        <v>26</v>
      </c>
      <c r="B1144" s="2446" t="s">
        <v>3215</v>
      </c>
      <c r="C1144" s="2607">
        <v>618678</v>
      </c>
      <c r="D1144" s="2446"/>
      <c r="E1144" s="2446"/>
      <c r="F1144" s="2446"/>
      <c r="G1144" s="2446"/>
      <c r="H1144" s="2446"/>
      <c r="I1144" s="2505"/>
      <c r="J1144" s="2610"/>
    </row>
    <row r="1145" spans="1:10" ht="14.1" customHeight="1">
      <c r="A1145" s="2462">
        <v>27</v>
      </c>
      <c r="B1145" s="2446" t="s">
        <v>1449</v>
      </c>
      <c r="C1145" s="2607">
        <v>618678</v>
      </c>
      <c r="D1145" s="2446"/>
      <c r="E1145" s="2446"/>
      <c r="F1145" s="2446"/>
      <c r="G1145" s="2446"/>
      <c r="H1145" s="2446"/>
      <c r="I1145" s="2505"/>
      <c r="J1145" s="2610"/>
    </row>
    <row r="1146" spans="1:10" ht="14.1" customHeight="1">
      <c r="A1146" s="2462">
        <v>28</v>
      </c>
      <c r="B1146" s="2446" t="s">
        <v>3217</v>
      </c>
      <c r="C1146" s="2463"/>
      <c r="D1146" s="2446"/>
      <c r="E1146" s="2446"/>
      <c r="F1146" s="2446"/>
      <c r="G1146" s="2446"/>
      <c r="H1146" s="2446"/>
      <c r="I1146" s="2505"/>
      <c r="J1146" s="2610"/>
    </row>
    <row r="1147" spans="1:10" ht="14.1" customHeight="1">
      <c r="A1147" s="2462">
        <v>29</v>
      </c>
      <c r="B1147" s="2601" t="s">
        <v>3218</v>
      </c>
      <c r="C1147" s="2607">
        <v>618678</v>
      </c>
      <c r="D1147" s="2601" t="s">
        <v>4292</v>
      </c>
      <c r="E1147" s="2601" t="s">
        <v>4295</v>
      </c>
      <c r="F1147" s="2607">
        <v>13452</v>
      </c>
      <c r="G1147" s="2463"/>
      <c r="H1147" s="2463"/>
      <c r="I1147" s="2461"/>
      <c r="J1147" s="2610"/>
    </row>
    <row r="1148" spans="1:10" ht="14.1" customHeight="1">
      <c r="A1148" s="2462">
        <v>30</v>
      </c>
      <c r="B1148" s="2601"/>
      <c r="C1148" s="2607"/>
      <c r="D1148" s="2601"/>
      <c r="E1148" s="2601"/>
      <c r="F1148" s="2607"/>
      <c r="G1148" s="2463"/>
      <c r="H1148" s="2463"/>
      <c r="I1148" s="2461"/>
      <c r="J1148" s="2610"/>
    </row>
    <row r="1149" spans="1:10" ht="14.1" customHeight="1">
      <c r="A1149" s="2462">
        <v>31</v>
      </c>
      <c r="B1149" s="2601" t="s">
        <v>3219</v>
      </c>
      <c r="C1149" s="2607">
        <v>618678</v>
      </c>
      <c r="D1149" s="2601" t="s">
        <v>4293</v>
      </c>
      <c r="E1149" s="2601" t="s">
        <v>4296</v>
      </c>
      <c r="F1149" s="2607">
        <v>70411</v>
      </c>
      <c r="G1149" s="2463"/>
      <c r="H1149" s="2463"/>
      <c r="I1149" s="2461"/>
      <c r="J1149" s="2610"/>
    </row>
    <row r="1150" spans="1:10" ht="14.1" customHeight="1">
      <c r="A1150" s="2462">
        <v>32</v>
      </c>
      <c r="B1150" s="2601" t="s">
        <v>3220</v>
      </c>
      <c r="C1150" s="2607">
        <v>618678</v>
      </c>
      <c r="D1150" s="2601" t="s">
        <v>4294</v>
      </c>
      <c r="E1150" s="2601" t="s">
        <v>4296</v>
      </c>
      <c r="F1150" s="2607">
        <v>267850</v>
      </c>
      <c r="G1150" s="2463"/>
      <c r="H1150" s="2463"/>
      <c r="I1150" s="2461"/>
      <c r="J1150" s="2610"/>
    </row>
    <row r="1151" spans="1:10" ht="14.1" customHeight="1">
      <c r="A1151" s="2462">
        <v>33</v>
      </c>
      <c r="B1151" s="2446"/>
      <c r="C1151" s="2607"/>
      <c r="D1151" s="2446"/>
      <c r="E1151" s="2446"/>
      <c r="F1151" s="2608"/>
      <c r="G1151" s="2446"/>
      <c r="H1151" s="2446"/>
      <c r="I1151" s="2505"/>
      <c r="J1151" s="2610"/>
    </row>
    <row r="1152" spans="1:10" ht="14.1" customHeight="1">
      <c r="A1152" s="2462">
        <v>34</v>
      </c>
      <c r="B1152" s="2446" t="s">
        <v>3221</v>
      </c>
      <c r="C1152" s="2607">
        <v>618678</v>
      </c>
      <c r="D1152" s="2446"/>
      <c r="E1152" s="2446"/>
      <c r="F1152" s="2446"/>
      <c r="G1152" s="2446"/>
      <c r="H1152" s="2446"/>
      <c r="I1152" s="2505"/>
      <c r="J1152" s="2610"/>
    </row>
    <row r="1153" spans="1:10" ht="14.1" customHeight="1">
      <c r="A1153" s="2462">
        <v>35</v>
      </c>
      <c r="B1153" s="2446" t="s">
        <v>3222</v>
      </c>
      <c r="C1153" s="2607"/>
      <c r="D1153" s="2446"/>
      <c r="E1153" s="2446"/>
      <c r="F1153" s="2446"/>
      <c r="G1153" s="2446"/>
      <c r="H1153" s="2446"/>
      <c r="I1153" s="2505"/>
      <c r="J1153" s="2610"/>
    </row>
    <row r="1154" spans="1:10" ht="14.1" customHeight="1" thickBot="1">
      <c r="A1154" s="2499">
        <v>36</v>
      </c>
      <c r="B1154" s="2501" t="s">
        <v>3753</v>
      </c>
      <c r="C1154" s="2609">
        <v>597962</v>
      </c>
      <c r="D1154" s="2609"/>
      <c r="E1154" s="2501"/>
      <c r="F1154" s="2501"/>
      <c r="G1154" s="2501"/>
      <c r="H1154" s="2501"/>
      <c r="I1154" s="2502"/>
      <c r="J1154" s="2610"/>
    </row>
    <row r="1155" spans="1:10" ht="14.1" customHeight="1">
      <c r="A1155" s="2449" t="s">
        <v>3184</v>
      </c>
      <c r="B1155" s="2449"/>
      <c r="C1155" s="2449"/>
      <c r="D1155" s="2592" t="s">
        <v>1409</v>
      </c>
      <c r="E1155" s="2449"/>
      <c r="F1155" s="2449"/>
      <c r="G1155" s="2449"/>
      <c r="H1155" s="2449"/>
      <c r="I1155" s="2449"/>
    </row>
    <row r="1156" spans="1:10" ht="14.1" customHeight="1" thickBot="1">
      <c r="A1156" s="2444"/>
    </row>
    <row r="1157" spans="1:10" ht="14.1" customHeight="1">
      <c r="A1157" s="2448"/>
      <c r="B1157" s="2449"/>
      <c r="C1157" s="2449"/>
      <c r="D1157" s="2449"/>
      <c r="E1157" s="2449"/>
      <c r="F1157" s="2449"/>
      <c r="G1157" s="2449"/>
      <c r="H1157" s="2449"/>
      <c r="I1157" s="2449"/>
      <c r="J1157" s="2610"/>
    </row>
    <row r="1158" spans="1:10" ht="14.1" customHeight="1">
      <c r="A1158" s="2490"/>
      <c r="B1158" s="2489"/>
      <c r="C1158" s="2489"/>
      <c r="D1158" s="2489"/>
      <c r="E1158" s="2489"/>
      <c r="F1158" s="2489"/>
      <c r="G1158" s="2489"/>
      <c r="H1158" s="2489"/>
      <c r="I1158" s="2489"/>
      <c r="J1158" s="2610"/>
    </row>
    <row r="1159" spans="1:10" ht="14.1" customHeight="1">
      <c r="A1159" s="2452"/>
      <c r="J1159" s="2610"/>
    </row>
    <row r="1160" spans="1:10" ht="14.1" customHeight="1">
      <c r="A1160" s="2454"/>
      <c r="B1160" s="2445"/>
      <c r="C1160" s="2445"/>
      <c r="D1160" s="2445"/>
      <c r="E1160" s="2445"/>
      <c r="F1160" s="2445"/>
      <c r="G1160" s="2445"/>
      <c r="H1160" s="2445"/>
      <c r="I1160" s="2445"/>
      <c r="J1160" s="2610"/>
    </row>
    <row r="1161" spans="1:10" ht="15" customHeight="1">
      <c r="A1161" s="2452"/>
      <c r="J1161" s="2610"/>
    </row>
    <row r="1162" spans="1:10" ht="15" customHeight="1">
      <c r="A1162" s="2452"/>
      <c r="J1162" s="2610"/>
    </row>
    <row r="1163" spans="1:10" ht="15" customHeight="1">
      <c r="A1163" s="2452"/>
      <c r="J1163" s="2610"/>
    </row>
    <row r="1164" spans="1:10" ht="15" customHeight="1">
      <c r="A1164" s="2492"/>
      <c r="B1164" s="2464"/>
      <c r="C1164" s="2464"/>
      <c r="D1164" s="2464"/>
      <c r="E1164" s="2464"/>
      <c r="F1164" s="2464"/>
      <c r="G1164" s="2464"/>
      <c r="H1164" s="2464"/>
      <c r="I1164" s="2464"/>
      <c r="J1164" s="2610"/>
    </row>
    <row r="1165" spans="1:10" ht="15" customHeight="1">
      <c r="A1165" s="2462"/>
      <c r="B1165" s="2463"/>
      <c r="C1165" s="2463"/>
      <c r="D1165" s="2463"/>
      <c r="E1165" s="2463"/>
      <c r="F1165" s="2463"/>
      <c r="G1165" s="2463"/>
      <c r="H1165" s="2463"/>
      <c r="I1165" s="2463"/>
      <c r="J1165" s="2610"/>
    </row>
    <row r="1166" spans="1:10" ht="15" customHeight="1">
      <c r="A1166" s="2462"/>
      <c r="B1166" s="2463"/>
      <c r="C1166" s="2463"/>
      <c r="D1166" s="2463"/>
      <c r="E1166" s="2463"/>
      <c r="F1166" s="2463"/>
      <c r="G1166" s="2463"/>
      <c r="H1166" s="2463"/>
      <c r="I1166" s="2463"/>
      <c r="J1166" s="2610"/>
    </row>
    <row r="1167" spans="1:10" ht="15" customHeight="1">
      <c r="A1167" s="2462"/>
      <c r="B1167" s="2463"/>
      <c r="C1167" s="2463"/>
      <c r="D1167" s="2463"/>
      <c r="E1167" s="2463"/>
      <c r="F1167" s="2463"/>
      <c r="G1167" s="2463"/>
      <c r="H1167" s="2463"/>
      <c r="I1167" s="2463"/>
      <c r="J1167" s="2610"/>
    </row>
    <row r="1168" spans="1:10" ht="15" customHeight="1">
      <c r="A1168" s="2462"/>
      <c r="B1168" s="2463"/>
      <c r="C1168" s="2463"/>
      <c r="D1168" s="2463"/>
      <c r="E1168" s="2463"/>
      <c r="F1168" s="2463"/>
      <c r="G1168" s="2463"/>
      <c r="H1168" s="2463"/>
      <c r="I1168" s="2463"/>
      <c r="J1168" s="2610"/>
    </row>
    <row r="1169" spans="1:10" ht="15" customHeight="1">
      <c r="A1169" s="2492"/>
      <c r="B1169" s="2595"/>
      <c r="C1169" s="2595"/>
      <c r="D1169" s="2597"/>
      <c r="E1169" s="2597"/>
      <c r="F1169" s="2597"/>
      <c r="G1169" s="2597"/>
      <c r="H1169" s="2597"/>
      <c r="I1169" s="2597"/>
      <c r="J1169" s="2610"/>
    </row>
    <row r="1170" spans="1:10" ht="15" customHeight="1">
      <c r="A1170" s="2462"/>
      <c r="B1170" s="2599"/>
      <c r="C1170" s="2599"/>
      <c r="D1170" s="2601"/>
      <c r="E1170" s="2601"/>
      <c r="F1170" s="2601"/>
      <c r="G1170" s="2601"/>
      <c r="H1170" s="2601"/>
      <c r="I1170" s="2601"/>
      <c r="J1170" s="2610"/>
    </row>
    <row r="1171" spans="1:10" ht="15" customHeight="1">
      <c r="A1171" s="2462"/>
      <c r="B1171" s="2599"/>
      <c r="C1171" s="2599"/>
      <c r="D1171" s="2601"/>
      <c r="E1171" s="2601"/>
      <c r="F1171" s="2601"/>
      <c r="G1171" s="2601"/>
      <c r="H1171" s="2601"/>
      <c r="I1171" s="2601"/>
      <c r="J1171" s="2610"/>
    </row>
    <row r="1172" spans="1:10" ht="15" customHeight="1">
      <c r="A1172" s="2462"/>
      <c r="B1172" s="2599"/>
      <c r="C1172" s="2599"/>
      <c r="D1172" s="2601"/>
      <c r="E1172" s="2601"/>
      <c r="F1172" s="2601"/>
      <c r="G1172" s="2601"/>
      <c r="H1172" s="2601"/>
      <c r="I1172" s="2601"/>
      <c r="J1172" s="2610"/>
    </row>
    <row r="1173" spans="1:10" ht="15" customHeight="1">
      <c r="A1173" s="2462"/>
      <c r="B1173" s="2463"/>
      <c r="C1173" s="2463"/>
      <c r="D1173" s="2463"/>
      <c r="E1173" s="2463"/>
      <c r="F1173" s="2463"/>
      <c r="G1173" s="2463"/>
      <c r="H1173" s="2463"/>
      <c r="I1173" s="2463"/>
      <c r="J1173" s="2610"/>
    </row>
    <row r="1174" spans="1:10" ht="15" customHeight="1">
      <c r="A1174" s="2462"/>
      <c r="B1174" s="2463"/>
      <c r="C1174" s="2463"/>
      <c r="D1174" s="2463"/>
      <c r="E1174" s="2463"/>
      <c r="F1174" s="2463"/>
      <c r="G1174" s="2463"/>
      <c r="H1174" s="2463"/>
      <c r="I1174" s="2463"/>
      <c r="J1174" s="2610"/>
    </row>
    <row r="1175" spans="1:10" ht="15" customHeight="1">
      <c r="A1175" s="2462"/>
      <c r="B1175" s="2463"/>
      <c r="C1175" s="2463"/>
      <c r="D1175" s="2463"/>
      <c r="E1175" s="2463"/>
      <c r="F1175" s="2463"/>
      <c r="G1175" s="2463"/>
      <c r="H1175" s="2463"/>
      <c r="I1175" s="2463"/>
      <c r="J1175" s="2610"/>
    </row>
    <row r="1176" spans="1:10" ht="15" customHeight="1">
      <c r="A1176" s="2462"/>
      <c r="B1176" s="2463"/>
      <c r="C1176" s="2463"/>
      <c r="D1176" s="2463"/>
      <c r="E1176" s="2463"/>
      <c r="F1176" s="2463"/>
      <c r="G1176" s="2463"/>
      <c r="H1176" s="2463"/>
      <c r="I1176" s="2463"/>
      <c r="J1176" s="2610"/>
    </row>
    <row r="1177" spans="1:10" ht="15" customHeight="1">
      <c r="A1177" s="2462"/>
      <c r="B1177" s="2463"/>
      <c r="C1177" s="2463"/>
      <c r="D1177" s="2463"/>
      <c r="E1177" s="2463"/>
      <c r="F1177" s="2463"/>
      <c r="G1177" s="2463"/>
      <c r="H1177" s="2463"/>
      <c r="I1177" s="2463"/>
      <c r="J1177" s="2610"/>
    </row>
    <row r="1178" spans="1:10" ht="15" customHeight="1">
      <c r="A1178" s="2492"/>
      <c r="B1178" s="2464"/>
      <c r="C1178" s="2464"/>
      <c r="D1178" s="2464"/>
      <c r="E1178" s="2464"/>
      <c r="F1178" s="2464"/>
      <c r="G1178" s="2464"/>
      <c r="H1178" s="2464"/>
      <c r="I1178" s="2464"/>
      <c r="J1178" s="2610"/>
    </row>
    <row r="1179" spans="1:10" ht="15" customHeight="1">
      <c r="A1179" s="2454"/>
      <c r="B1179" s="2445"/>
      <c r="C1179" s="2445"/>
      <c r="D1179" s="2445"/>
      <c r="E1179" s="2445"/>
      <c r="F1179" s="2445"/>
      <c r="G1179" s="2445"/>
      <c r="H1179" s="2445"/>
      <c r="I1179" s="2445"/>
      <c r="J1179" s="2610"/>
    </row>
    <row r="1180" spans="1:10" ht="15" customHeight="1">
      <c r="A1180" s="2452"/>
      <c r="J1180" s="2610"/>
    </row>
    <row r="1181" spans="1:10" ht="15" customHeight="1">
      <c r="A1181" s="2490"/>
      <c r="B1181" s="2489"/>
      <c r="C1181" s="2489"/>
      <c r="D1181" s="2489"/>
      <c r="E1181" s="2489"/>
      <c r="F1181" s="2489"/>
      <c r="G1181" s="2489"/>
      <c r="H1181" s="2489"/>
      <c r="I1181" s="2489"/>
      <c r="J1181" s="2610"/>
    </row>
    <row r="1182" spans="1:10" ht="15" customHeight="1">
      <c r="A1182" s="2452"/>
      <c r="J1182" s="2610"/>
    </row>
    <row r="1183" spans="1:10" ht="15" customHeight="1">
      <c r="A1183" s="2452"/>
      <c r="J1183" s="2610"/>
    </row>
    <row r="1184" spans="1:10" ht="15" customHeight="1">
      <c r="A1184" s="2452"/>
      <c r="J1184" s="2610"/>
    </row>
    <row r="1185" spans="1:10" ht="15" customHeight="1">
      <c r="A1185" s="2452"/>
      <c r="J1185" s="2610"/>
    </row>
    <row r="1186" spans="1:10" ht="15" customHeight="1">
      <c r="A1186" s="2452"/>
      <c r="J1186" s="2610"/>
    </row>
    <row r="1187" spans="1:10" ht="15" customHeight="1">
      <c r="A1187" s="2452"/>
      <c r="J1187" s="2610"/>
    </row>
    <row r="1188" spans="1:10" ht="15" customHeight="1">
      <c r="A1188" s="2452"/>
      <c r="J1188" s="2610"/>
    </row>
    <row r="1189" spans="1:10" ht="15" customHeight="1">
      <c r="A1189" s="2452"/>
      <c r="J1189" s="2610"/>
    </row>
    <row r="1190" spans="1:10" ht="15" customHeight="1">
      <c r="A1190" s="2452"/>
      <c r="J1190" s="2610"/>
    </row>
    <row r="1191" spans="1:10" ht="15" customHeight="1">
      <c r="A1191" s="2492"/>
      <c r="B1191" s="2464"/>
      <c r="C1191" s="2464"/>
      <c r="D1191" s="2464"/>
      <c r="E1191" s="2464"/>
      <c r="F1191" s="2464"/>
      <c r="G1191" s="2464"/>
      <c r="H1191" s="2580"/>
      <c r="I1191" s="2464"/>
      <c r="J1191" s="2610"/>
    </row>
    <row r="1192" spans="1:10" ht="15" customHeight="1">
      <c r="A1192" s="2462"/>
      <c r="B1192" s="2463"/>
      <c r="C1192" s="2463"/>
      <c r="D1192" s="2463"/>
      <c r="E1192" s="2463"/>
      <c r="F1192" s="2463"/>
      <c r="G1192" s="2463"/>
      <c r="H1192" s="2616"/>
      <c r="I1192" s="2463"/>
      <c r="J1192" s="2610"/>
    </row>
    <row r="1193" spans="1:10" ht="15" customHeight="1">
      <c r="A1193" s="2462"/>
      <c r="B1193" s="2463"/>
      <c r="C1193" s="2463"/>
      <c r="D1193" s="2463"/>
      <c r="E1193" s="2463"/>
      <c r="F1193" s="2463"/>
      <c r="G1193" s="2459"/>
      <c r="H1193" s="2489"/>
      <c r="I1193" s="2463"/>
      <c r="J1193" s="2610"/>
    </row>
    <row r="1194" spans="1:10" ht="15" customHeight="1">
      <c r="A1194" s="2462"/>
      <c r="B1194" s="2463"/>
      <c r="C1194" s="2463"/>
      <c r="D1194" s="2463"/>
      <c r="E1194" s="2463"/>
      <c r="F1194" s="2463"/>
      <c r="G1194" s="2459"/>
      <c r="H1194" s="2489"/>
      <c r="I1194" s="2463"/>
      <c r="J1194" s="2610"/>
    </row>
    <row r="1195" spans="1:10" ht="15" customHeight="1">
      <c r="A1195" s="2462"/>
      <c r="B1195" s="2463"/>
      <c r="C1195" s="2463"/>
      <c r="D1195" s="2463"/>
      <c r="E1195" s="2463"/>
      <c r="F1195" s="2463"/>
      <c r="G1195" s="2459"/>
      <c r="H1195" s="2489"/>
      <c r="I1195" s="2463"/>
      <c r="J1195" s="2610"/>
    </row>
    <row r="1196" spans="1:10" ht="15" customHeight="1">
      <c r="A1196" s="2492"/>
      <c r="B1196" s="2444"/>
      <c r="C1196" s="2464"/>
      <c r="D1196" s="2444"/>
      <c r="E1196" s="2444"/>
      <c r="F1196" s="2444"/>
      <c r="G1196" s="2444"/>
      <c r="H1196" s="2444"/>
      <c r="I1196" s="2444"/>
      <c r="J1196" s="2610"/>
    </row>
    <row r="1197" spans="1:10" ht="15" customHeight="1">
      <c r="A1197" s="2462"/>
      <c r="B1197" s="2446"/>
      <c r="C1197" s="2463"/>
      <c r="D1197" s="2446"/>
      <c r="E1197" s="2446"/>
      <c r="F1197" s="2446"/>
      <c r="G1197" s="2446"/>
      <c r="H1197" s="2446"/>
      <c r="I1197" s="2446"/>
      <c r="J1197" s="2610"/>
    </row>
    <row r="1198" spans="1:10" ht="15" customHeight="1">
      <c r="A1198" s="2462"/>
      <c r="B1198" s="2446"/>
      <c r="C1198" s="2463"/>
      <c r="D1198" s="2446"/>
      <c r="E1198" s="2446"/>
      <c r="F1198" s="2446"/>
      <c r="G1198" s="2446"/>
      <c r="H1198" s="2446"/>
      <c r="I1198" s="2446"/>
      <c r="J1198" s="2610"/>
    </row>
    <row r="1199" spans="1:10" ht="15" customHeight="1">
      <c r="A1199" s="2462"/>
      <c r="B1199" s="2446"/>
      <c r="C1199" s="2463"/>
      <c r="D1199" s="2446"/>
      <c r="E1199" s="2446"/>
      <c r="F1199" s="2446"/>
      <c r="G1199" s="2446"/>
      <c r="H1199" s="2446"/>
      <c r="I1199" s="2446"/>
      <c r="J1199" s="2610"/>
    </row>
    <row r="1200" spans="1:10" ht="15" customHeight="1">
      <c r="A1200" s="2462"/>
      <c r="B1200" s="2446"/>
      <c r="C1200" s="2463"/>
      <c r="D1200" s="2446"/>
      <c r="E1200" s="2446"/>
      <c r="F1200" s="2446"/>
      <c r="G1200" s="2446"/>
      <c r="H1200" s="2446"/>
      <c r="I1200" s="2446"/>
      <c r="J1200" s="2610"/>
    </row>
    <row r="1201" spans="1:10" ht="15" customHeight="1">
      <c r="A1201" s="2462"/>
      <c r="B1201" s="2446"/>
      <c r="C1201" s="2463"/>
      <c r="D1201" s="2446"/>
      <c r="E1201" s="2446"/>
      <c r="F1201" s="2446"/>
      <c r="G1201" s="2446"/>
      <c r="H1201" s="2446"/>
      <c r="I1201" s="2446"/>
      <c r="J1201" s="2610"/>
    </row>
    <row r="1202" spans="1:10" ht="15" customHeight="1">
      <c r="A1202" s="2462"/>
      <c r="B1202" s="2601"/>
      <c r="C1202" s="2607"/>
      <c r="D1202" s="2601"/>
      <c r="E1202" s="2601"/>
      <c r="F1202" s="2607"/>
      <c r="G1202" s="2463"/>
      <c r="H1202" s="2463"/>
      <c r="I1202" s="2463"/>
      <c r="J1202" s="2610"/>
    </row>
    <row r="1203" spans="1:10" ht="15" customHeight="1">
      <c r="A1203" s="2462"/>
      <c r="B1203" s="2601"/>
      <c r="C1203" s="2607"/>
      <c r="D1203" s="2601"/>
      <c r="E1203" s="2601"/>
      <c r="F1203" s="2607"/>
      <c r="G1203" s="2463"/>
      <c r="H1203" s="2463"/>
      <c r="I1203" s="2463"/>
      <c r="J1203" s="2610"/>
    </row>
    <row r="1204" spans="1:10" ht="15" customHeight="1">
      <c r="A1204" s="2462"/>
      <c r="B1204" s="2601"/>
      <c r="C1204" s="2607"/>
      <c r="D1204" s="2601"/>
      <c r="E1204" s="2601"/>
      <c r="F1204" s="2607"/>
      <c r="G1204" s="2463"/>
      <c r="H1204" s="2463"/>
      <c r="I1204" s="2463"/>
      <c r="J1204" s="2610"/>
    </row>
    <row r="1205" spans="1:10" ht="15" customHeight="1">
      <c r="A1205" s="2462"/>
      <c r="B1205" s="2601"/>
      <c r="C1205" s="2607"/>
      <c r="D1205" s="2601"/>
      <c r="E1205" s="2601"/>
      <c r="F1205" s="2607"/>
      <c r="G1205" s="2463"/>
      <c r="H1205" s="2463"/>
      <c r="I1205" s="2463"/>
      <c r="J1205" s="2610"/>
    </row>
  </sheetData>
  <customSheetViews>
    <customSheetView guid="{1BA452AD-1A45-4D9C-9666-ADFFA6F2F567}">
      <rowBreaks count="20" manualBreakCount="20">
        <brk id="55" max="8" man="1"/>
        <brk id="110" max="8" man="1"/>
        <brk id="165" max="8" man="1"/>
        <brk id="220" max="8" man="1"/>
        <brk id="275" max="8" man="1"/>
        <brk id="330" max="8" man="1"/>
        <brk id="385" max="8" man="1"/>
        <brk id="440" max="8" man="1"/>
        <brk id="495" max="8" man="1"/>
        <brk id="550" max="8" man="1"/>
        <brk id="605" max="8" man="1"/>
        <brk id="660" max="8" man="1"/>
        <brk id="715" max="8" man="1"/>
        <brk id="770" max="8" man="1"/>
        <brk id="825" max="8" man="1"/>
        <brk id="880" max="8" man="1"/>
        <brk id="935" max="8" man="1"/>
        <brk id="990" max="8" man="1"/>
        <brk id="1045" max="8" man="1"/>
        <brk id="1100" max="8" man="1"/>
      </rowBreaks>
      <pageMargins left="0.25" right="0.25" top="0.19652777777777777" bottom="0.19722222222222222" header="0" footer="0"/>
      <pageSetup scale="72" fitToHeight="21" orientation="landscape" r:id="rId1"/>
      <headerFooter alignWithMargins="0"/>
    </customSheetView>
    <customSheetView guid="{EEF7ABD6-0F96-4791-B749-C06F707E7673}" scale="87" showRuler="0" topLeftCell="A1120">
      <selection activeCell="C889" sqref="C889"/>
      <rowBreaks count="19" manualBreakCount="19">
        <brk id="110" max="8" man="1"/>
        <brk id="165" max="8" man="1"/>
        <brk id="220" max="8" man="1"/>
        <brk id="275" max="8" man="1"/>
        <brk id="330" max="8" man="1"/>
        <brk id="385" max="8" man="1"/>
        <brk id="440" max="8" man="1"/>
        <brk id="495" max="8" man="1"/>
        <brk id="550" max="8" man="1"/>
        <brk id="605" max="8" man="1"/>
        <brk id="660" max="8" man="1"/>
        <brk id="715" max="8" man="1"/>
        <brk id="770" max="8" man="1"/>
        <brk id="825" max="8" man="1"/>
        <brk id="880" max="8" man="1"/>
        <brk id="935" max="8" man="1"/>
        <brk id="990" max="8" man="1"/>
        <brk id="1045" max="8" man="1"/>
        <brk id="1100" max="8" man="1"/>
      </rowBreaks>
      <pageMargins left="0.25" right="0.25" top="0.19652777777777777" bottom="0.19722222222222222" header="0" footer="0"/>
      <pageSetup scale="72" fitToHeight="21" orientation="landscape" r:id="rId2"/>
      <headerFooter alignWithMargins="0"/>
    </customSheetView>
    <customSheetView guid="{4826FCC0-BDD6-4B2C-ACC6-ACE271DDF0E3}" scale="87" showRuler="0" topLeftCell="A1120">
      <selection activeCell="C889" sqref="C889"/>
      <rowBreaks count="19" manualBreakCount="19">
        <brk id="110" max="8" man="1"/>
        <brk id="165" max="8" man="1"/>
        <brk id="220" max="8" man="1"/>
        <brk id="275" max="8" man="1"/>
        <brk id="330" max="8" man="1"/>
        <brk id="385" max="8" man="1"/>
        <brk id="440" max="8" man="1"/>
        <brk id="495" max="8" man="1"/>
        <brk id="550" max="8" man="1"/>
        <brk id="605" max="8" man="1"/>
        <brk id="660" max="8" man="1"/>
        <brk id="715" max="8" man="1"/>
        <brk id="770" max="8" man="1"/>
        <brk id="825" max="8" man="1"/>
        <brk id="880" max="8" man="1"/>
        <brk id="935" max="8" man="1"/>
        <brk id="990" max="8" man="1"/>
        <brk id="1045" max="8" man="1"/>
        <brk id="1100" max="8" man="1"/>
      </rowBreaks>
      <pageMargins left="0.25" right="0.25" top="0.19652777777777777" bottom="0.19722222222222222" header="0" footer="0"/>
      <pageSetup scale="72" fitToHeight="21" orientation="landscape" r:id="rId3"/>
      <headerFooter alignWithMargins="0"/>
    </customSheetView>
    <customSheetView guid="{EF376D10-23D6-4FE2-AB5B-4460D52CC93F}" scale="87" showRuler="0" topLeftCell="A1120">
      <selection activeCell="C889" sqref="C889"/>
      <rowBreaks count="19" manualBreakCount="19">
        <brk id="110" max="8" man="1"/>
        <brk id="165" max="8" man="1"/>
        <brk id="220" max="8" man="1"/>
        <brk id="275" max="8" man="1"/>
        <brk id="330" max="8" man="1"/>
        <brk id="385" max="8" man="1"/>
        <brk id="440" max="8" man="1"/>
        <brk id="495" max="8" man="1"/>
        <brk id="550" max="8" man="1"/>
        <brk id="605" max="8" man="1"/>
        <brk id="660" max="8" man="1"/>
        <brk id="715" max="8" man="1"/>
        <brk id="770" max="8" man="1"/>
        <brk id="825" max="8" man="1"/>
        <brk id="880" max="8" man="1"/>
        <brk id="935" max="8" man="1"/>
        <brk id="990" max="8" man="1"/>
        <brk id="1045" max="8" man="1"/>
        <brk id="1100" max="8" man="1"/>
      </rowBreaks>
      <pageMargins left="0.25" right="0.25" top="0.19652777777777777" bottom="0.19722222222222222" header="0" footer="0"/>
      <pageSetup scale="72" fitToHeight="21" orientation="landscape" r:id="rId4"/>
      <headerFooter alignWithMargins="0"/>
    </customSheetView>
    <customSheetView guid="{1C046605-15CE-44F1-BFCD-2CA8588E7ACF}" scale="87" showRuler="0" topLeftCell="A589">
      <selection activeCell="C889" sqref="C889"/>
      <rowBreaks count="19" manualBreakCount="19">
        <brk id="110" max="8" man="1"/>
        <brk id="165" max="8" man="1"/>
        <brk id="220" max="8" man="1"/>
        <brk id="275" max="8" man="1"/>
        <brk id="330" max="8" man="1"/>
        <brk id="385" max="8" man="1"/>
        <brk id="440" max="8" man="1"/>
        <brk id="495" max="8" man="1"/>
        <brk id="550" max="8" man="1"/>
        <brk id="605" max="8" man="1"/>
        <brk id="660" max="8" man="1"/>
        <brk id="715" max="8" man="1"/>
        <brk id="770" max="8" man="1"/>
        <brk id="825" max="8" man="1"/>
        <brk id="880" max="8" man="1"/>
        <brk id="935" max="8" man="1"/>
        <brk id="990" max="8" man="1"/>
        <brk id="1045" max="8" man="1"/>
        <brk id="1100" max="8" man="1"/>
      </rowBreaks>
      <pageMargins left="0.25" right="0.25" top="0.19652777777777777" bottom="0.19722222222222222" header="0" footer="0"/>
      <pageSetup scale="72" fitToHeight="21" orientation="landscape" r:id="rId5"/>
      <headerFooter alignWithMargins="0"/>
    </customSheetView>
    <customSheetView guid="{3911D713-188C-46A1-A299-F21DD3B7A146}" scale="87" showRuler="0" topLeftCell="A589">
      <selection activeCell="C889" sqref="C889"/>
      <rowBreaks count="19" manualBreakCount="19">
        <brk id="110" max="8" man="1"/>
        <brk id="165" max="8" man="1"/>
        <brk id="220" max="8" man="1"/>
        <brk id="275" max="8" man="1"/>
        <brk id="330" max="8" man="1"/>
        <brk id="385" max="8" man="1"/>
        <brk id="440" max="8" man="1"/>
        <brk id="495" max="8" man="1"/>
        <brk id="550" max="8" man="1"/>
        <brk id="605" max="8" man="1"/>
        <brk id="660" max="8" man="1"/>
        <brk id="715" max="8" man="1"/>
        <brk id="770" max="8" man="1"/>
        <brk id="825" max="8" man="1"/>
        <brk id="880" max="8" man="1"/>
        <brk id="935" max="8" man="1"/>
        <brk id="990" max="8" man="1"/>
        <brk id="1045" max="8" man="1"/>
        <brk id="1100" max="8" man="1"/>
      </rowBreaks>
      <pageMargins left="0.25" right="0.25" top="0.19652777777777777" bottom="0.19722222222222222" header="0" footer="0"/>
      <pageSetup scale="72" fitToHeight="21" orientation="landscape" r:id="rId6"/>
      <headerFooter alignWithMargins="0"/>
    </customSheetView>
    <customSheetView guid="{78BB1E60-60BE-4F56-9763-075185EFEFAB}">
      <rowBreaks count="20" manualBreakCount="20">
        <brk id="55" max="8" man="1"/>
        <brk id="110" max="8" man="1"/>
        <brk id="165" max="8" man="1"/>
        <brk id="220" max="8" man="1"/>
        <brk id="275" max="8" man="1"/>
        <brk id="330" max="8" man="1"/>
        <brk id="385" max="8" man="1"/>
        <brk id="440" max="8" man="1"/>
        <brk id="495" max="8" man="1"/>
        <brk id="550" max="8" man="1"/>
        <brk id="605" max="8" man="1"/>
        <brk id="660" max="8" man="1"/>
        <brk id="715" max="8" man="1"/>
        <brk id="770" max="8" man="1"/>
        <brk id="825" max="8" man="1"/>
        <brk id="880" max="8" man="1"/>
        <brk id="935" max="8" man="1"/>
        <brk id="990" max="8" man="1"/>
        <brk id="1045" max="8" man="1"/>
        <brk id="1100" max="8" man="1"/>
      </rowBreaks>
      <pageMargins left="0.25" right="0.25" top="0.19652777777777777" bottom="0.19722222222222222" header="0" footer="0"/>
      <pageSetup scale="72" fitToHeight="21" orientation="landscape" r:id="rId7"/>
      <headerFooter alignWithMargins="0"/>
    </customSheetView>
    <customSheetView guid="{9C30803E-1E2D-4850-B0A5-591CA6F246A1}">
      <rowBreaks count="20" manualBreakCount="20">
        <brk id="55" max="8" man="1"/>
        <brk id="110" max="8" man="1"/>
        <brk id="165" max="8" man="1"/>
        <brk id="220" max="8" man="1"/>
        <brk id="275" max="8" man="1"/>
        <brk id="330" max="8" man="1"/>
        <brk id="385" max="8" man="1"/>
        <brk id="440" max="8" man="1"/>
        <brk id="495" max="8" man="1"/>
        <brk id="550" max="8" man="1"/>
        <brk id="605" max="8" man="1"/>
        <brk id="660" max="8" man="1"/>
        <brk id="715" max="8" man="1"/>
        <brk id="770" max="8" man="1"/>
        <brk id="825" max="8" man="1"/>
        <brk id="880" max="8" man="1"/>
        <brk id="935" max="8" man="1"/>
        <brk id="990" max="8" man="1"/>
        <brk id="1045" max="8" man="1"/>
        <brk id="1100" max="8" man="1"/>
      </rowBreaks>
      <pageMargins left="0.25" right="0.25" top="0.19652777777777777" bottom="0.19722222222222222" header="0" footer="0"/>
      <pageSetup scale="72" fitToHeight="21" orientation="landscape" r:id="rId8"/>
      <headerFooter alignWithMargins="0"/>
    </customSheetView>
    <customSheetView guid="{3B1006FF-A2CA-49E7-9B25-DAC8815279AF}">
      <rowBreaks count="20" manualBreakCount="20">
        <brk id="55" max="8" man="1"/>
        <brk id="110" max="8" man="1"/>
        <brk id="165" max="8" man="1"/>
        <brk id="220" max="8" man="1"/>
        <brk id="275" max="8" man="1"/>
        <brk id="330" max="8" man="1"/>
        <brk id="385" max="8" man="1"/>
        <brk id="440" max="8" man="1"/>
        <brk id="495" max="8" man="1"/>
        <brk id="550" max="8" man="1"/>
        <brk id="605" max="8" man="1"/>
        <brk id="660" max="8" man="1"/>
        <brk id="715" max="8" man="1"/>
        <brk id="770" max="8" man="1"/>
        <brk id="825" max="8" man="1"/>
        <brk id="880" max="8" man="1"/>
        <brk id="935" max="8" man="1"/>
        <brk id="990" max="8" man="1"/>
        <brk id="1045" max="8" man="1"/>
        <brk id="1100" max="8" man="1"/>
      </rowBreaks>
      <pageMargins left="0.25" right="0.25" top="0.19652777777777777" bottom="0.19722222222222222" header="0" footer="0"/>
      <pageSetup scale="72" fitToHeight="21" orientation="landscape" r:id="rId9"/>
      <headerFooter alignWithMargins="0"/>
    </customSheetView>
    <customSheetView guid="{FB1A60C8-E1F9-4DF0-8E0E-1C965F86027F}">
      <rowBreaks count="20" manualBreakCount="20">
        <brk id="55" max="8" man="1"/>
        <brk id="110" max="8" man="1"/>
        <brk id="165" max="8" man="1"/>
        <brk id="220" max="8" man="1"/>
        <brk id="275" max="8" man="1"/>
        <brk id="330" max="8" man="1"/>
        <brk id="385" max="8" man="1"/>
        <brk id="440" max="8" man="1"/>
        <brk id="495" max="8" man="1"/>
        <brk id="550" max="8" man="1"/>
        <brk id="605" max="8" man="1"/>
        <brk id="660" max="8" man="1"/>
        <brk id="715" max="8" man="1"/>
        <brk id="770" max="8" man="1"/>
        <brk id="825" max="8" man="1"/>
        <brk id="880" max="8" man="1"/>
        <brk id="935" max="8" man="1"/>
        <brk id="990" max="8" man="1"/>
        <brk id="1045" max="8" man="1"/>
        <brk id="1100" max="8" man="1"/>
      </rowBreaks>
      <pageMargins left="0.25" right="0.25" top="0.19652777777777777" bottom="0.19722222222222222" header="0" footer="0"/>
      <pageSetup scale="72" fitToHeight="21" orientation="landscape" r:id="rId10"/>
      <headerFooter alignWithMargins="0"/>
    </customSheetView>
    <customSheetView guid="{C5B6D812-CBE6-46AA-99F7-02494E9802B4}" scale="70" topLeftCell="A1112">
      <selection activeCell="C10" sqref="C10"/>
      <rowBreaks count="20" manualBreakCount="20">
        <brk id="55" max="8" man="1"/>
        <brk id="110" max="8" man="1"/>
        <brk id="165" max="8" man="1"/>
        <brk id="220" max="8" man="1"/>
        <brk id="275" max="8" man="1"/>
        <brk id="330" max="8" man="1"/>
        <brk id="385" max="8" man="1"/>
        <brk id="440" max="8" man="1"/>
        <brk id="495" max="8" man="1"/>
        <brk id="550" max="8" man="1"/>
        <brk id="605" max="8" man="1"/>
        <brk id="660" max="8" man="1"/>
        <brk id="715" max="8" man="1"/>
        <brk id="770" max="8" man="1"/>
        <brk id="825" max="8" man="1"/>
        <brk id="880" max="8" man="1"/>
        <brk id="935" max="8" man="1"/>
        <brk id="990" max="8" man="1"/>
        <brk id="1045" max="8" man="1"/>
        <brk id="1100" max="8" man="1"/>
      </rowBreaks>
      <pageMargins left="0.25" right="0.25" top="0.19652777777777777" bottom="0.19722222222222222" header="0" footer="0"/>
      <pageSetup scale="72" fitToHeight="21" orientation="landscape" r:id="rId11"/>
      <headerFooter alignWithMargins="0"/>
    </customSheetView>
  </customSheetViews>
  <phoneticPr fontId="0" type="noConversion"/>
  <pageMargins left="0.25" right="0.25" top="0.19652777777777777" bottom="0.19722222222222222" header="0" footer="0"/>
  <pageSetup scale="72" fitToHeight="21" orientation="landscape" r:id="rId12"/>
  <headerFooter alignWithMargins="0"/>
  <rowBreaks count="20" manualBreakCount="20">
    <brk id="55" max="8" man="1"/>
    <brk id="110" max="8" man="1"/>
    <brk id="165" max="8" man="1"/>
    <brk id="220" max="8" man="1"/>
    <brk id="275" max="8" man="1"/>
    <brk id="330" max="8" man="1"/>
    <brk id="385" max="8" man="1"/>
    <brk id="440" max="8" man="1"/>
    <brk id="495" max="8" man="1"/>
    <brk id="550" max="8" man="1"/>
    <brk id="605" max="8" man="1"/>
    <brk id="660" max="8" man="1"/>
    <brk id="715" max="8" man="1"/>
    <brk id="770" max="8" man="1"/>
    <brk id="825" max="8" man="1"/>
    <brk id="880" max="8" man="1"/>
    <brk id="935" max="8" man="1"/>
    <brk id="990" max="8" man="1"/>
    <brk id="1045" max="8" man="1"/>
    <brk id="1100" max="8" man="1"/>
  </rowBreaks>
  <customProperties>
    <customPr name="_pios_id" r:id="rId13"/>
  </customProperties>
</worksheet>
</file>

<file path=xl/worksheets/sheet78.xml><?xml version="1.0" encoding="utf-8"?>
<worksheet xmlns="http://schemas.openxmlformats.org/spreadsheetml/2006/main" xmlns:r="http://schemas.openxmlformats.org/officeDocument/2006/relationships">
  <sheetPr transitionEvaluation="1" codeName="Sheet77" enableFormatConditionsCalculation="0">
    <pageSetUpPr fitToPage="1"/>
  </sheetPr>
  <dimension ref="A1:K99"/>
  <sheetViews>
    <sheetView defaultGridColor="0" colorId="22" zoomScale="70" zoomScaleNormal="70" workbookViewId="0"/>
  </sheetViews>
  <sheetFormatPr defaultColWidth="9.6640625" defaultRowHeight="15"/>
  <cols>
    <col min="1" max="1" width="6.6640625" style="2447" customWidth="1"/>
    <col min="2" max="2" width="21.6640625" style="2447" customWidth="1"/>
    <col min="3" max="3" width="10.6640625" style="2447" customWidth="1"/>
    <col min="4" max="5" width="12.6640625" style="2447" customWidth="1"/>
    <col min="6" max="6" width="26.6640625" style="2447" customWidth="1"/>
    <col min="7" max="7" width="12.6640625" style="2447" customWidth="1"/>
    <col min="8" max="8" width="14.6640625" style="2447" customWidth="1"/>
    <col min="9" max="10" width="12.6640625" style="2447" customWidth="1"/>
    <col min="11" max="16384" width="9.6640625" style="2447"/>
  </cols>
  <sheetData>
    <row r="1" spans="1:11" ht="12.95" customHeight="1" thickBot="1">
      <c r="A1" s="2444" t="str">
        <f>+'Data sheet'!A53</f>
        <v>Annual Report of New York American Water Company, Inc. (f/k/a Long Island Water Corp)                                   Year Ended  December 31, 2013</v>
      </c>
    </row>
    <row r="2" spans="1:11" ht="12.95" customHeight="1">
      <c r="A2" s="2448"/>
      <c r="B2" s="2449"/>
      <c r="C2" s="2449"/>
      <c r="D2" s="2449"/>
      <c r="E2" s="2449"/>
      <c r="F2" s="2449"/>
      <c r="G2" s="2449"/>
      <c r="H2" s="2449"/>
      <c r="I2" s="2449"/>
      <c r="J2" s="2450"/>
      <c r="K2" s="2452"/>
    </row>
    <row r="3" spans="1:11" ht="12.95" customHeight="1">
      <c r="A3" s="2452" t="s">
        <v>3057</v>
      </c>
      <c r="B3" s="2451"/>
      <c r="C3" s="2451"/>
      <c r="D3" s="2451"/>
      <c r="E3" s="2451"/>
      <c r="F3" s="2451"/>
      <c r="G3" s="2451"/>
      <c r="H3" s="2451"/>
      <c r="I3" s="2451"/>
      <c r="J3" s="2453"/>
      <c r="K3" s="2452"/>
    </row>
    <row r="4" spans="1:11" ht="12.95" customHeight="1">
      <c r="A4" s="2452"/>
      <c r="B4" s="2451"/>
      <c r="C4" s="2451"/>
      <c r="D4" s="2451"/>
      <c r="E4" s="2451"/>
      <c r="F4" s="2451"/>
      <c r="G4" s="2451"/>
      <c r="H4" s="2451"/>
      <c r="I4" s="2451"/>
      <c r="J4" s="2453"/>
      <c r="K4" s="2452"/>
    </row>
    <row r="5" spans="1:11" ht="12.95" customHeight="1">
      <c r="A5" s="2452"/>
      <c r="B5" s="2451" t="s">
        <v>3058</v>
      </c>
      <c r="C5" s="2451"/>
      <c r="D5" s="2451"/>
      <c r="E5" s="2451"/>
      <c r="F5" s="2451" t="s">
        <v>1116</v>
      </c>
      <c r="G5" s="2451"/>
      <c r="H5" s="2451"/>
      <c r="I5" s="2451"/>
      <c r="J5" s="2453"/>
      <c r="K5" s="2452"/>
    </row>
    <row r="6" spans="1:11" ht="12.95" customHeight="1">
      <c r="A6" s="2452"/>
      <c r="B6" s="2451" t="s">
        <v>1117</v>
      </c>
      <c r="C6" s="2451"/>
      <c r="D6" s="2451"/>
      <c r="E6" s="2451"/>
      <c r="F6" s="2451" t="s">
        <v>1118</v>
      </c>
      <c r="G6" s="2451"/>
      <c r="H6" s="2451"/>
      <c r="I6" s="2451"/>
      <c r="J6" s="2453"/>
      <c r="K6" s="2452"/>
    </row>
    <row r="7" spans="1:11" ht="12.95" customHeight="1">
      <c r="A7" s="2452"/>
      <c r="B7" s="2451"/>
      <c r="C7" s="2451"/>
      <c r="D7" s="2451"/>
      <c r="E7" s="2451"/>
      <c r="F7" s="2451" t="s">
        <v>1119</v>
      </c>
      <c r="G7" s="2451"/>
      <c r="H7" s="2451"/>
      <c r="I7" s="2451"/>
      <c r="J7" s="2453"/>
      <c r="K7" s="2452"/>
    </row>
    <row r="8" spans="1:11" ht="12.95" customHeight="1">
      <c r="A8" s="2452"/>
      <c r="B8" s="2451" t="s">
        <v>1120</v>
      </c>
      <c r="C8" s="2451"/>
      <c r="D8" s="2451"/>
      <c r="E8" s="2451"/>
      <c r="F8" s="2451"/>
      <c r="G8" s="2451"/>
      <c r="H8" s="2451"/>
      <c r="I8" s="2451"/>
      <c r="J8" s="2453"/>
      <c r="K8" s="2452"/>
    </row>
    <row r="9" spans="1:11" ht="12.95" customHeight="1">
      <c r="A9" s="2452"/>
      <c r="B9" s="2451" t="s">
        <v>1121</v>
      </c>
      <c r="C9" s="2451"/>
      <c r="D9" s="2451"/>
      <c r="E9" s="2451"/>
      <c r="F9" s="2451"/>
      <c r="G9" s="2451"/>
      <c r="H9" s="2451"/>
      <c r="I9" s="2451"/>
      <c r="J9" s="2453"/>
      <c r="K9" s="2452"/>
    </row>
    <row r="10" spans="1:11" ht="12.95" customHeight="1">
      <c r="A10" s="2452"/>
      <c r="B10" s="2451"/>
      <c r="C10" s="2451"/>
      <c r="D10" s="2451"/>
      <c r="E10" s="2451"/>
      <c r="F10" s="2451"/>
      <c r="G10" s="2451"/>
      <c r="H10" s="2451"/>
      <c r="I10" s="2451"/>
      <c r="J10" s="2453"/>
      <c r="K10" s="2452"/>
    </row>
    <row r="11" spans="1:11" ht="12.95" customHeight="1">
      <c r="A11" s="2452"/>
      <c r="B11" s="2451"/>
      <c r="C11" s="2451"/>
      <c r="D11" s="2451"/>
      <c r="E11" s="2451"/>
      <c r="F11" s="2451"/>
      <c r="G11" s="2451"/>
      <c r="H11" s="2451"/>
      <c r="I11" s="2451"/>
      <c r="J11" s="2453"/>
      <c r="K11" s="2452"/>
    </row>
    <row r="12" spans="1:11" ht="12.95" customHeight="1">
      <c r="A12" s="2492"/>
      <c r="B12" s="2464" t="s">
        <v>3026</v>
      </c>
      <c r="C12" s="2464" t="s">
        <v>4223</v>
      </c>
      <c r="D12" s="2464"/>
      <c r="E12" s="2464" t="s">
        <v>3022</v>
      </c>
      <c r="F12" s="2464"/>
      <c r="G12" s="2464" t="s">
        <v>1122</v>
      </c>
      <c r="H12" s="2464" t="s">
        <v>1123</v>
      </c>
      <c r="I12" s="2464" t="s">
        <v>2002</v>
      </c>
      <c r="J12" s="2458" t="s">
        <v>4018</v>
      </c>
      <c r="K12" s="2452"/>
    </row>
    <row r="13" spans="1:11" ht="12.95" customHeight="1">
      <c r="A13" s="2462" t="s">
        <v>1939</v>
      </c>
      <c r="B13" s="2463" t="s">
        <v>4226</v>
      </c>
      <c r="C13" s="2463" t="s">
        <v>4019</v>
      </c>
      <c r="D13" s="2463" t="s">
        <v>2616</v>
      </c>
      <c r="E13" s="2463" t="s">
        <v>2823</v>
      </c>
      <c r="F13" s="2463" t="s">
        <v>4020</v>
      </c>
      <c r="G13" s="2463" t="s">
        <v>3975</v>
      </c>
      <c r="H13" s="2463" t="s">
        <v>4021</v>
      </c>
      <c r="I13" s="2463" t="s">
        <v>3754</v>
      </c>
      <c r="J13" s="2461" t="s">
        <v>4022</v>
      </c>
      <c r="K13" s="2452"/>
    </row>
    <row r="14" spans="1:11" ht="12.95" customHeight="1">
      <c r="A14" s="2462" t="s">
        <v>1941</v>
      </c>
      <c r="B14" s="2463" t="s">
        <v>4400</v>
      </c>
      <c r="C14" s="2463" t="s">
        <v>3039</v>
      </c>
      <c r="D14" s="2463"/>
      <c r="E14" s="2463"/>
      <c r="F14" s="2463"/>
      <c r="G14" s="2463" t="s">
        <v>4023</v>
      </c>
      <c r="H14" s="2463"/>
      <c r="I14" s="2463"/>
      <c r="J14" s="2461" t="s">
        <v>4024</v>
      </c>
      <c r="K14" s="2452"/>
    </row>
    <row r="15" spans="1:11" ht="12.95" customHeight="1">
      <c r="A15" s="2462"/>
      <c r="B15" s="2463" t="s">
        <v>932</v>
      </c>
      <c r="C15" s="2463" t="s">
        <v>933</v>
      </c>
      <c r="D15" s="2463" t="s">
        <v>934</v>
      </c>
      <c r="E15" s="2463" t="s">
        <v>935</v>
      </c>
      <c r="F15" s="2463" t="s">
        <v>936</v>
      </c>
      <c r="G15" s="2463" t="s">
        <v>937</v>
      </c>
      <c r="H15" s="2463" t="s">
        <v>938</v>
      </c>
      <c r="I15" s="2463" t="s">
        <v>939</v>
      </c>
      <c r="J15" s="2461" t="s">
        <v>4484</v>
      </c>
      <c r="K15" s="2452"/>
    </row>
    <row r="16" spans="1:11" ht="12.95" customHeight="1">
      <c r="A16" s="2492">
        <v>1</v>
      </c>
      <c r="B16" s="2595" t="s">
        <v>1018</v>
      </c>
      <c r="C16" s="2595"/>
      <c r="D16" s="2595"/>
      <c r="E16" s="2595"/>
      <c r="F16" s="2595"/>
      <c r="G16" s="2595"/>
      <c r="H16" s="2595"/>
      <c r="I16" s="2595"/>
      <c r="J16" s="2617"/>
      <c r="K16" s="2452"/>
    </row>
    <row r="17" spans="1:11" ht="12.95" customHeight="1">
      <c r="A17" s="2462">
        <v>2</v>
      </c>
      <c r="B17" s="2599" t="s">
        <v>4297</v>
      </c>
      <c r="C17" s="2601" t="s">
        <v>1788</v>
      </c>
      <c r="D17" s="2601" t="s">
        <v>4303</v>
      </c>
      <c r="E17" s="2601" t="s">
        <v>3104</v>
      </c>
      <c r="F17" s="2599" t="s">
        <v>4274</v>
      </c>
      <c r="G17" s="2601" t="s">
        <v>4275</v>
      </c>
      <c r="H17" s="2599" t="s">
        <v>4174</v>
      </c>
      <c r="I17" s="2601" t="s">
        <v>4175</v>
      </c>
      <c r="J17" s="2602" t="s">
        <v>4176</v>
      </c>
      <c r="K17" s="2452"/>
    </row>
    <row r="18" spans="1:11" ht="12.95" customHeight="1">
      <c r="A18" s="2462">
        <v>3</v>
      </c>
      <c r="B18" s="2599" t="s">
        <v>4298</v>
      </c>
      <c r="C18" s="2601" t="s">
        <v>3380</v>
      </c>
      <c r="D18" s="2601" t="s">
        <v>4303</v>
      </c>
      <c r="E18" s="2601" t="s">
        <v>3381</v>
      </c>
      <c r="F18" s="2599" t="s">
        <v>4276</v>
      </c>
      <c r="G18" s="2601" t="s">
        <v>2440</v>
      </c>
      <c r="H18" s="2599" t="s">
        <v>4177</v>
      </c>
      <c r="I18" s="2601" t="s">
        <v>4178</v>
      </c>
      <c r="J18" s="2602" t="s">
        <v>4179</v>
      </c>
      <c r="K18" s="2452"/>
    </row>
    <row r="19" spans="1:11" ht="12.95" customHeight="1">
      <c r="A19" s="2462">
        <v>4</v>
      </c>
      <c r="B19" s="2599"/>
      <c r="C19" s="2599"/>
      <c r="D19" s="2599"/>
      <c r="E19" s="2599"/>
      <c r="F19" s="2599" t="s">
        <v>4277</v>
      </c>
      <c r="G19" s="2599"/>
      <c r="H19" s="2599"/>
      <c r="I19" s="2599"/>
      <c r="J19" s="2618"/>
      <c r="K19" s="2452"/>
    </row>
    <row r="20" spans="1:11" ht="12.95" customHeight="1">
      <c r="A20" s="2462">
        <v>5</v>
      </c>
      <c r="B20" s="2599" t="s">
        <v>4299</v>
      </c>
      <c r="C20" s="2601" t="s">
        <v>3382</v>
      </c>
      <c r="D20" s="2601" t="s">
        <v>3383</v>
      </c>
      <c r="E20" s="2601" t="s">
        <v>3384</v>
      </c>
      <c r="F20" s="2599" t="s">
        <v>4278</v>
      </c>
      <c r="G20" s="2601" t="s">
        <v>2440</v>
      </c>
      <c r="H20" s="2599" t="s">
        <v>4180</v>
      </c>
      <c r="I20" s="2601" t="s">
        <v>4181</v>
      </c>
      <c r="J20" s="2602" t="s">
        <v>4179</v>
      </c>
      <c r="K20" s="2452"/>
    </row>
    <row r="21" spans="1:11" ht="12.95" customHeight="1">
      <c r="A21" s="2462">
        <v>6</v>
      </c>
      <c r="B21" s="2599" t="s">
        <v>4299</v>
      </c>
      <c r="C21" s="2601" t="s">
        <v>3385</v>
      </c>
      <c r="D21" s="2601" t="s">
        <v>3383</v>
      </c>
      <c r="E21" s="2601" t="s">
        <v>3386</v>
      </c>
      <c r="F21" s="2599" t="s">
        <v>4279</v>
      </c>
      <c r="G21" s="2601" t="s">
        <v>4275</v>
      </c>
      <c r="H21" s="2599" t="s">
        <v>4182</v>
      </c>
      <c r="I21" s="2601" t="s">
        <v>4175</v>
      </c>
      <c r="J21" s="2602" t="s">
        <v>4179</v>
      </c>
      <c r="K21" s="2452"/>
    </row>
    <row r="22" spans="1:11" ht="12.95" customHeight="1">
      <c r="A22" s="2462">
        <v>7</v>
      </c>
      <c r="B22" s="2599"/>
      <c r="C22" s="2599"/>
      <c r="D22" s="2599"/>
      <c r="E22" s="2599"/>
      <c r="F22" s="2601" t="s">
        <v>4280</v>
      </c>
      <c r="G22" s="2599"/>
      <c r="H22" s="2599" t="s">
        <v>4373</v>
      </c>
      <c r="I22" s="2599"/>
      <c r="J22" s="2618"/>
      <c r="K22" s="2452"/>
    </row>
    <row r="23" spans="1:11" ht="12.95" customHeight="1">
      <c r="A23" s="2462">
        <v>8</v>
      </c>
      <c r="B23" s="2599" t="s">
        <v>4300</v>
      </c>
      <c r="C23" s="2601" t="s">
        <v>3387</v>
      </c>
      <c r="D23" s="2601" t="s">
        <v>4303</v>
      </c>
      <c r="E23" s="2601" t="s">
        <v>4148</v>
      </c>
      <c r="F23" s="2599" t="s">
        <v>4279</v>
      </c>
      <c r="G23" s="2601" t="s">
        <v>4275</v>
      </c>
      <c r="H23" s="2599" t="s">
        <v>4183</v>
      </c>
      <c r="I23" s="2601" t="s">
        <v>4184</v>
      </c>
      <c r="J23" s="2602" t="s">
        <v>4176</v>
      </c>
      <c r="K23" s="2452"/>
    </row>
    <row r="24" spans="1:11" ht="12.95" customHeight="1">
      <c r="A24" s="2462">
        <v>9</v>
      </c>
      <c r="B24" s="2599" t="s">
        <v>4299</v>
      </c>
      <c r="C24" s="2601" t="s">
        <v>3387</v>
      </c>
      <c r="D24" s="2601" t="s">
        <v>3383</v>
      </c>
      <c r="E24" s="2601" t="s">
        <v>4489</v>
      </c>
      <c r="F24" s="2599" t="s">
        <v>4490</v>
      </c>
      <c r="G24" s="2601" t="s">
        <v>2440</v>
      </c>
      <c r="H24" s="2599" t="s">
        <v>4183</v>
      </c>
      <c r="I24" s="2601" t="s">
        <v>4184</v>
      </c>
      <c r="J24" s="2602" t="s">
        <v>4179</v>
      </c>
      <c r="K24" s="2452"/>
    </row>
    <row r="25" spans="1:11" ht="12.95" customHeight="1">
      <c r="A25" s="2462">
        <v>10</v>
      </c>
      <c r="B25" s="2599" t="s">
        <v>4299</v>
      </c>
      <c r="C25" s="2601" t="s">
        <v>3388</v>
      </c>
      <c r="D25" s="2601" t="s">
        <v>3383</v>
      </c>
      <c r="E25" s="2601" t="s">
        <v>5316</v>
      </c>
      <c r="F25" s="2599" t="s">
        <v>4490</v>
      </c>
      <c r="G25" s="2601" t="s">
        <v>2440</v>
      </c>
      <c r="H25" s="2599" t="s">
        <v>4185</v>
      </c>
      <c r="I25" s="2601" t="s">
        <v>3115</v>
      </c>
      <c r="J25" s="2602" t="s">
        <v>4179</v>
      </c>
      <c r="K25" s="2452"/>
    </row>
    <row r="26" spans="1:11" ht="12.95" customHeight="1">
      <c r="A26" s="2462">
        <v>11</v>
      </c>
      <c r="B26" s="2599" t="s">
        <v>4299</v>
      </c>
      <c r="C26" s="2601" t="s">
        <v>3388</v>
      </c>
      <c r="D26" s="2601" t="s">
        <v>3383</v>
      </c>
      <c r="E26" s="2601" t="s">
        <v>2441</v>
      </c>
      <c r="F26" s="2599" t="s">
        <v>4279</v>
      </c>
      <c r="G26" s="2601" t="s">
        <v>2440</v>
      </c>
      <c r="H26" s="2599" t="s">
        <v>4185</v>
      </c>
      <c r="I26" s="2601" t="s">
        <v>3115</v>
      </c>
      <c r="J26" s="2602" t="s">
        <v>4179</v>
      </c>
      <c r="K26" s="2452"/>
    </row>
    <row r="27" spans="1:11" ht="12.95" customHeight="1">
      <c r="A27" s="2462">
        <v>12</v>
      </c>
      <c r="B27" s="2599" t="s">
        <v>4301</v>
      </c>
      <c r="C27" s="2601" t="s">
        <v>3389</v>
      </c>
      <c r="D27" s="2601" t="s">
        <v>3383</v>
      </c>
      <c r="E27" s="2601" t="s">
        <v>3390</v>
      </c>
      <c r="F27" s="2599" t="s">
        <v>4281</v>
      </c>
      <c r="G27" s="2601" t="s">
        <v>2440</v>
      </c>
      <c r="H27" s="2599" t="s">
        <v>4186</v>
      </c>
      <c r="I27" s="2601" t="s">
        <v>4184</v>
      </c>
      <c r="J27" s="2602" t="s">
        <v>4179</v>
      </c>
      <c r="K27" s="2452"/>
    </row>
    <row r="28" spans="1:11" ht="12.95" customHeight="1">
      <c r="A28" s="2462">
        <v>13</v>
      </c>
      <c r="B28" s="2599" t="s">
        <v>4302</v>
      </c>
      <c r="C28" s="2601" t="s">
        <v>3391</v>
      </c>
      <c r="D28" s="2601" t="s">
        <v>3383</v>
      </c>
      <c r="E28" s="2601" t="s">
        <v>3392</v>
      </c>
      <c r="F28" s="2599" t="s">
        <v>4279</v>
      </c>
      <c r="G28" s="2601" t="s">
        <v>2440</v>
      </c>
      <c r="H28" s="2599" t="s">
        <v>4187</v>
      </c>
      <c r="I28" s="2601" t="s">
        <v>4184</v>
      </c>
      <c r="J28" s="2602" t="s">
        <v>4179</v>
      </c>
      <c r="K28" s="2452"/>
    </row>
    <row r="29" spans="1:11" ht="12.95" customHeight="1">
      <c r="A29" s="2462">
        <v>14</v>
      </c>
      <c r="B29" s="2599"/>
      <c r="C29" s="2599"/>
      <c r="D29" s="2599"/>
      <c r="E29" s="2599"/>
      <c r="F29" s="2601" t="s">
        <v>4280</v>
      </c>
      <c r="G29" s="2599"/>
      <c r="H29" s="2599"/>
      <c r="I29" s="2599"/>
      <c r="J29" s="2618"/>
      <c r="K29" s="2452"/>
    </row>
    <row r="30" spans="1:11" ht="12.95" customHeight="1">
      <c r="A30" s="2462">
        <v>15</v>
      </c>
      <c r="B30" s="2599"/>
      <c r="C30" s="2599"/>
      <c r="D30" s="2599"/>
      <c r="E30" s="2599"/>
      <c r="F30" s="2599"/>
      <c r="G30" s="2599"/>
      <c r="H30" s="2599"/>
      <c r="I30" s="2599"/>
      <c r="J30" s="2618"/>
      <c r="K30" s="2452"/>
    </row>
    <row r="31" spans="1:11" ht="12.95" customHeight="1">
      <c r="A31" s="2462">
        <v>16</v>
      </c>
      <c r="B31" s="2571"/>
      <c r="C31" s="2571"/>
      <c r="D31" s="2571"/>
      <c r="E31" s="2571"/>
      <c r="F31" s="2571"/>
      <c r="G31" s="2571"/>
      <c r="H31" s="2571"/>
      <c r="I31" s="2571"/>
      <c r="J31" s="2574"/>
      <c r="K31" s="2452"/>
    </row>
    <row r="32" spans="1:11" ht="12.95" customHeight="1">
      <c r="A32" s="2462">
        <v>17</v>
      </c>
      <c r="B32" s="2571"/>
      <c r="C32" s="2571"/>
      <c r="D32" s="2571"/>
      <c r="E32" s="2571"/>
      <c r="F32" s="2571"/>
      <c r="G32" s="2571"/>
      <c r="H32" s="2571"/>
      <c r="I32" s="2571"/>
      <c r="J32" s="2574"/>
      <c r="K32" s="2452"/>
    </row>
    <row r="33" spans="1:11" ht="12.95" customHeight="1">
      <c r="A33" s="2462">
        <v>18</v>
      </c>
      <c r="B33" s="2571"/>
      <c r="C33" s="2571"/>
      <c r="D33" s="2571"/>
      <c r="E33" s="2571"/>
      <c r="F33" s="2571"/>
      <c r="G33" s="2571"/>
      <c r="H33" s="2571"/>
      <c r="I33" s="2571"/>
      <c r="J33" s="2574"/>
      <c r="K33" s="2452"/>
    </row>
    <row r="34" spans="1:11" ht="12.95" customHeight="1">
      <c r="A34" s="2462">
        <v>19</v>
      </c>
      <c r="B34" s="2446"/>
      <c r="C34" s="2446"/>
      <c r="D34" s="2446"/>
      <c r="E34" s="2446"/>
      <c r="F34" s="2446"/>
      <c r="G34" s="2446"/>
      <c r="H34" s="2446"/>
      <c r="I34" s="2446"/>
      <c r="J34" s="2505"/>
      <c r="K34" s="2452"/>
    </row>
    <row r="35" spans="1:11" ht="12.95" customHeight="1">
      <c r="A35" s="2462">
        <v>20</v>
      </c>
      <c r="B35" s="2446"/>
      <c r="C35" s="2446"/>
      <c r="D35" s="2446"/>
      <c r="E35" s="2446"/>
      <c r="F35" s="2446"/>
      <c r="G35" s="2446"/>
      <c r="H35" s="2446"/>
      <c r="I35" s="2446"/>
      <c r="J35" s="2505"/>
      <c r="K35" s="2452"/>
    </row>
    <row r="36" spans="1:11" ht="12.95" customHeight="1">
      <c r="A36" s="2462">
        <v>21</v>
      </c>
      <c r="B36" s="2446"/>
      <c r="C36" s="2446"/>
      <c r="D36" s="2446"/>
      <c r="E36" s="2446"/>
      <c r="F36" s="2446"/>
      <c r="G36" s="2446"/>
      <c r="H36" s="2446"/>
      <c r="I36" s="2446"/>
      <c r="J36" s="2505"/>
      <c r="K36" s="2452"/>
    </row>
    <row r="37" spans="1:11" ht="12.95" customHeight="1">
      <c r="A37" s="2462">
        <v>22</v>
      </c>
      <c r="B37" s="2446"/>
      <c r="C37" s="2446"/>
      <c r="D37" s="2446"/>
      <c r="E37" s="2446"/>
      <c r="F37" s="2446"/>
      <c r="G37" s="2446"/>
      <c r="H37" s="2446"/>
      <c r="I37" s="2446"/>
      <c r="J37" s="2505"/>
      <c r="K37" s="2452"/>
    </row>
    <row r="38" spans="1:11" ht="12.95" customHeight="1">
      <c r="A38" s="2462">
        <v>23</v>
      </c>
      <c r="B38" s="2446"/>
      <c r="C38" s="2446"/>
      <c r="D38" s="2446"/>
      <c r="E38" s="2446"/>
      <c r="F38" s="2446"/>
      <c r="G38" s="2446"/>
      <c r="H38" s="2446"/>
      <c r="I38" s="2446"/>
      <c r="J38" s="2505"/>
      <c r="K38" s="2452"/>
    </row>
    <row r="39" spans="1:11" ht="12.95" customHeight="1">
      <c r="A39" s="2462">
        <v>24</v>
      </c>
      <c r="B39" s="2446"/>
      <c r="C39" s="2446"/>
      <c r="D39" s="2446"/>
      <c r="E39" s="2446"/>
      <c r="F39" s="2446"/>
      <c r="G39" s="2446"/>
      <c r="H39" s="2446"/>
      <c r="I39" s="2446"/>
      <c r="J39" s="2505"/>
      <c r="K39" s="2452"/>
    </row>
    <row r="40" spans="1:11" ht="12.95" customHeight="1">
      <c r="A40" s="2462">
        <v>25</v>
      </c>
      <c r="B40" s="2446"/>
      <c r="C40" s="2446"/>
      <c r="D40" s="2446"/>
      <c r="E40" s="2446"/>
      <c r="F40" s="2446"/>
      <c r="G40" s="2446"/>
      <c r="H40" s="2446"/>
      <c r="I40" s="2446"/>
      <c r="J40" s="2505"/>
      <c r="K40" s="2452"/>
    </row>
    <row r="41" spans="1:11" ht="12.95" customHeight="1">
      <c r="A41" s="2462">
        <v>26</v>
      </c>
      <c r="B41" s="2446"/>
      <c r="C41" s="2446"/>
      <c r="D41" s="2446"/>
      <c r="E41" s="2446"/>
      <c r="F41" s="2446"/>
      <c r="G41" s="2446"/>
      <c r="H41" s="2446"/>
      <c r="I41" s="2446"/>
      <c r="J41" s="2505"/>
      <c r="K41" s="2452"/>
    </row>
    <row r="42" spans="1:11" ht="12.95" customHeight="1">
      <c r="A42" s="2462">
        <v>27</v>
      </c>
      <c r="B42" s="2446"/>
      <c r="C42" s="2446"/>
      <c r="D42" s="2446"/>
      <c r="E42" s="2446"/>
      <c r="F42" s="2446"/>
      <c r="G42" s="2446"/>
      <c r="H42" s="2446"/>
      <c r="I42" s="2446"/>
      <c r="J42" s="2505"/>
      <c r="K42" s="2452"/>
    </row>
    <row r="43" spans="1:11" ht="12.95" customHeight="1">
      <c r="A43" s="2462">
        <v>28</v>
      </c>
      <c r="B43" s="2446"/>
      <c r="C43" s="2446"/>
      <c r="D43" s="2446"/>
      <c r="E43" s="2446"/>
      <c r="F43" s="2446"/>
      <c r="G43" s="2446"/>
      <c r="H43" s="2446"/>
      <c r="I43" s="2446"/>
      <c r="J43" s="2505"/>
      <c r="K43" s="2452"/>
    </row>
    <row r="44" spans="1:11" ht="12.95" customHeight="1">
      <c r="A44" s="2462">
        <v>29</v>
      </c>
      <c r="B44" s="2446"/>
      <c r="C44" s="2446"/>
      <c r="D44" s="2446"/>
      <c r="E44" s="2446"/>
      <c r="F44" s="2446"/>
      <c r="G44" s="2446"/>
      <c r="H44" s="2446"/>
      <c r="I44" s="2446"/>
      <c r="J44" s="2505"/>
      <c r="K44" s="2452"/>
    </row>
    <row r="45" spans="1:11" ht="12.95" customHeight="1">
      <c r="A45" s="2462">
        <v>30</v>
      </c>
      <c r="B45" s="2446"/>
      <c r="C45" s="2446"/>
      <c r="D45" s="2446"/>
      <c r="E45" s="2446"/>
      <c r="F45" s="2446"/>
      <c r="G45" s="2446"/>
      <c r="H45" s="2446"/>
      <c r="I45" s="2446"/>
      <c r="J45" s="2505"/>
      <c r="K45" s="2452"/>
    </row>
    <row r="46" spans="1:11" ht="12.95" customHeight="1">
      <c r="A46" s="2462">
        <v>31</v>
      </c>
      <c r="B46" s="2446"/>
      <c r="C46" s="2446"/>
      <c r="D46" s="2446"/>
      <c r="E46" s="2446"/>
      <c r="F46" s="2446"/>
      <c r="G46" s="2446"/>
      <c r="H46" s="2446"/>
      <c r="I46" s="2446"/>
      <c r="J46" s="2505"/>
      <c r="K46" s="2452"/>
    </row>
    <row r="47" spans="1:11" ht="12.95" customHeight="1" thickBot="1">
      <c r="A47" s="2499">
        <v>32</v>
      </c>
      <c r="B47" s="2501"/>
      <c r="C47" s="2501"/>
      <c r="D47" s="2501"/>
      <c r="E47" s="2501"/>
      <c r="F47" s="2501"/>
      <c r="G47" s="2501"/>
      <c r="H47" s="2501"/>
      <c r="I47" s="2501"/>
      <c r="J47" s="2502"/>
      <c r="K47" s="2452"/>
    </row>
    <row r="48" spans="1:11" ht="12.95" customHeight="1">
      <c r="A48" s="2449"/>
      <c r="B48" s="2449"/>
      <c r="C48" s="2449"/>
      <c r="D48" s="2449"/>
      <c r="E48" s="2449"/>
      <c r="F48" s="2449"/>
      <c r="G48" s="2449"/>
      <c r="H48" s="2449"/>
      <c r="I48" s="2449"/>
      <c r="J48" s="2619" t="s">
        <v>4066</v>
      </c>
    </row>
    <row r="49" spans="1:10" ht="12.95" customHeight="1">
      <c r="A49" s="2489" t="s">
        <v>4025</v>
      </c>
      <c r="B49" s="2489"/>
      <c r="C49" s="2489"/>
      <c r="D49" s="2489"/>
      <c r="E49" s="2489"/>
      <c r="F49" s="2489"/>
      <c r="G49" s="2489"/>
      <c r="H49" s="2489"/>
      <c r="I49" s="2489"/>
      <c r="J49" s="2489"/>
    </row>
    <row r="50" spans="1:10" ht="12.95" customHeight="1"/>
    <row r="51" spans="1:10" ht="12.95" customHeight="1"/>
    <row r="52" spans="1:10" ht="12.95" customHeight="1"/>
    <row r="53" spans="1:10" ht="12.95" customHeight="1"/>
    <row r="54" spans="1:10" ht="12.95" customHeight="1"/>
    <row r="55" spans="1:10" ht="12.95" customHeight="1"/>
    <row r="56" spans="1:10" ht="12.95" customHeight="1"/>
    <row r="57" spans="1:10" ht="12.95" customHeight="1"/>
    <row r="58" spans="1:10" ht="12.95" customHeight="1"/>
    <row r="59" spans="1:10" ht="12.95" customHeight="1"/>
    <row r="60" spans="1:10" ht="12.95" customHeight="1"/>
    <row r="61" spans="1:10" ht="12.95" customHeight="1"/>
    <row r="62" spans="1:10" ht="12.95" customHeight="1"/>
    <row r="63" spans="1:10" ht="12.95" customHeight="1"/>
    <row r="64" spans="1:10" ht="12.95" customHeight="1"/>
    <row r="65" ht="12.95" customHeight="1"/>
    <row r="66" ht="12.95" customHeight="1"/>
    <row r="67" ht="12.95" customHeight="1"/>
    <row r="68" ht="12.95" customHeight="1"/>
    <row r="69" ht="12.95" customHeight="1"/>
    <row r="70" ht="12.95" customHeight="1"/>
    <row r="71" ht="12.95" customHeight="1"/>
    <row r="72" ht="12.95" customHeight="1"/>
    <row r="73" ht="12.95" customHeight="1"/>
    <row r="74" ht="12.95" customHeight="1"/>
    <row r="75" ht="12.95" customHeight="1"/>
    <row r="76" ht="12.95" customHeight="1"/>
    <row r="77" ht="12.95" customHeight="1"/>
    <row r="78" ht="12.95" customHeight="1"/>
    <row r="79" ht="12.95" customHeight="1"/>
    <row r="80" ht="12.95" customHeight="1"/>
    <row r="81" ht="12.95" customHeight="1"/>
    <row r="82" ht="12.95" customHeight="1"/>
    <row r="83" ht="12.95" customHeight="1"/>
    <row r="84" ht="12.95" customHeight="1"/>
    <row r="85" ht="12.95" customHeight="1"/>
    <row r="86" ht="12.95" customHeight="1"/>
    <row r="87" ht="12.95" customHeight="1"/>
    <row r="88" ht="12.95" customHeight="1"/>
    <row r="89" ht="12.95" customHeight="1"/>
    <row r="90" ht="12.95" customHeight="1"/>
    <row r="91" ht="12.95" customHeight="1"/>
    <row r="92" ht="12.95" customHeight="1"/>
    <row r="93" ht="12.95" customHeight="1"/>
    <row r="94" ht="12.95" customHeight="1"/>
    <row r="95" ht="12.95" customHeight="1"/>
    <row r="96" ht="12.95" customHeight="1"/>
    <row r="97" ht="12.95" customHeight="1"/>
    <row r="98" ht="12.95" customHeight="1"/>
    <row r="99" ht="12.95" customHeight="1"/>
  </sheetData>
  <customSheetViews>
    <customSheetView guid="{1BA452AD-1A45-4D9C-9666-ADFFA6F2F567}" colorId="22" fitToPage="1" topLeftCell="A16">
      <selection activeCell="M30" sqref="M30"/>
      <colBreaks count="1" manualBreakCount="1">
        <brk id="10" max="1048575" man="1"/>
      </colBreaks>
      <pageMargins left="0.4" right="0.4" top="0.75" bottom="0.3" header="0.5" footer="0.5"/>
      <printOptions horizontalCentered="1" verticalCentered="1"/>
      <pageSetup scale="75" orientation="landscape" r:id="rId1"/>
      <headerFooter alignWithMargins="0"/>
    </customSheetView>
    <customSheetView guid="{EEF7ABD6-0F96-4791-B749-C06F707E7673}" scale="87" colorId="22" fitToPage="1" showRuler="0" topLeftCell="D1">
      <selection activeCell="C104" sqref="C104"/>
      <colBreaks count="1" manualBreakCount="1">
        <brk id="10" max="1048575" man="1"/>
      </colBreaks>
      <pageMargins left="0.4" right="0.4" top="0.75" bottom="0.3" header="0.5" footer="0.5"/>
      <printOptions horizontalCentered="1" verticalCentered="1"/>
      <pageSetup scale="68" orientation="landscape" r:id="rId2"/>
      <headerFooter alignWithMargins="0"/>
    </customSheetView>
    <customSheetView guid="{A7D7DB3C-AFE6-468E-8C6B-9531F6711497}" scale="87" colorId="22" fitToPage="1" showRuler="0">
      <selection activeCell="F28" sqref="F28"/>
      <colBreaks count="1" manualBreakCount="1">
        <brk id="10" max="1048575" man="1"/>
      </colBreaks>
      <pageMargins left="0.4" right="0.4" top="0.75" bottom="0.3" header="0.5" footer="0.5"/>
      <printOptions horizontalCentered="1" verticalCentered="1"/>
      <pageSetup scale="71" orientation="landscape" r:id="rId3"/>
      <headerFooter alignWithMargins="0"/>
    </customSheetView>
    <customSheetView guid="{4436FEB5-BFEC-4348-9286-CB706802873E}" scale="87" colorId="22" fitToPage="1" showRuler="0">
      <selection activeCell="F28" sqref="F28"/>
      <colBreaks count="1" manualBreakCount="1">
        <brk id="10" max="1048575" man="1"/>
      </colBreaks>
      <pageMargins left="0.4" right="0.4" top="0.75" bottom="0.3" header="0.5" footer="0.5"/>
      <printOptions horizontalCentered="1" verticalCentered="1"/>
      <pageSetup scale="71" orientation="landscape" r:id="rId4"/>
      <headerFooter alignWithMargins="0"/>
    </customSheetView>
    <customSheetView guid="{044CF00C-469F-44B3-B2C4-9B4049CE70CB}" scale="87" colorId="22" fitToPage="1" showRuler="0">
      <selection activeCell="M22" sqref="M22"/>
      <colBreaks count="1" manualBreakCount="1">
        <brk id="10" max="1048575" man="1"/>
      </colBreaks>
      <pageMargins left="0.4" right="0.4" top="0.75" bottom="0.3" header="0.5" footer="0.5"/>
      <printOptions horizontalCentered="1" verticalCentered="1"/>
      <pageSetup scale="71" orientation="landscape" r:id="rId5"/>
      <headerFooter alignWithMargins="0"/>
    </customSheetView>
    <customSheetView guid="{4826FCC0-BDD6-4B2C-ACC6-ACE271DDF0E3}" scale="87" colorId="22" fitToPage="1" showRuler="0" topLeftCell="D1">
      <selection activeCell="C104" sqref="C104"/>
      <colBreaks count="1" manualBreakCount="1">
        <brk id="10" max="1048575" man="1"/>
      </colBreaks>
      <pageMargins left="0.4" right="0.4" top="0.75" bottom="0.3" header="0.5" footer="0.5"/>
      <printOptions horizontalCentered="1" verticalCentered="1"/>
      <pageSetup scale="68" orientation="landscape" r:id="rId6"/>
      <headerFooter alignWithMargins="0"/>
    </customSheetView>
    <customSheetView guid="{EF376D10-23D6-4FE2-AB5B-4460D52CC93F}" scale="87" colorId="22" fitToPage="1" showRuler="0" topLeftCell="D1">
      <selection activeCell="C104" sqref="C104"/>
      <colBreaks count="1" manualBreakCount="1">
        <brk id="10" max="1048575" man="1"/>
      </colBreaks>
      <pageMargins left="0.4" right="0.4" top="0.75" bottom="0.3" header="0.5" footer="0.5"/>
      <printOptions horizontalCentered="1" verticalCentered="1"/>
      <pageSetup scale="68" orientation="landscape" r:id="rId7"/>
      <headerFooter alignWithMargins="0"/>
    </customSheetView>
    <customSheetView guid="{1C046605-15CE-44F1-BFCD-2CA8588E7ACF}" scale="87" colorId="22" fitToPage="1" showRuler="0" topLeftCell="A16">
      <selection activeCell="A2" sqref="A2:J47"/>
      <colBreaks count="1" manualBreakCount="1">
        <brk id="10" max="1048575" man="1"/>
      </colBreaks>
      <pageMargins left="0.4" right="0.4" top="0.75" bottom="0.3" header="0.5" footer="0.5"/>
      <printOptions horizontalCentered="1" verticalCentered="1"/>
      <pageSetup scale="68" orientation="landscape" r:id="rId8"/>
      <headerFooter alignWithMargins="0"/>
    </customSheetView>
    <customSheetView guid="{3911D713-188C-46A1-A299-F21DD3B7A146}" scale="87" colorId="22" fitToPage="1" showRuler="0" topLeftCell="A16">
      <selection activeCell="A2" sqref="A2:J47"/>
      <colBreaks count="1" manualBreakCount="1">
        <brk id="10" max="1048575" man="1"/>
      </colBreaks>
      <pageMargins left="0.4" right="0.4" top="0.75" bottom="0.3" header="0.5" footer="0.5"/>
      <printOptions horizontalCentered="1" verticalCentered="1"/>
      <pageSetup scale="68" orientation="landscape" r:id="rId9"/>
      <headerFooter alignWithMargins="0"/>
    </customSheetView>
    <customSheetView guid="{78BB1E60-60BE-4F56-9763-075185EFEFAB}" colorId="22" fitToPage="1" topLeftCell="A16">
      <selection activeCell="M30" sqref="M30"/>
      <colBreaks count="1" manualBreakCount="1">
        <brk id="10" max="1048575" man="1"/>
      </colBreaks>
      <pageMargins left="0.4" right="0.4" top="0.75" bottom="0.3" header="0.5" footer="0.5"/>
      <printOptions horizontalCentered="1" verticalCentered="1"/>
      <pageSetup scale="75" orientation="landscape" r:id="rId10"/>
      <headerFooter alignWithMargins="0"/>
    </customSheetView>
    <customSheetView guid="{9C30803E-1E2D-4850-B0A5-591CA6F246A1}" colorId="22" fitToPage="1" topLeftCell="A16">
      <selection activeCell="M30" sqref="M30"/>
      <colBreaks count="1" manualBreakCount="1">
        <brk id="10" max="1048575" man="1"/>
      </colBreaks>
      <pageMargins left="0.4" right="0.4" top="0.75" bottom="0.3" header="0.5" footer="0.5"/>
      <printOptions horizontalCentered="1" verticalCentered="1"/>
      <pageSetup scale="75" orientation="landscape" r:id="rId11"/>
      <headerFooter alignWithMargins="0"/>
    </customSheetView>
    <customSheetView guid="{3B1006FF-A2CA-49E7-9B25-DAC8815279AF}" colorId="22" fitToPage="1" topLeftCell="A16">
      <selection activeCell="M30" sqref="M30"/>
      <colBreaks count="1" manualBreakCount="1">
        <brk id="10" max="1048575" man="1"/>
      </colBreaks>
      <pageMargins left="0.4" right="0.4" top="0.75" bottom="0.3" header="0.5" footer="0.5"/>
      <printOptions horizontalCentered="1" verticalCentered="1"/>
      <pageSetup scale="75" orientation="landscape" r:id="rId12"/>
      <headerFooter alignWithMargins="0"/>
    </customSheetView>
    <customSheetView guid="{FB1A60C8-E1F9-4DF0-8E0E-1C965F86027F}" colorId="22" fitToPage="1" topLeftCell="A16">
      <selection activeCell="M30" sqref="M30"/>
      <colBreaks count="1" manualBreakCount="1">
        <brk id="10" max="1048575" man="1"/>
      </colBreaks>
      <pageMargins left="0.4" right="0.4" top="0.75" bottom="0.3" header="0.5" footer="0.5"/>
      <printOptions horizontalCentered="1" verticalCentered="1"/>
      <pageSetup scale="75" orientation="landscape" r:id="rId13"/>
      <headerFooter alignWithMargins="0"/>
    </customSheetView>
    <customSheetView guid="{C5B6D812-CBE6-46AA-99F7-02494E9802B4}" scale="70" colorId="22" fitToPage="1" topLeftCell="A5">
      <selection activeCell="C10" sqref="C10"/>
      <colBreaks count="1" manualBreakCount="1">
        <brk id="10" max="1048575" man="1"/>
      </colBreaks>
      <pageMargins left="0.4" right="0.4" top="0.75" bottom="0.3" header="0.5" footer="0.5"/>
      <printOptions horizontalCentered="1" verticalCentered="1"/>
      <pageSetup scale="75" orientation="landscape" r:id="rId14"/>
      <headerFooter alignWithMargins="0"/>
    </customSheetView>
  </customSheetViews>
  <phoneticPr fontId="0" type="noConversion"/>
  <printOptions horizontalCentered="1" verticalCentered="1"/>
  <pageMargins left="0.4" right="0.4" top="0.75" bottom="0.3" header="0.5" footer="0.5"/>
  <pageSetup scale="75" orientation="landscape" r:id="rId15"/>
  <headerFooter alignWithMargins="0"/>
  <colBreaks count="1" manualBreakCount="1">
    <brk id="10" max="1048575" man="1"/>
  </colBreaks>
  <customProperties>
    <customPr name="_pios_id" r:id="rId16"/>
  </customProperties>
</worksheet>
</file>

<file path=xl/worksheets/sheet79.xml><?xml version="1.0" encoding="utf-8"?>
<worksheet xmlns="http://schemas.openxmlformats.org/spreadsheetml/2006/main" xmlns:r="http://schemas.openxmlformats.org/officeDocument/2006/relationships">
  <sheetPr transitionEvaluation="1" codeName="Sheet78" enableFormatConditionsCalculation="0"/>
  <dimension ref="A1:AF251"/>
  <sheetViews>
    <sheetView defaultGridColor="0" colorId="22" zoomScale="70" zoomScaleNormal="70" workbookViewId="0"/>
  </sheetViews>
  <sheetFormatPr defaultColWidth="9.77734375" defaultRowHeight="15"/>
  <cols>
    <col min="1" max="1" width="9.77734375" style="1436"/>
    <col min="2" max="2" width="23.33203125" style="1436" customWidth="1"/>
    <col min="3" max="10" width="9.77734375" style="1436"/>
    <col min="11" max="11" width="10.6640625" style="1436" customWidth="1"/>
    <col min="12" max="12" width="9.77734375" style="1436"/>
    <col min="13" max="13" width="10.33203125" style="1436" bestFit="1" customWidth="1"/>
    <col min="14" max="16384" width="9.77734375" style="1436"/>
  </cols>
  <sheetData>
    <row r="1" spans="1:27" ht="15.75" thickBot="1">
      <c r="A1" s="186" t="str">
        <f>+'Data sheet'!A53</f>
        <v>Annual Report of New York American Water Company, Inc. (f/k/a Long Island Water Corp)                                   Year Ended  December 31, 2013</v>
      </c>
    </row>
    <row r="2" spans="1:27">
      <c r="A2" s="1482"/>
      <c r="B2" s="1483"/>
      <c r="C2" s="1483"/>
      <c r="D2" s="1483"/>
      <c r="E2" s="1483"/>
      <c r="F2" s="1483"/>
      <c r="G2" s="1483"/>
      <c r="H2" s="1483"/>
      <c r="I2" s="1483"/>
      <c r="J2" s="1483"/>
      <c r="K2" s="1483"/>
      <c r="L2" s="1484"/>
      <c r="N2" s="1478"/>
      <c r="O2" s="1478"/>
    </row>
    <row r="3" spans="1:27" ht="15.75">
      <c r="A3" s="1485" t="s">
        <v>1437</v>
      </c>
      <c r="B3" s="1486"/>
      <c r="C3" s="1486"/>
      <c r="D3" s="1441"/>
      <c r="E3" s="1487"/>
      <c r="F3" s="1486"/>
      <c r="G3" s="1486"/>
      <c r="H3" s="1486"/>
      <c r="I3" s="1486"/>
      <c r="J3" s="1486"/>
      <c r="K3" s="1486"/>
      <c r="L3" s="1488"/>
      <c r="N3" s="1478"/>
      <c r="O3" s="1478"/>
    </row>
    <row r="4" spans="1:27">
      <c r="A4" s="1489"/>
      <c r="B4" s="1490"/>
      <c r="C4" s="1490"/>
      <c r="D4" s="1490"/>
      <c r="E4" s="1490"/>
      <c r="F4" s="1490"/>
      <c r="G4" s="1490"/>
      <c r="H4" s="1490"/>
      <c r="I4" s="1490"/>
      <c r="J4" s="1490"/>
      <c r="K4" s="1490"/>
      <c r="L4" s="1491"/>
      <c r="N4" s="1478"/>
      <c r="O4" s="1478"/>
    </row>
    <row r="5" spans="1:27">
      <c r="A5" s="1492"/>
      <c r="B5" s="1478"/>
      <c r="C5" s="1478"/>
      <c r="D5" s="1478"/>
      <c r="E5" s="1478"/>
      <c r="F5" s="1478"/>
      <c r="G5" s="1478"/>
      <c r="H5" s="1478"/>
      <c r="I5" s="1478"/>
      <c r="J5" s="1478"/>
      <c r="K5" s="1478"/>
      <c r="L5" s="1493"/>
      <c r="N5" s="1478"/>
      <c r="O5" s="1478"/>
    </row>
    <row r="6" spans="1:27">
      <c r="A6" s="1492"/>
      <c r="B6" s="1478" t="s">
        <v>1438</v>
      </c>
      <c r="D6" s="1478"/>
      <c r="E6" s="1478"/>
      <c r="H6" s="1478"/>
      <c r="J6" s="1478"/>
      <c r="K6" s="1478"/>
      <c r="L6" s="1493"/>
      <c r="N6" s="1478"/>
      <c r="O6" s="1478"/>
    </row>
    <row r="7" spans="1:27">
      <c r="A7" s="1492"/>
      <c r="B7" s="1478" t="s">
        <v>347</v>
      </c>
      <c r="D7" s="1478"/>
      <c r="E7" s="1478"/>
      <c r="H7" s="1478"/>
      <c r="J7" s="1478"/>
      <c r="K7" s="1478"/>
      <c r="L7" s="1493"/>
      <c r="N7" s="1478"/>
      <c r="O7" s="1478"/>
    </row>
    <row r="8" spans="1:27">
      <c r="A8" s="1492"/>
      <c r="B8" s="1478" t="s">
        <v>348</v>
      </c>
      <c r="D8" s="1478"/>
      <c r="E8" s="1478"/>
      <c r="F8" s="1478"/>
      <c r="H8" s="1478"/>
      <c r="I8" s="1478"/>
      <c r="J8" s="1478"/>
      <c r="K8" s="1478"/>
      <c r="L8" s="1493"/>
      <c r="N8" s="1478"/>
      <c r="O8" s="1478"/>
    </row>
    <row r="9" spans="1:27">
      <c r="A9" s="1492"/>
      <c r="D9" s="1478"/>
      <c r="E9" s="1478"/>
      <c r="G9" s="1478"/>
      <c r="H9" s="1478"/>
      <c r="I9" s="1478"/>
      <c r="J9" s="1478"/>
      <c r="K9" s="1478"/>
      <c r="L9" s="1493"/>
      <c r="N9" s="1478"/>
      <c r="O9" s="1478"/>
    </row>
    <row r="10" spans="1:27">
      <c r="A10" s="1492"/>
      <c r="B10" s="1478"/>
      <c r="C10" s="1478"/>
      <c r="D10" s="1478"/>
      <c r="E10" s="1478"/>
      <c r="F10" s="1478"/>
      <c r="G10" s="1478"/>
      <c r="H10" s="1478"/>
      <c r="I10" s="1478"/>
      <c r="J10" s="1478"/>
      <c r="K10" s="1478"/>
      <c r="L10" s="1493"/>
      <c r="N10" s="1478"/>
      <c r="O10" s="1478"/>
    </row>
    <row r="11" spans="1:27">
      <c r="A11" s="1494"/>
      <c r="B11" s="1495"/>
      <c r="C11" s="1496"/>
      <c r="D11" s="1497" t="s">
        <v>349</v>
      </c>
      <c r="E11" s="1498"/>
      <c r="F11" s="1498"/>
      <c r="G11" s="1498"/>
      <c r="H11" s="1498"/>
      <c r="I11" s="1498"/>
      <c r="J11" s="1498"/>
      <c r="K11" s="2374" t="s">
        <v>350</v>
      </c>
      <c r="L11" s="1499"/>
      <c r="N11" s="1478"/>
      <c r="O11" s="1478"/>
      <c r="P11" s="1478"/>
      <c r="Q11" s="1478"/>
      <c r="R11" s="1478"/>
      <c r="S11" s="1478"/>
      <c r="T11" s="1478"/>
      <c r="U11" s="1478"/>
      <c r="V11" s="1478"/>
      <c r="W11" s="1478"/>
      <c r="X11" s="1478"/>
      <c r="Y11" s="1478"/>
      <c r="Z11" s="1478"/>
      <c r="AA11" s="1478"/>
    </row>
    <row r="12" spans="1:27">
      <c r="A12" s="1500"/>
      <c r="B12" s="1501"/>
      <c r="C12" s="1479" t="s">
        <v>351</v>
      </c>
      <c r="D12" s="1501"/>
      <c r="E12" s="1501"/>
      <c r="F12" s="1501"/>
      <c r="G12" s="1501"/>
      <c r="H12" s="1501"/>
      <c r="I12" s="1502"/>
      <c r="J12" s="1501"/>
      <c r="K12" s="2375" t="s">
        <v>352</v>
      </c>
      <c r="L12" s="1503" t="s">
        <v>1665</v>
      </c>
      <c r="N12" s="1480"/>
      <c r="P12" s="1480"/>
    </row>
    <row r="13" spans="1:27">
      <c r="A13" s="1504" t="s">
        <v>357</v>
      </c>
      <c r="B13" s="1501" t="s">
        <v>1561</v>
      </c>
      <c r="C13" s="1501" t="s">
        <v>1666</v>
      </c>
      <c r="D13" s="1501" t="s">
        <v>1667</v>
      </c>
      <c r="E13" s="1501" t="s">
        <v>858</v>
      </c>
      <c r="F13" s="1501" t="s">
        <v>859</v>
      </c>
      <c r="G13" s="1501" t="s">
        <v>860</v>
      </c>
      <c r="H13" s="1501" t="s">
        <v>861</v>
      </c>
      <c r="I13" s="1501" t="s">
        <v>862</v>
      </c>
      <c r="J13" s="1501" t="s">
        <v>1006</v>
      </c>
      <c r="K13" s="1501" t="s">
        <v>1007</v>
      </c>
      <c r="L13" s="1505" t="s">
        <v>1008</v>
      </c>
      <c r="N13" s="1480"/>
      <c r="O13" s="1480"/>
    </row>
    <row r="14" spans="1:27">
      <c r="A14" s="1504" t="s">
        <v>2955</v>
      </c>
      <c r="B14" s="1501" t="s">
        <v>4400</v>
      </c>
      <c r="C14" s="1501" t="s">
        <v>1748</v>
      </c>
      <c r="D14" s="1501" t="s">
        <v>1009</v>
      </c>
      <c r="E14" s="1501" t="s">
        <v>1009</v>
      </c>
      <c r="F14" s="1501"/>
      <c r="G14" s="1501"/>
      <c r="H14" s="1501"/>
      <c r="I14" s="1501"/>
      <c r="J14" s="1501"/>
      <c r="K14" s="1501" t="s">
        <v>3039</v>
      </c>
      <c r="L14" s="1505" t="s">
        <v>3039</v>
      </c>
      <c r="N14" s="1480"/>
      <c r="O14" s="1480"/>
    </row>
    <row r="15" spans="1:27">
      <c r="A15" s="1504"/>
      <c r="B15" s="1501" t="s">
        <v>4032</v>
      </c>
      <c r="C15" s="1501" t="s">
        <v>3836</v>
      </c>
      <c r="D15" s="1501" t="s">
        <v>1010</v>
      </c>
      <c r="E15" s="1501" t="s">
        <v>3838</v>
      </c>
      <c r="F15" s="1501" t="s">
        <v>2277</v>
      </c>
      <c r="G15" s="1501" t="s">
        <v>2278</v>
      </c>
      <c r="H15" s="1501" t="s">
        <v>2279</v>
      </c>
      <c r="I15" s="1501" t="s">
        <v>2280</v>
      </c>
      <c r="J15" s="1501" t="s">
        <v>2281</v>
      </c>
      <c r="K15" s="1501" t="s">
        <v>2282</v>
      </c>
      <c r="L15" s="1505" t="s">
        <v>2283</v>
      </c>
      <c r="N15" s="1480"/>
      <c r="O15" s="1480"/>
    </row>
    <row r="16" spans="1:27">
      <c r="A16" s="1506">
        <v>1</v>
      </c>
      <c r="B16" s="1507" t="s">
        <v>1011</v>
      </c>
      <c r="C16" s="1508"/>
      <c r="D16" s="1509"/>
      <c r="E16" s="1509"/>
      <c r="F16" s="1509"/>
      <c r="G16" s="1509"/>
      <c r="H16" s="1509"/>
      <c r="I16" s="1509"/>
      <c r="J16" s="1509"/>
      <c r="K16" s="1509"/>
      <c r="L16" s="1510"/>
      <c r="N16" s="1478"/>
      <c r="O16" s="1478"/>
    </row>
    <row r="17" spans="1:15">
      <c r="A17" s="1500">
        <v>2</v>
      </c>
      <c r="B17" s="1511" t="s">
        <v>1012</v>
      </c>
      <c r="C17" s="1512"/>
      <c r="D17" s="1513"/>
      <c r="E17" s="1513"/>
      <c r="F17" s="1513"/>
      <c r="G17" s="1513"/>
      <c r="H17" s="1513"/>
      <c r="I17" s="1513"/>
      <c r="J17" s="1513"/>
      <c r="K17" s="1513"/>
      <c r="L17" s="1514"/>
      <c r="N17" s="1478"/>
      <c r="O17" s="1478"/>
    </row>
    <row r="18" spans="1:15">
      <c r="A18" s="1500">
        <v>3</v>
      </c>
      <c r="B18" s="1455" t="s">
        <v>3236</v>
      </c>
      <c r="C18" s="1512">
        <v>20</v>
      </c>
      <c r="D18" s="1513"/>
      <c r="E18" s="1513"/>
      <c r="F18" s="1513"/>
      <c r="G18" s="1513"/>
      <c r="H18" s="1513"/>
      <c r="I18" s="1513"/>
      <c r="J18" s="1513">
        <v>700</v>
      </c>
      <c r="K18" s="1513"/>
      <c r="L18" s="1514">
        <v>700</v>
      </c>
      <c r="N18" s="1478"/>
      <c r="O18" s="1478"/>
    </row>
    <row r="19" spans="1:15">
      <c r="A19" s="1500">
        <f>A18+1</f>
        <v>4</v>
      </c>
      <c r="B19" s="2377"/>
      <c r="C19" s="1512">
        <v>16</v>
      </c>
      <c r="D19" s="1513">
        <v>1822</v>
      </c>
      <c r="E19" s="1513"/>
      <c r="F19" s="1513"/>
      <c r="G19" s="1513"/>
      <c r="H19" s="1513"/>
      <c r="I19" s="1513"/>
      <c r="J19" s="1513"/>
      <c r="K19" s="1513"/>
      <c r="L19" s="1514">
        <f t="shared" ref="L19:L49" si="0">SUM(D19:J19)-K19</f>
        <v>1822</v>
      </c>
      <c r="M19" s="2376">
        <f t="shared" ref="M19:M49" si="1">+D19+E19+F19+G19+H19+I19+J19-K19-L19</f>
        <v>0</v>
      </c>
      <c r="N19" s="2376"/>
      <c r="O19" s="1478"/>
    </row>
    <row r="20" spans="1:15">
      <c r="A20" s="1500">
        <f t="shared" ref="A20:A49" si="2">A19+1</f>
        <v>5</v>
      </c>
      <c r="B20" s="1512"/>
      <c r="C20" s="1512">
        <v>12</v>
      </c>
      <c r="D20" s="1513">
        <v>12788</v>
      </c>
      <c r="E20" s="1513"/>
      <c r="F20" s="1513"/>
      <c r="G20" s="1513"/>
      <c r="H20" s="1513"/>
      <c r="I20" s="1513"/>
      <c r="J20" s="1513"/>
      <c r="K20" s="1513">
        <v>6385</v>
      </c>
      <c r="L20" s="1514">
        <f t="shared" si="0"/>
        <v>6403</v>
      </c>
      <c r="M20" s="2376">
        <f t="shared" si="1"/>
        <v>0</v>
      </c>
      <c r="N20" s="2376"/>
      <c r="O20" s="1478"/>
    </row>
    <row r="21" spans="1:15">
      <c r="A21" s="1500">
        <f t="shared" si="2"/>
        <v>6</v>
      </c>
      <c r="B21" s="1515"/>
      <c r="C21" s="1512">
        <v>8</v>
      </c>
      <c r="D21" s="1513">
        <f>16990+920</f>
        <v>17910</v>
      </c>
      <c r="E21" s="1513"/>
      <c r="F21" s="1513"/>
      <c r="G21" s="1513"/>
      <c r="H21" s="1513"/>
      <c r="I21" s="1513"/>
      <c r="J21" s="1513"/>
      <c r="K21" s="1513">
        <v>12729</v>
      </c>
      <c r="L21" s="1514">
        <f t="shared" si="0"/>
        <v>5181</v>
      </c>
      <c r="M21" s="2376">
        <f t="shared" si="1"/>
        <v>0</v>
      </c>
      <c r="N21" s="2376"/>
      <c r="O21" s="1478"/>
    </row>
    <row r="22" spans="1:15">
      <c r="A22" s="1500">
        <f t="shared" si="2"/>
        <v>7</v>
      </c>
      <c r="B22" s="1512"/>
      <c r="C22" s="1512">
        <v>6</v>
      </c>
      <c r="D22" s="1513">
        <f>29545-1825</f>
        <v>27720</v>
      </c>
      <c r="E22" s="1513"/>
      <c r="F22" s="1513"/>
      <c r="G22" s="1513"/>
      <c r="H22" s="1513"/>
      <c r="I22" s="1513"/>
      <c r="J22" s="1513"/>
      <c r="K22" s="1513">
        <v>20942</v>
      </c>
      <c r="L22" s="1514">
        <f t="shared" si="0"/>
        <v>6778</v>
      </c>
      <c r="M22" s="2376">
        <f t="shared" si="1"/>
        <v>0</v>
      </c>
      <c r="N22" s="2376"/>
      <c r="O22" s="1478"/>
    </row>
    <row r="23" spans="1:15">
      <c r="A23" s="1500">
        <f t="shared" si="2"/>
        <v>8</v>
      </c>
      <c r="B23" s="1512"/>
      <c r="C23" s="1512">
        <v>2</v>
      </c>
      <c r="D23" s="1513">
        <v>67</v>
      </c>
      <c r="E23" s="1513">
        <v>261</v>
      </c>
      <c r="F23" s="1513"/>
      <c r="G23" s="1513"/>
      <c r="H23" s="1513"/>
      <c r="I23" s="1513"/>
      <c r="J23" s="1513"/>
      <c r="K23" s="1513">
        <v>200</v>
      </c>
      <c r="L23" s="1514">
        <f t="shared" si="0"/>
        <v>128</v>
      </c>
      <c r="M23" s="2376">
        <f t="shared" si="1"/>
        <v>0</v>
      </c>
      <c r="N23" s="2376"/>
      <c r="O23" s="1478"/>
    </row>
    <row r="24" spans="1:15">
      <c r="A24" s="1500">
        <f t="shared" si="2"/>
        <v>9</v>
      </c>
      <c r="B24" s="1512"/>
      <c r="C24" s="1512">
        <v>1</v>
      </c>
      <c r="D24" s="1513"/>
      <c r="E24" s="1513"/>
      <c r="F24" s="1513"/>
      <c r="G24" s="1513"/>
      <c r="H24" s="1513"/>
      <c r="I24" s="1513">
        <v>41</v>
      </c>
      <c r="J24" s="1513"/>
      <c r="K24" s="1513"/>
      <c r="L24" s="1514">
        <f t="shared" si="0"/>
        <v>41</v>
      </c>
      <c r="M24" s="2376">
        <f t="shared" si="1"/>
        <v>0</v>
      </c>
      <c r="N24" s="2376"/>
      <c r="O24" s="1478"/>
    </row>
    <row r="25" spans="1:15">
      <c r="A25" s="1500">
        <f t="shared" si="2"/>
        <v>10</v>
      </c>
      <c r="B25" s="1512" t="s">
        <v>2259</v>
      </c>
      <c r="C25" s="1512">
        <v>24</v>
      </c>
      <c r="D25" s="1513">
        <v>5299</v>
      </c>
      <c r="E25" s="1513"/>
      <c r="F25" s="1513"/>
      <c r="G25" s="1513"/>
      <c r="H25" s="1513"/>
      <c r="I25" s="1513"/>
      <c r="J25" s="1513"/>
      <c r="K25" s="1513">
        <v>4380</v>
      </c>
      <c r="L25" s="1514">
        <f t="shared" si="0"/>
        <v>919</v>
      </c>
      <c r="M25" s="2376">
        <f t="shared" si="1"/>
        <v>0</v>
      </c>
      <c r="N25" s="2376"/>
      <c r="O25" s="1478"/>
    </row>
    <row r="26" spans="1:15">
      <c r="A26" s="1500">
        <f t="shared" si="2"/>
        <v>11</v>
      </c>
      <c r="B26" s="1512"/>
      <c r="C26" s="1512">
        <v>16</v>
      </c>
      <c r="D26" s="1513">
        <f>7534+1450</f>
        <v>8984</v>
      </c>
      <c r="E26" s="1513"/>
      <c r="F26" s="1513"/>
      <c r="G26" s="1513"/>
      <c r="H26" s="1513"/>
      <c r="I26" s="1513"/>
      <c r="J26" s="1513"/>
      <c r="K26" s="1513"/>
      <c r="L26" s="1514">
        <f t="shared" si="0"/>
        <v>8984</v>
      </c>
      <c r="M26" s="2376">
        <f t="shared" si="1"/>
        <v>0</v>
      </c>
      <c r="N26" s="2376"/>
      <c r="O26" s="1478"/>
    </row>
    <row r="27" spans="1:15">
      <c r="A27" s="1500">
        <f t="shared" si="2"/>
        <v>12</v>
      </c>
      <c r="B27" s="1512"/>
      <c r="C27" s="1512">
        <v>12</v>
      </c>
      <c r="D27" s="1513">
        <v>5725</v>
      </c>
      <c r="E27" s="1513"/>
      <c r="F27" s="1513"/>
      <c r="G27" s="1513"/>
      <c r="H27" s="1513"/>
      <c r="I27" s="1513"/>
      <c r="J27" s="1513"/>
      <c r="K27" s="1513"/>
      <c r="L27" s="1514">
        <f t="shared" si="0"/>
        <v>5725</v>
      </c>
      <c r="M27" s="2376">
        <f t="shared" si="1"/>
        <v>0</v>
      </c>
      <c r="N27" s="2376"/>
      <c r="O27" s="1478"/>
    </row>
    <row r="28" spans="1:15">
      <c r="A28" s="1500">
        <f t="shared" si="2"/>
        <v>13</v>
      </c>
      <c r="B28" s="1512"/>
      <c r="C28" s="1512">
        <v>10</v>
      </c>
      <c r="D28" s="1513">
        <v>80</v>
      </c>
      <c r="E28" s="1513"/>
      <c r="F28" s="1513"/>
      <c r="G28" s="1513"/>
      <c r="H28" s="1513"/>
      <c r="I28" s="1513"/>
      <c r="J28" s="1513">
        <v>90</v>
      </c>
      <c r="K28" s="1513"/>
      <c r="L28" s="1514">
        <f t="shared" si="0"/>
        <v>170</v>
      </c>
      <c r="M28" s="2376">
        <f t="shared" si="1"/>
        <v>0</v>
      </c>
      <c r="N28" s="2376"/>
      <c r="O28" s="1478"/>
    </row>
    <row r="29" spans="1:15">
      <c r="A29" s="1500">
        <f t="shared" si="2"/>
        <v>14</v>
      </c>
      <c r="B29" s="1512"/>
      <c r="C29" s="1512">
        <v>8</v>
      </c>
      <c r="D29" s="1513">
        <v>11131</v>
      </c>
      <c r="E29" s="1513"/>
      <c r="F29" s="1513"/>
      <c r="G29" s="1513"/>
      <c r="H29" s="1513"/>
      <c r="I29" s="1513"/>
      <c r="J29" s="1513"/>
      <c r="K29" s="1513"/>
      <c r="L29" s="1514">
        <f t="shared" si="0"/>
        <v>11131</v>
      </c>
      <c r="M29" s="2376">
        <f t="shared" si="1"/>
        <v>0</v>
      </c>
      <c r="N29" s="2376"/>
      <c r="O29" s="1478"/>
    </row>
    <row r="30" spans="1:15">
      <c r="A30" s="1500">
        <f t="shared" si="2"/>
        <v>15</v>
      </c>
      <c r="B30" s="1512"/>
      <c r="C30" s="1512">
        <v>6</v>
      </c>
      <c r="D30" s="1513">
        <v>55458</v>
      </c>
      <c r="E30" s="1513">
        <v>36</v>
      </c>
      <c r="F30" s="1513"/>
      <c r="G30" s="1513">
        <v>334</v>
      </c>
      <c r="H30" s="1513"/>
      <c r="I30" s="1513"/>
      <c r="J30" s="1513">
        <v>110</v>
      </c>
      <c r="K30" s="1513">
        <v>10882</v>
      </c>
      <c r="L30" s="1514">
        <f t="shared" si="0"/>
        <v>45056</v>
      </c>
      <c r="M30" s="2376">
        <f t="shared" si="1"/>
        <v>0</v>
      </c>
      <c r="N30" s="2376"/>
      <c r="O30" s="1478"/>
    </row>
    <row r="31" spans="1:15">
      <c r="A31" s="1500">
        <f t="shared" si="2"/>
        <v>16</v>
      </c>
      <c r="B31" s="1512"/>
      <c r="C31" s="1512">
        <v>2</v>
      </c>
      <c r="D31" s="1513"/>
      <c r="E31" s="1513">
        <v>2196</v>
      </c>
      <c r="F31" s="1513"/>
      <c r="G31" s="1513"/>
      <c r="H31" s="1513"/>
      <c r="I31" s="1513"/>
      <c r="J31" s="1513"/>
      <c r="K31" s="1513">
        <v>2196</v>
      </c>
      <c r="L31" s="1514">
        <f t="shared" si="0"/>
        <v>0</v>
      </c>
      <c r="M31" s="2376">
        <f t="shared" si="1"/>
        <v>0</v>
      </c>
      <c r="N31" s="2376"/>
      <c r="O31" s="1478"/>
    </row>
    <row r="32" spans="1:15">
      <c r="A32" s="1500">
        <f t="shared" si="2"/>
        <v>17</v>
      </c>
      <c r="B32" s="1512"/>
      <c r="C32" s="1512">
        <v>1.25</v>
      </c>
      <c r="D32" s="1513"/>
      <c r="E32" s="1513"/>
      <c r="F32" s="1513"/>
      <c r="G32" s="1513"/>
      <c r="H32" s="1513"/>
      <c r="I32" s="1513">
        <v>26</v>
      </c>
      <c r="J32" s="1513"/>
      <c r="K32" s="1513"/>
      <c r="L32" s="1514">
        <f t="shared" si="0"/>
        <v>26</v>
      </c>
      <c r="M32" s="2376">
        <f t="shared" si="1"/>
        <v>0</v>
      </c>
      <c r="N32" s="2376"/>
      <c r="O32" s="1478"/>
    </row>
    <row r="33" spans="1:32">
      <c r="A33" s="1500">
        <f t="shared" si="2"/>
        <v>18</v>
      </c>
      <c r="B33" s="1512"/>
      <c r="C33" s="1512">
        <v>1</v>
      </c>
      <c r="D33" s="1513"/>
      <c r="E33" s="1513"/>
      <c r="F33" s="1513"/>
      <c r="G33" s="1513"/>
      <c r="H33" s="1513"/>
      <c r="I33" s="1513">
        <v>35</v>
      </c>
      <c r="J33" s="1513"/>
      <c r="K33" s="1513"/>
      <c r="L33" s="1514">
        <f t="shared" si="0"/>
        <v>35</v>
      </c>
      <c r="M33" s="2376">
        <f t="shared" si="1"/>
        <v>0</v>
      </c>
      <c r="N33" s="2376"/>
      <c r="O33" s="1478"/>
    </row>
    <row r="34" spans="1:32">
      <c r="A34" s="1500">
        <f t="shared" si="2"/>
        <v>19</v>
      </c>
      <c r="B34" s="1512" t="s">
        <v>2260</v>
      </c>
      <c r="C34" s="1512">
        <v>24</v>
      </c>
      <c r="D34" s="1513"/>
      <c r="E34" s="1513"/>
      <c r="F34" s="1513">
        <v>90</v>
      </c>
      <c r="G34" s="1513"/>
      <c r="H34" s="1513"/>
      <c r="I34" s="1513"/>
      <c r="J34" s="1513"/>
      <c r="K34" s="1513"/>
      <c r="L34" s="1514">
        <f t="shared" si="0"/>
        <v>90</v>
      </c>
      <c r="M34" s="2376">
        <f t="shared" si="1"/>
        <v>0</v>
      </c>
      <c r="N34" s="2376"/>
      <c r="O34" s="1478"/>
    </row>
    <row r="35" spans="1:32">
      <c r="A35" s="1500">
        <f t="shared" si="2"/>
        <v>20</v>
      </c>
      <c r="B35" s="1512"/>
      <c r="C35" s="1512">
        <v>20</v>
      </c>
      <c r="D35" s="1513">
        <v>8809</v>
      </c>
      <c r="E35" s="1513"/>
      <c r="F35" s="1513">
        <v>60</v>
      </c>
      <c r="G35" s="1513">
        <v>55</v>
      </c>
      <c r="H35" s="1513">
        <v>71</v>
      </c>
      <c r="I35" s="1513"/>
      <c r="J35" s="1513">
        <v>65</v>
      </c>
      <c r="K35" s="1513">
        <v>263</v>
      </c>
      <c r="L35" s="1514">
        <f t="shared" si="0"/>
        <v>8797</v>
      </c>
      <c r="M35" s="2376">
        <f t="shared" si="1"/>
        <v>0</v>
      </c>
      <c r="N35" s="2376"/>
      <c r="O35" s="1478"/>
    </row>
    <row r="36" spans="1:32">
      <c r="A36" s="1500">
        <f t="shared" si="2"/>
        <v>21</v>
      </c>
      <c r="B36" s="1512"/>
      <c r="C36" s="1512">
        <v>16</v>
      </c>
      <c r="D36" s="1513">
        <v>39</v>
      </c>
      <c r="E36" s="1513"/>
      <c r="F36" s="1513"/>
      <c r="G36" s="1513"/>
      <c r="H36" s="1513"/>
      <c r="I36" s="1513"/>
      <c r="J36" s="1513"/>
      <c r="K36" s="1513"/>
      <c r="L36" s="1514">
        <f t="shared" si="0"/>
        <v>39</v>
      </c>
      <c r="M36" s="2376">
        <f t="shared" si="1"/>
        <v>0</v>
      </c>
      <c r="N36" s="2376"/>
      <c r="O36" s="1478"/>
    </row>
    <row r="37" spans="1:32">
      <c r="A37" s="1500">
        <f t="shared" si="2"/>
        <v>22</v>
      </c>
      <c r="B37" s="1512"/>
      <c r="C37" s="1512">
        <v>12</v>
      </c>
      <c r="D37" s="1513">
        <f>8544+21</f>
        <v>8565</v>
      </c>
      <c r="E37" s="1513"/>
      <c r="F37" s="1513">
        <v>171</v>
      </c>
      <c r="G37" s="1513"/>
      <c r="H37" s="1513"/>
      <c r="I37" s="1513"/>
      <c r="J37" s="1513"/>
      <c r="K37" s="1513">
        <v>18</v>
      </c>
      <c r="L37" s="1514">
        <f t="shared" si="0"/>
        <v>8718</v>
      </c>
      <c r="M37" s="2376">
        <f t="shared" si="1"/>
        <v>0</v>
      </c>
      <c r="N37" s="2376"/>
      <c r="O37" s="1478"/>
    </row>
    <row r="38" spans="1:32">
      <c r="A38" s="1500">
        <f t="shared" si="2"/>
        <v>23</v>
      </c>
      <c r="B38" s="1512"/>
      <c r="C38" s="1512">
        <v>10</v>
      </c>
      <c r="D38" s="1513"/>
      <c r="E38" s="1513"/>
      <c r="F38" s="1513"/>
      <c r="G38" s="1513"/>
      <c r="H38" s="1513"/>
      <c r="I38" s="1513"/>
      <c r="J38" s="1513">
        <v>90</v>
      </c>
      <c r="K38" s="1513"/>
      <c r="L38" s="1514">
        <f t="shared" si="0"/>
        <v>90</v>
      </c>
      <c r="M38" s="2376">
        <f t="shared" si="1"/>
        <v>0</v>
      </c>
      <c r="N38" s="2376"/>
      <c r="O38" s="1478"/>
      <c r="S38" s="1478"/>
      <c r="T38" s="1478"/>
      <c r="U38" s="1478"/>
    </row>
    <row r="39" spans="1:32">
      <c r="A39" s="1500">
        <f t="shared" si="2"/>
        <v>24</v>
      </c>
      <c r="B39" s="1512"/>
      <c r="C39" s="1512">
        <v>8</v>
      </c>
      <c r="D39" s="1513">
        <v>21933</v>
      </c>
      <c r="E39" s="1513"/>
      <c r="F39" s="1513"/>
      <c r="G39" s="1513">
        <v>295</v>
      </c>
      <c r="H39" s="1513"/>
      <c r="I39" s="1513"/>
      <c r="J39" s="1513"/>
      <c r="K39" s="1513">
        <v>1546</v>
      </c>
      <c r="L39" s="1514">
        <f t="shared" si="0"/>
        <v>20682</v>
      </c>
      <c r="M39" s="2376">
        <f t="shared" si="1"/>
        <v>0</v>
      </c>
      <c r="N39" s="2376"/>
      <c r="O39" s="1478"/>
      <c r="S39" s="1478"/>
      <c r="T39" s="1478"/>
      <c r="U39" s="1478"/>
    </row>
    <row r="40" spans="1:32">
      <c r="A40" s="1500">
        <f t="shared" si="2"/>
        <v>25</v>
      </c>
      <c r="B40" s="1512"/>
      <c r="C40" s="1512">
        <v>6</v>
      </c>
      <c r="D40" s="1513">
        <v>96407</v>
      </c>
      <c r="E40" s="1513">
        <v>289</v>
      </c>
      <c r="F40" s="1513">
        <v>7</v>
      </c>
      <c r="G40" s="1513"/>
      <c r="H40" s="1513"/>
      <c r="I40" s="1513"/>
      <c r="J40" s="1513">
        <v>100</v>
      </c>
      <c r="K40" s="1513">
        <v>29881</v>
      </c>
      <c r="L40" s="1514">
        <f t="shared" si="0"/>
        <v>66922</v>
      </c>
      <c r="M40" s="2376">
        <f t="shared" si="1"/>
        <v>0</v>
      </c>
      <c r="N40" s="2376"/>
      <c r="O40" s="1478"/>
    </row>
    <row r="41" spans="1:32">
      <c r="A41" s="1500">
        <f t="shared" si="2"/>
        <v>26</v>
      </c>
      <c r="B41" s="1512"/>
      <c r="C41" s="1512">
        <v>4</v>
      </c>
      <c r="D41" s="1513">
        <v>145</v>
      </c>
      <c r="E41" s="1513"/>
      <c r="F41" s="1513"/>
      <c r="G41" s="1513"/>
      <c r="H41" s="1513"/>
      <c r="I41" s="1513"/>
      <c r="J41" s="1513"/>
      <c r="K41" s="1513"/>
      <c r="L41" s="1514">
        <f t="shared" si="0"/>
        <v>145</v>
      </c>
      <c r="M41" s="2376">
        <f t="shared" si="1"/>
        <v>0</v>
      </c>
      <c r="N41" s="2376"/>
      <c r="O41" s="1478"/>
    </row>
    <row r="42" spans="1:32">
      <c r="A42" s="1500">
        <f t="shared" si="2"/>
        <v>27</v>
      </c>
      <c r="B42" s="1512"/>
      <c r="C42" s="1512">
        <v>2</v>
      </c>
      <c r="D42" s="1513"/>
      <c r="E42" s="1513">
        <v>3315</v>
      </c>
      <c r="F42" s="1513"/>
      <c r="G42" s="1513"/>
      <c r="H42" s="1513"/>
      <c r="I42" s="1513"/>
      <c r="J42" s="1513"/>
      <c r="K42" s="1513">
        <v>3315</v>
      </c>
      <c r="L42" s="1514">
        <f t="shared" si="0"/>
        <v>0</v>
      </c>
      <c r="M42" s="2376">
        <f t="shared" si="1"/>
        <v>0</v>
      </c>
      <c r="N42" s="2376"/>
      <c r="O42" s="1478"/>
    </row>
    <row r="43" spans="1:32">
      <c r="A43" s="1500">
        <f t="shared" si="2"/>
        <v>28</v>
      </c>
      <c r="B43" s="1512"/>
      <c r="C43" s="1512">
        <v>1.25</v>
      </c>
      <c r="D43" s="1513"/>
      <c r="E43" s="1513"/>
      <c r="F43" s="1513"/>
      <c r="G43" s="1513"/>
      <c r="H43" s="1513"/>
      <c r="I43" s="1513">
        <v>167</v>
      </c>
      <c r="J43" s="1513"/>
      <c r="K43" s="1513"/>
      <c r="L43" s="1514">
        <f t="shared" si="0"/>
        <v>167</v>
      </c>
      <c r="M43" s="2376">
        <f t="shared" si="1"/>
        <v>0</v>
      </c>
      <c r="N43" s="2376"/>
      <c r="O43" s="1478"/>
    </row>
    <row r="44" spans="1:32">
      <c r="A44" s="1500">
        <f t="shared" si="2"/>
        <v>29</v>
      </c>
      <c r="B44" s="1512"/>
      <c r="C44" s="1512">
        <v>1</v>
      </c>
      <c r="D44" s="1513"/>
      <c r="E44" s="1513"/>
      <c r="F44" s="1513"/>
      <c r="G44" s="1513"/>
      <c r="H44" s="1513"/>
      <c r="I44" s="1513">
        <v>97</v>
      </c>
      <c r="J44" s="1513"/>
      <c r="K44" s="1513"/>
      <c r="L44" s="1514">
        <f t="shared" si="0"/>
        <v>97</v>
      </c>
      <c r="M44" s="2376">
        <f t="shared" si="1"/>
        <v>0</v>
      </c>
      <c r="N44" s="2376"/>
      <c r="O44" s="1478"/>
      <c r="S44" s="1478"/>
      <c r="T44" s="1478"/>
      <c r="U44" s="1478"/>
      <c r="V44" s="1478"/>
      <c r="W44" s="1478"/>
      <c r="X44" s="1478"/>
      <c r="Y44" s="1478"/>
      <c r="Z44" s="1478"/>
      <c r="AA44" s="1478"/>
      <c r="AB44" s="1478"/>
      <c r="AC44" s="1478"/>
      <c r="AD44" s="1478"/>
      <c r="AE44" s="1478"/>
      <c r="AF44" s="1478"/>
    </row>
    <row r="45" spans="1:32">
      <c r="A45" s="1500">
        <f t="shared" si="2"/>
        <v>30</v>
      </c>
      <c r="B45" s="1512" t="s">
        <v>2261</v>
      </c>
      <c r="C45" s="1512">
        <v>12</v>
      </c>
      <c r="D45" s="1513">
        <f>3146+2254</f>
        <v>5400</v>
      </c>
      <c r="E45" s="1513"/>
      <c r="F45" s="1513"/>
      <c r="G45" s="1513">
        <v>1292</v>
      </c>
      <c r="H45" s="1513"/>
      <c r="I45" s="1513"/>
      <c r="J45" s="1513"/>
      <c r="K45" s="1513"/>
      <c r="L45" s="1514">
        <f t="shared" si="0"/>
        <v>6692</v>
      </c>
      <c r="M45" s="2376">
        <f t="shared" si="1"/>
        <v>0</v>
      </c>
      <c r="N45" s="2376"/>
      <c r="O45" s="1478"/>
    </row>
    <row r="46" spans="1:32">
      <c r="A46" s="1500">
        <f t="shared" si="2"/>
        <v>31</v>
      </c>
      <c r="B46" s="1512"/>
      <c r="C46" s="1512">
        <v>8</v>
      </c>
      <c r="D46" s="1513">
        <f>1143-144</f>
        <v>999</v>
      </c>
      <c r="E46" s="1513"/>
      <c r="F46" s="1513"/>
      <c r="G46" s="1513">
        <v>1018</v>
      </c>
      <c r="H46" s="1513"/>
      <c r="I46" s="1513"/>
      <c r="J46" s="1513"/>
      <c r="K46" s="1513"/>
      <c r="L46" s="1514">
        <f t="shared" si="0"/>
        <v>2017</v>
      </c>
      <c r="M46" s="2376">
        <f t="shared" si="1"/>
        <v>0</v>
      </c>
      <c r="N46" s="2376"/>
      <c r="O46" s="1478"/>
    </row>
    <row r="47" spans="1:32">
      <c r="A47" s="1500">
        <f t="shared" si="2"/>
        <v>32</v>
      </c>
      <c r="B47" s="1512"/>
      <c r="C47" s="1512">
        <v>6</v>
      </c>
      <c r="D47" s="1513">
        <f>16177-206</f>
        <v>15971</v>
      </c>
      <c r="E47" s="1513"/>
      <c r="F47" s="1513"/>
      <c r="G47" s="1513"/>
      <c r="H47" s="1513"/>
      <c r="I47" s="1513"/>
      <c r="J47" s="1513"/>
      <c r="K47" s="1513">
        <v>12852</v>
      </c>
      <c r="L47" s="1514">
        <f t="shared" si="0"/>
        <v>3119</v>
      </c>
      <c r="M47" s="2376">
        <f t="shared" si="1"/>
        <v>0</v>
      </c>
      <c r="N47" s="2376"/>
      <c r="O47" s="1478"/>
    </row>
    <row r="48" spans="1:32">
      <c r="A48" s="1500">
        <f t="shared" si="2"/>
        <v>33</v>
      </c>
      <c r="B48" s="1512"/>
      <c r="C48" s="1512">
        <v>4</v>
      </c>
      <c r="D48" s="1513">
        <v>82</v>
      </c>
      <c r="E48" s="1513"/>
      <c r="F48" s="1513"/>
      <c r="G48" s="1513"/>
      <c r="H48" s="1513"/>
      <c r="I48" s="1513"/>
      <c r="J48" s="1513"/>
      <c r="K48" s="1513"/>
      <c r="L48" s="1514">
        <f t="shared" si="0"/>
        <v>82</v>
      </c>
      <c r="M48" s="2376">
        <f t="shared" si="1"/>
        <v>0</v>
      </c>
      <c r="N48" s="2376"/>
      <c r="O48" s="1478"/>
    </row>
    <row r="49" spans="1:16" ht="15.75" thickBot="1">
      <c r="A49" s="1500">
        <f t="shared" si="2"/>
        <v>34</v>
      </c>
      <c r="B49" s="1517"/>
      <c r="C49" s="1517">
        <v>2</v>
      </c>
      <c r="D49" s="1518"/>
      <c r="E49" s="1518">
        <v>682</v>
      </c>
      <c r="F49" s="1518"/>
      <c r="G49" s="1518"/>
      <c r="H49" s="1518"/>
      <c r="I49" s="1518"/>
      <c r="J49" s="1518"/>
      <c r="K49" s="1518">
        <v>682</v>
      </c>
      <c r="L49" s="1519">
        <f t="shared" si="0"/>
        <v>0</v>
      </c>
      <c r="M49" s="2376">
        <f t="shared" si="1"/>
        <v>0</v>
      </c>
      <c r="N49" s="2376"/>
      <c r="O49" s="1478"/>
    </row>
    <row r="50" spans="1:16">
      <c r="B50" s="1478"/>
      <c r="C50" s="1478"/>
      <c r="D50" s="1478"/>
      <c r="E50" s="1478"/>
      <c r="F50" s="1478"/>
      <c r="G50" s="1478"/>
      <c r="H50" s="1478"/>
      <c r="I50" s="1478"/>
      <c r="J50" s="1478"/>
      <c r="K50" s="1478"/>
      <c r="L50" s="1520"/>
      <c r="N50" s="1478"/>
      <c r="O50" s="1478"/>
    </row>
    <row r="51" spans="1:16">
      <c r="A51" s="1481" t="s">
        <v>1013</v>
      </c>
      <c r="B51" s="1521"/>
      <c r="C51" s="1521"/>
      <c r="D51" s="1521"/>
      <c r="E51" s="1521"/>
      <c r="F51" s="1481"/>
      <c r="G51" s="1521"/>
      <c r="H51" s="1521"/>
      <c r="I51" s="1521"/>
      <c r="J51" s="1521"/>
      <c r="K51" s="1486"/>
      <c r="L51" s="1522"/>
      <c r="N51" s="1478"/>
      <c r="O51" s="1478"/>
    </row>
    <row r="52" spans="1:16">
      <c r="A52" s="1523"/>
      <c r="B52" s="1524"/>
      <c r="C52" s="1525"/>
      <c r="D52" s="1522"/>
      <c r="E52" s="1522"/>
      <c r="F52" s="1522"/>
      <c r="G52" s="1522"/>
      <c r="H52" s="1522"/>
      <c r="I52" s="1522"/>
      <c r="J52" s="1522"/>
      <c r="K52" s="1522"/>
      <c r="L52" s="1522"/>
      <c r="M52" s="2376"/>
      <c r="N52" s="1478"/>
      <c r="O52" s="1478"/>
    </row>
    <row r="53" spans="1:16" ht="15.75" thickBot="1">
      <c r="A53" s="186" t="str">
        <f>+'Data sheet'!A53</f>
        <v>Annual Report of New York American Water Company, Inc. (f/k/a Long Island Water Corp)                                   Year Ended  December 31, 2013</v>
      </c>
    </row>
    <row r="54" spans="1:16">
      <c r="A54" s="1482"/>
      <c r="B54" s="1483"/>
      <c r="C54" s="1483"/>
      <c r="D54" s="1483"/>
      <c r="E54" s="1483"/>
      <c r="F54" s="1483"/>
      <c r="G54" s="1483"/>
      <c r="H54" s="1483"/>
      <c r="I54" s="1483"/>
      <c r="J54" s="1483"/>
      <c r="K54" s="1483"/>
      <c r="L54" s="1514"/>
      <c r="M54" s="1478"/>
      <c r="N54" s="1478"/>
      <c r="O54" s="1478"/>
      <c r="P54" s="1478"/>
    </row>
    <row r="55" spans="1:16" ht="15.75">
      <c r="A55" s="1485" t="s">
        <v>1014</v>
      </c>
      <c r="B55" s="1486"/>
      <c r="C55" s="1486"/>
      <c r="D55" s="1441"/>
      <c r="E55" s="1487"/>
      <c r="F55" s="1486"/>
      <c r="G55" s="1486"/>
      <c r="H55" s="1486"/>
      <c r="I55" s="1486"/>
      <c r="J55" s="1486"/>
      <c r="K55" s="1486"/>
      <c r="L55" s="1514"/>
      <c r="M55" s="1478"/>
      <c r="N55" s="1478"/>
      <c r="O55" s="1478"/>
      <c r="P55" s="1478"/>
    </row>
    <row r="56" spans="1:16">
      <c r="A56" s="1489"/>
      <c r="B56" s="1490"/>
      <c r="C56" s="1490"/>
      <c r="D56" s="1490"/>
      <c r="E56" s="1490"/>
      <c r="F56" s="1490"/>
      <c r="G56" s="1490"/>
      <c r="H56" s="1490"/>
      <c r="I56" s="1490"/>
      <c r="J56" s="1490"/>
      <c r="K56" s="1490"/>
      <c r="L56" s="1526"/>
      <c r="M56" s="1478"/>
      <c r="N56" s="1478"/>
      <c r="O56" s="1478"/>
      <c r="P56" s="1478"/>
    </row>
    <row r="57" spans="1:16">
      <c r="A57" s="1492"/>
      <c r="B57" s="1478"/>
      <c r="C57" s="1478"/>
      <c r="D57" s="1478"/>
      <c r="E57" s="1478"/>
      <c r="F57" s="1478"/>
      <c r="G57" s="1478"/>
      <c r="H57" s="1478"/>
      <c r="I57" s="1478"/>
      <c r="J57" s="1478"/>
      <c r="K57" s="1478"/>
      <c r="L57" s="1514"/>
      <c r="M57" s="1478"/>
      <c r="N57" s="1478"/>
      <c r="O57" s="1478"/>
      <c r="P57" s="1478"/>
    </row>
    <row r="58" spans="1:16">
      <c r="A58" s="1492"/>
      <c r="B58" s="1478" t="s">
        <v>1438</v>
      </c>
      <c r="D58" s="1478"/>
      <c r="E58" s="1478"/>
      <c r="H58" s="1478"/>
      <c r="J58" s="1478"/>
      <c r="K58" s="1478"/>
      <c r="L58" s="1514"/>
      <c r="M58" s="1478"/>
      <c r="N58" s="1478"/>
      <c r="O58" s="1478"/>
      <c r="P58" s="1478"/>
    </row>
    <row r="59" spans="1:16">
      <c r="A59" s="1492"/>
      <c r="B59" s="1478" t="s">
        <v>347</v>
      </c>
      <c r="D59" s="1478"/>
      <c r="E59" s="1478"/>
      <c r="H59" s="1478"/>
      <c r="J59" s="1478"/>
      <c r="K59" s="1478"/>
      <c r="L59" s="1514"/>
      <c r="M59" s="1478"/>
      <c r="N59" s="1478"/>
      <c r="O59" s="1478"/>
      <c r="P59" s="1478"/>
    </row>
    <row r="60" spans="1:16">
      <c r="A60" s="1492"/>
      <c r="B60" s="1478" t="s">
        <v>348</v>
      </c>
      <c r="D60" s="1478"/>
      <c r="E60" s="1478"/>
      <c r="F60" s="1478"/>
      <c r="H60" s="1478"/>
      <c r="I60" s="1478"/>
      <c r="J60" s="1478"/>
      <c r="K60" s="1478"/>
      <c r="L60" s="1514"/>
      <c r="P60" s="1478"/>
    </row>
    <row r="61" spans="1:16">
      <c r="A61" s="1492"/>
      <c r="D61" s="1478"/>
      <c r="E61" s="1478"/>
      <c r="G61" s="1478"/>
      <c r="H61" s="1478"/>
      <c r="I61" s="1478"/>
      <c r="J61" s="1478"/>
      <c r="K61" s="1478"/>
      <c r="L61" s="1514"/>
      <c r="P61" s="1478"/>
    </row>
    <row r="62" spans="1:16">
      <c r="A62" s="1492"/>
      <c r="B62" s="1478"/>
      <c r="C62" s="1478"/>
      <c r="D62" s="1478"/>
      <c r="E62" s="1478"/>
      <c r="F62" s="1478"/>
      <c r="G62" s="1478"/>
      <c r="H62" s="1478"/>
      <c r="I62" s="1478"/>
      <c r="J62" s="1478"/>
      <c r="K62" s="1478"/>
      <c r="L62" s="1514"/>
      <c r="P62" s="1478"/>
    </row>
    <row r="63" spans="1:16">
      <c r="A63" s="1494"/>
      <c r="B63" s="1495"/>
      <c r="C63" s="1496"/>
      <c r="D63" s="1497" t="s">
        <v>349</v>
      </c>
      <c r="E63" s="1498"/>
      <c r="F63" s="1498"/>
      <c r="G63" s="1498"/>
      <c r="H63" s="1498"/>
      <c r="I63" s="1498"/>
      <c r="J63" s="1498"/>
      <c r="K63" s="2374" t="s">
        <v>350</v>
      </c>
      <c r="L63" s="1499"/>
    </row>
    <row r="64" spans="1:16">
      <c r="A64" s="1500"/>
      <c r="B64" s="1501"/>
      <c r="C64" s="1479" t="s">
        <v>351</v>
      </c>
      <c r="D64" s="1501"/>
      <c r="E64" s="1501"/>
      <c r="F64" s="1501"/>
      <c r="G64" s="1501"/>
      <c r="H64" s="1501"/>
      <c r="I64" s="1502"/>
      <c r="J64" s="1501"/>
      <c r="K64" s="2375" t="s">
        <v>352</v>
      </c>
      <c r="L64" s="1503" t="s">
        <v>1665</v>
      </c>
    </row>
    <row r="65" spans="1:14">
      <c r="A65" s="1504" t="s">
        <v>357</v>
      </c>
      <c r="B65" s="1501" t="s">
        <v>1561</v>
      </c>
      <c r="C65" s="1501" t="s">
        <v>1666</v>
      </c>
      <c r="D65" s="1501" t="s">
        <v>1667</v>
      </c>
      <c r="E65" s="1501" t="s">
        <v>858</v>
      </c>
      <c r="F65" s="1501" t="s">
        <v>859</v>
      </c>
      <c r="G65" s="1501" t="s">
        <v>860</v>
      </c>
      <c r="H65" s="1501" t="s">
        <v>861</v>
      </c>
      <c r="I65" s="1501" t="s">
        <v>862</v>
      </c>
      <c r="J65" s="1501" t="s">
        <v>1006</v>
      </c>
      <c r="K65" s="1501" t="s">
        <v>1007</v>
      </c>
      <c r="L65" s="1505" t="s">
        <v>1008</v>
      </c>
    </row>
    <row r="66" spans="1:14">
      <c r="A66" s="1504" t="s">
        <v>2955</v>
      </c>
      <c r="B66" s="1501" t="s">
        <v>4400</v>
      </c>
      <c r="C66" s="1501" t="s">
        <v>1748</v>
      </c>
      <c r="D66" s="1501" t="s">
        <v>1009</v>
      </c>
      <c r="E66" s="1501" t="s">
        <v>1009</v>
      </c>
      <c r="F66" s="1501"/>
      <c r="G66" s="1501"/>
      <c r="H66" s="1501"/>
      <c r="I66" s="1501"/>
      <c r="J66" s="1501"/>
      <c r="K66" s="1501" t="s">
        <v>3039</v>
      </c>
      <c r="L66" s="1505" t="s">
        <v>3039</v>
      </c>
    </row>
    <row r="67" spans="1:14">
      <c r="A67" s="1504"/>
      <c r="B67" s="1501" t="s">
        <v>4032</v>
      </c>
      <c r="C67" s="1501" t="s">
        <v>3836</v>
      </c>
      <c r="D67" s="1501" t="s">
        <v>1010</v>
      </c>
      <c r="E67" s="1501" t="s">
        <v>3838</v>
      </c>
      <c r="F67" s="1501" t="s">
        <v>2277</v>
      </c>
      <c r="G67" s="1501" t="s">
        <v>2278</v>
      </c>
      <c r="H67" s="1501" t="s">
        <v>2279</v>
      </c>
      <c r="I67" s="1501" t="s">
        <v>2280</v>
      </c>
      <c r="J67" s="1501" t="s">
        <v>2281</v>
      </c>
      <c r="K67" s="1527" t="s">
        <v>2282</v>
      </c>
      <c r="L67" s="1528" t="s">
        <v>2283</v>
      </c>
    </row>
    <row r="68" spans="1:14">
      <c r="A68" s="1506">
        <v>1</v>
      </c>
      <c r="B68" s="1507" t="s">
        <v>1011</v>
      </c>
      <c r="C68" s="1508"/>
      <c r="D68" s="1509"/>
      <c r="E68" s="1509"/>
      <c r="F68" s="1509"/>
      <c r="G68" s="1509"/>
      <c r="H68" s="1509"/>
      <c r="I68" s="1509"/>
      <c r="J68" s="1509"/>
      <c r="K68" s="2377"/>
      <c r="L68" s="2378"/>
    </row>
    <row r="69" spans="1:14">
      <c r="A69" s="1500">
        <v>2</v>
      </c>
      <c r="B69" s="1511" t="s">
        <v>1012</v>
      </c>
      <c r="C69" s="1512"/>
      <c r="D69" s="1513"/>
      <c r="E69" s="1513"/>
      <c r="F69" s="1513"/>
      <c r="G69" s="1513"/>
      <c r="H69" s="1513"/>
      <c r="I69" s="1513"/>
      <c r="J69" s="1513"/>
      <c r="K69" s="1513"/>
      <c r="L69" s="1514"/>
    </row>
    <row r="70" spans="1:14">
      <c r="A70" s="1500">
        <v>3</v>
      </c>
      <c r="B70" s="1455" t="s">
        <v>2262</v>
      </c>
      <c r="C70" s="1512">
        <v>12</v>
      </c>
      <c r="D70" s="1513">
        <v>3447</v>
      </c>
      <c r="E70" s="1513"/>
      <c r="F70" s="1513"/>
      <c r="G70" s="1513"/>
      <c r="H70" s="1513"/>
      <c r="I70" s="1513"/>
      <c r="J70" s="1513"/>
      <c r="K70" s="1513">
        <v>120</v>
      </c>
      <c r="L70" s="1514">
        <f t="shared" ref="L70:L99" si="3">SUM(D70:J70)-K70</f>
        <v>3327</v>
      </c>
      <c r="M70" s="2376">
        <f t="shared" ref="M70:M99" si="4">+D70+E70+F70+G70+H70+I70+J70-K70-L70</f>
        <v>0</v>
      </c>
      <c r="N70" s="2376"/>
    </row>
    <row r="71" spans="1:14">
      <c r="A71" s="1500">
        <v>4</v>
      </c>
      <c r="B71" s="1512"/>
      <c r="C71" s="1512">
        <v>8</v>
      </c>
      <c r="D71" s="1513">
        <f>8934+2090</f>
        <v>11024</v>
      </c>
      <c r="E71" s="1513"/>
      <c r="F71" s="1513">
        <v>233</v>
      </c>
      <c r="G71" s="1513"/>
      <c r="H71" s="1513"/>
      <c r="I71" s="1513"/>
      <c r="J71" s="1513">
        <v>160</v>
      </c>
      <c r="K71" s="1513">
        <v>5168</v>
      </c>
      <c r="L71" s="1514">
        <f t="shared" si="3"/>
        <v>6249</v>
      </c>
      <c r="M71" s="2376">
        <f t="shared" si="4"/>
        <v>0</v>
      </c>
      <c r="N71" s="2376"/>
    </row>
    <row r="72" spans="1:14">
      <c r="A72" s="1500">
        <v>5</v>
      </c>
      <c r="B72" s="1515"/>
      <c r="C72" s="1512">
        <v>6</v>
      </c>
      <c r="D72" s="1513">
        <f>28173-2145</f>
        <v>26028</v>
      </c>
      <c r="E72" s="1513"/>
      <c r="F72" s="1513">
        <v>2057</v>
      </c>
      <c r="G72" s="1513"/>
      <c r="H72" s="1513"/>
      <c r="I72" s="1513"/>
      <c r="J72" s="1513">
        <v>160</v>
      </c>
      <c r="K72" s="1513">
        <v>14704</v>
      </c>
      <c r="L72" s="1514">
        <f t="shared" si="3"/>
        <v>13541</v>
      </c>
      <c r="M72" s="2376">
        <f t="shared" si="4"/>
        <v>0</v>
      </c>
      <c r="N72" s="2376"/>
    </row>
    <row r="73" spans="1:14">
      <c r="A73" s="1500">
        <v>6</v>
      </c>
      <c r="B73" s="1512"/>
      <c r="C73" s="1512">
        <v>2</v>
      </c>
      <c r="D73" s="1513"/>
      <c r="E73" s="1513">
        <v>293</v>
      </c>
      <c r="F73" s="1513"/>
      <c r="G73" s="1513"/>
      <c r="H73" s="1513"/>
      <c r="I73" s="1513"/>
      <c r="J73" s="1513"/>
      <c r="K73" s="1513">
        <v>293</v>
      </c>
      <c r="L73" s="1514">
        <f t="shared" si="3"/>
        <v>0</v>
      </c>
      <c r="M73" s="2376">
        <f t="shared" si="4"/>
        <v>0</v>
      </c>
      <c r="N73" s="2376"/>
    </row>
    <row r="74" spans="1:14">
      <c r="A74" s="1500">
        <v>7</v>
      </c>
      <c r="B74" s="1512" t="s">
        <v>623</v>
      </c>
      <c r="C74" s="1512">
        <v>8</v>
      </c>
      <c r="D74" s="1513">
        <v>2467</v>
      </c>
      <c r="E74" s="1513"/>
      <c r="F74" s="1513">
        <v>865</v>
      </c>
      <c r="G74" s="1513"/>
      <c r="H74" s="1513"/>
      <c r="I74" s="1513"/>
      <c r="J74" s="1513"/>
      <c r="K74" s="1513">
        <v>1868</v>
      </c>
      <c r="L74" s="1514">
        <f t="shared" si="3"/>
        <v>1464</v>
      </c>
      <c r="M74" s="2376">
        <f t="shared" si="4"/>
        <v>0</v>
      </c>
      <c r="N74" s="2376"/>
    </row>
    <row r="75" spans="1:14">
      <c r="A75" s="1500">
        <v>8</v>
      </c>
      <c r="B75" s="1512"/>
      <c r="C75" s="1512">
        <v>6</v>
      </c>
      <c r="D75" s="1513">
        <v>8982</v>
      </c>
      <c r="E75" s="1513"/>
      <c r="F75" s="1513"/>
      <c r="G75" s="1513"/>
      <c r="H75" s="1513"/>
      <c r="I75" s="1513"/>
      <c r="J75" s="1513"/>
      <c r="K75" s="1513">
        <v>1222</v>
      </c>
      <c r="L75" s="1514">
        <f t="shared" si="3"/>
        <v>7760</v>
      </c>
      <c r="M75" s="2376">
        <f t="shared" si="4"/>
        <v>0</v>
      </c>
      <c r="N75" s="2376"/>
    </row>
    <row r="76" spans="1:14">
      <c r="A76" s="1500">
        <v>9</v>
      </c>
      <c r="B76" s="1512"/>
      <c r="C76" s="1512">
        <v>4</v>
      </c>
      <c r="D76" s="1513">
        <v>306</v>
      </c>
      <c r="E76" s="1513"/>
      <c r="F76" s="1513"/>
      <c r="G76" s="1513"/>
      <c r="H76" s="1513"/>
      <c r="I76" s="1513"/>
      <c r="J76" s="1513"/>
      <c r="K76" s="1513">
        <v>295</v>
      </c>
      <c r="L76" s="1514">
        <f t="shared" si="3"/>
        <v>11</v>
      </c>
      <c r="M76" s="2376">
        <f t="shared" si="4"/>
        <v>0</v>
      </c>
      <c r="N76" s="2376"/>
    </row>
    <row r="77" spans="1:14">
      <c r="A77" s="1500">
        <v>10</v>
      </c>
      <c r="B77" s="1512"/>
      <c r="C77" s="1512">
        <v>2</v>
      </c>
      <c r="D77" s="1513"/>
      <c r="E77" s="1513">
        <v>1854</v>
      </c>
      <c r="F77" s="1513"/>
      <c r="G77" s="1513"/>
      <c r="H77" s="1513"/>
      <c r="I77" s="1513"/>
      <c r="J77" s="1513"/>
      <c r="K77" s="1513">
        <v>1396</v>
      </c>
      <c r="L77" s="1514">
        <f t="shared" si="3"/>
        <v>458</v>
      </c>
      <c r="M77" s="2376">
        <f t="shared" si="4"/>
        <v>0</v>
      </c>
      <c r="N77" s="2376"/>
    </row>
    <row r="78" spans="1:14">
      <c r="A78" s="1500">
        <v>11</v>
      </c>
      <c r="B78" s="1512" t="s">
        <v>2263</v>
      </c>
      <c r="C78" s="1512">
        <v>20</v>
      </c>
      <c r="D78" s="1513"/>
      <c r="E78" s="1513"/>
      <c r="F78" s="1513">
        <v>76</v>
      </c>
      <c r="G78" s="1513"/>
      <c r="H78" s="1513"/>
      <c r="I78" s="1513"/>
      <c r="J78" s="1513"/>
      <c r="K78" s="1513"/>
      <c r="L78" s="1514">
        <f t="shared" si="3"/>
        <v>76</v>
      </c>
      <c r="M78" s="2376">
        <f t="shared" si="4"/>
        <v>0</v>
      </c>
      <c r="N78" s="2376"/>
    </row>
    <row r="79" spans="1:14">
      <c r="A79" s="1500">
        <v>12</v>
      </c>
      <c r="B79" s="1512"/>
      <c r="C79" s="1512">
        <v>12</v>
      </c>
      <c r="D79" s="1513">
        <v>11106</v>
      </c>
      <c r="E79" s="1513"/>
      <c r="F79" s="1513">
        <v>1328</v>
      </c>
      <c r="G79" s="1513"/>
      <c r="H79" s="1513"/>
      <c r="I79" s="1513"/>
      <c r="J79" s="1513"/>
      <c r="K79" s="1513"/>
      <c r="L79" s="1514">
        <f t="shared" si="3"/>
        <v>12434</v>
      </c>
      <c r="M79" s="2376">
        <f t="shared" si="4"/>
        <v>0</v>
      </c>
      <c r="N79" s="2376"/>
    </row>
    <row r="80" spans="1:14">
      <c r="A80" s="1500">
        <v>13</v>
      </c>
      <c r="B80" s="1512"/>
      <c r="C80" s="1512">
        <v>8</v>
      </c>
      <c r="D80" s="1513">
        <v>15726</v>
      </c>
      <c r="E80" s="1513"/>
      <c r="F80" s="1513">
        <v>1510</v>
      </c>
      <c r="G80" s="1513"/>
      <c r="H80" s="1513"/>
      <c r="I80" s="1513"/>
      <c r="J80" s="1513"/>
      <c r="K80" s="1513">
        <v>3684</v>
      </c>
      <c r="L80" s="1514">
        <f t="shared" si="3"/>
        <v>13552</v>
      </c>
      <c r="M80" s="2376">
        <f t="shared" si="4"/>
        <v>0</v>
      </c>
      <c r="N80" s="2376"/>
    </row>
    <row r="81" spans="1:14">
      <c r="A81" s="1500">
        <v>14</v>
      </c>
      <c r="B81" s="1512"/>
      <c r="C81" s="1512">
        <v>6</v>
      </c>
      <c r="D81" s="1513">
        <v>27539</v>
      </c>
      <c r="E81" s="1513"/>
      <c r="F81" s="1513">
        <v>4608</v>
      </c>
      <c r="G81" s="1513"/>
      <c r="H81" s="1513"/>
      <c r="I81" s="1513"/>
      <c r="J81" s="1513"/>
      <c r="K81" s="1513">
        <v>22368</v>
      </c>
      <c r="L81" s="1514">
        <f t="shared" si="3"/>
        <v>9779</v>
      </c>
      <c r="M81" s="2376">
        <f t="shared" si="4"/>
        <v>0</v>
      </c>
      <c r="N81" s="2376"/>
    </row>
    <row r="82" spans="1:14">
      <c r="A82" s="1500">
        <v>15</v>
      </c>
      <c r="B82" s="1512"/>
      <c r="C82" s="1512">
        <v>4</v>
      </c>
      <c r="D82" s="1513">
        <f>6943-78</f>
        <v>6865</v>
      </c>
      <c r="E82" s="1513"/>
      <c r="F82" s="1513">
        <v>183</v>
      </c>
      <c r="G82" s="1513"/>
      <c r="H82" s="1513"/>
      <c r="I82" s="1513"/>
      <c r="J82" s="1513"/>
      <c r="K82" s="1513">
        <v>6920</v>
      </c>
      <c r="L82" s="1514">
        <f t="shared" si="3"/>
        <v>128</v>
      </c>
      <c r="M82" s="2376">
        <f t="shared" si="4"/>
        <v>0</v>
      </c>
      <c r="N82" s="2376"/>
    </row>
    <row r="83" spans="1:14">
      <c r="A83" s="1500">
        <v>16</v>
      </c>
      <c r="B83" s="1512"/>
      <c r="C83" s="1512">
        <v>2</v>
      </c>
      <c r="D83" s="1513">
        <v>54</v>
      </c>
      <c r="E83" s="1513">
        <v>8839</v>
      </c>
      <c r="F83" s="1513"/>
      <c r="G83" s="1513"/>
      <c r="H83" s="1513"/>
      <c r="I83" s="1513"/>
      <c r="J83" s="1513"/>
      <c r="K83" s="1513">
        <v>8893</v>
      </c>
      <c r="L83" s="1514">
        <f t="shared" si="3"/>
        <v>0</v>
      </c>
      <c r="M83" s="2376">
        <f t="shared" si="4"/>
        <v>0</v>
      </c>
      <c r="N83" s="2376"/>
    </row>
    <row r="84" spans="1:14">
      <c r="A84" s="1500">
        <v>17</v>
      </c>
      <c r="B84" s="1512"/>
      <c r="C84" s="1512">
        <v>1.5</v>
      </c>
      <c r="D84" s="1513"/>
      <c r="E84" s="1513">
        <v>100</v>
      </c>
      <c r="F84" s="1513"/>
      <c r="G84" s="1513"/>
      <c r="H84" s="1513"/>
      <c r="I84" s="1513"/>
      <c r="J84" s="1513"/>
      <c r="K84" s="1513">
        <v>100</v>
      </c>
      <c r="L84" s="1514">
        <f t="shared" si="3"/>
        <v>0</v>
      </c>
      <c r="M84" s="2376">
        <f t="shared" si="4"/>
        <v>0</v>
      </c>
      <c r="N84" s="2376"/>
    </row>
    <row r="85" spans="1:14">
      <c r="A85" s="1500">
        <v>18</v>
      </c>
      <c r="B85" s="1512"/>
      <c r="C85" s="1512">
        <v>1.25</v>
      </c>
      <c r="D85" s="1513"/>
      <c r="E85" s="1513">
        <v>108</v>
      </c>
      <c r="F85" s="1513"/>
      <c r="G85" s="1513"/>
      <c r="H85" s="1513"/>
      <c r="I85" s="1513"/>
      <c r="J85" s="1513"/>
      <c r="K85" s="1513">
        <v>108</v>
      </c>
      <c r="L85" s="1514">
        <f t="shared" si="3"/>
        <v>0</v>
      </c>
      <c r="M85" s="2376">
        <f t="shared" si="4"/>
        <v>0</v>
      </c>
      <c r="N85" s="2376"/>
    </row>
    <row r="86" spans="1:14">
      <c r="A86" s="1500">
        <v>19</v>
      </c>
      <c r="B86" s="1512"/>
      <c r="C86" s="1512">
        <v>1</v>
      </c>
      <c r="D86" s="1513"/>
      <c r="E86" s="1513"/>
      <c r="F86" s="1513"/>
      <c r="G86" s="1513"/>
      <c r="H86" s="1513"/>
      <c r="I86" s="1513">
        <v>25</v>
      </c>
      <c r="J86" s="1513"/>
      <c r="K86" s="1513"/>
      <c r="L86" s="1514">
        <f t="shared" si="3"/>
        <v>25</v>
      </c>
      <c r="M86" s="2376">
        <f t="shared" si="4"/>
        <v>0</v>
      </c>
      <c r="N86" s="2376"/>
    </row>
    <row r="87" spans="1:14">
      <c r="A87" s="1500">
        <v>20</v>
      </c>
      <c r="B87" s="1512"/>
      <c r="C87" s="1512">
        <v>0.75</v>
      </c>
      <c r="D87" s="1513"/>
      <c r="E87" s="1513"/>
      <c r="F87" s="1513"/>
      <c r="G87" s="1513"/>
      <c r="H87" s="1513"/>
      <c r="I87" s="1513">
        <v>18</v>
      </c>
      <c r="J87" s="1513"/>
      <c r="K87" s="1513"/>
      <c r="L87" s="1514">
        <f t="shared" si="3"/>
        <v>18</v>
      </c>
      <c r="M87" s="2376">
        <f t="shared" si="4"/>
        <v>0</v>
      </c>
      <c r="N87" s="2376"/>
    </row>
    <row r="88" spans="1:14">
      <c r="A88" s="1500">
        <v>21</v>
      </c>
      <c r="B88" s="1512" t="s">
        <v>619</v>
      </c>
      <c r="C88" s="1512">
        <v>24</v>
      </c>
      <c r="D88" s="1513">
        <v>471</v>
      </c>
      <c r="E88" s="1513"/>
      <c r="F88" s="1513"/>
      <c r="G88" s="1513"/>
      <c r="H88" s="1513"/>
      <c r="I88" s="1513"/>
      <c r="J88" s="1513"/>
      <c r="K88" s="1513">
        <v>103</v>
      </c>
      <c r="L88" s="1514">
        <f t="shared" si="3"/>
        <v>368</v>
      </c>
      <c r="M88" s="2376">
        <f t="shared" si="4"/>
        <v>0</v>
      </c>
      <c r="N88" s="2376"/>
    </row>
    <row r="89" spans="1:14">
      <c r="A89" s="1500">
        <v>22</v>
      </c>
      <c r="B89" s="1512"/>
      <c r="C89" s="1512">
        <v>20</v>
      </c>
      <c r="D89" s="1513">
        <v>4829</v>
      </c>
      <c r="E89" s="1513"/>
      <c r="F89" s="1513"/>
      <c r="G89" s="1513">
        <v>749</v>
      </c>
      <c r="H89" s="1513"/>
      <c r="I89" s="1513"/>
      <c r="J89" s="1513">
        <v>700</v>
      </c>
      <c r="K89" s="1513"/>
      <c r="L89" s="1514">
        <f t="shared" si="3"/>
        <v>6278</v>
      </c>
      <c r="M89" s="2376">
        <f t="shared" si="4"/>
        <v>0</v>
      </c>
      <c r="N89" s="2376"/>
    </row>
    <row r="90" spans="1:14">
      <c r="A90" s="1500">
        <v>23</v>
      </c>
      <c r="B90" s="1512"/>
      <c r="C90" s="1512">
        <v>16</v>
      </c>
      <c r="D90" s="1513">
        <v>18272</v>
      </c>
      <c r="E90" s="1513"/>
      <c r="F90" s="1513">
        <v>120</v>
      </c>
      <c r="G90" s="1513"/>
      <c r="H90" s="1513"/>
      <c r="I90" s="1513"/>
      <c r="J90" s="1513"/>
      <c r="K90" s="1513">
        <v>933</v>
      </c>
      <c r="L90" s="1514">
        <f t="shared" si="3"/>
        <v>17459</v>
      </c>
      <c r="M90" s="2376">
        <f t="shared" si="4"/>
        <v>0</v>
      </c>
      <c r="N90" s="2376"/>
    </row>
    <row r="91" spans="1:14">
      <c r="A91" s="1500">
        <v>24</v>
      </c>
      <c r="B91" s="1512"/>
      <c r="C91" s="1512">
        <v>12</v>
      </c>
      <c r="D91" s="1513">
        <v>17233</v>
      </c>
      <c r="E91" s="1513"/>
      <c r="F91" s="1513"/>
      <c r="G91" s="1513">
        <v>802</v>
      </c>
      <c r="H91" s="1513"/>
      <c r="I91" s="1513"/>
      <c r="J91" s="1513"/>
      <c r="K91" s="1513">
        <v>754</v>
      </c>
      <c r="L91" s="1514">
        <f t="shared" si="3"/>
        <v>17281</v>
      </c>
      <c r="M91" s="2376">
        <f t="shared" si="4"/>
        <v>0</v>
      </c>
      <c r="N91" s="2376"/>
    </row>
    <row r="92" spans="1:14">
      <c r="A92" s="1500">
        <v>25</v>
      </c>
      <c r="B92" s="1512"/>
      <c r="C92" s="1512">
        <v>10</v>
      </c>
      <c r="D92" s="1513"/>
      <c r="E92" s="1513"/>
      <c r="F92" s="1513"/>
      <c r="G92" s="1513"/>
      <c r="H92" s="1513"/>
      <c r="I92" s="1513"/>
      <c r="J92" s="1513">
        <v>180</v>
      </c>
      <c r="K92" s="1513"/>
      <c r="L92" s="1514">
        <f t="shared" si="3"/>
        <v>180</v>
      </c>
      <c r="M92" s="2376">
        <f t="shared" si="4"/>
        <v>0</v>
      </c>
      <c r="N92" s="2376"/>
    </row>
    <row r="93" spans="1:14">
      <c r="A93" s="1500">
        <v>26</v>
      </c>
      <c r="B93" s="1512"/>
      <c r="C93" s="1512">
        <v>8</v>
      </c>
      <c r="D93" s="1513">
        <v>45505</v>
      </c>
      <c r="E93" s="1513"/>
      <c r="F93" s="1513"/>
      <c r="G93" s="1513">
        <v>252</v>
      </c>
      <c r="H93" s="1513"/>
      <c r="I93" s="1513"/>
      <c r="J93" s="1513"/>
      <c r="K93" s="1513">
        <v>3649</v>
      </c>
      <c r="L93" s="1514">
        <f t="shared" si="3"/>
        <v>42108</v>
      </c>
      <c r="M93" s="2376">
        <f t="shared" si="4"/>
        <v>0</v>
      </c>
      <c r="N93" s="2376"/>
    </row>
    <row r="94" spans="1:14">
      <c r="A94" s="1500">
        <v>27</v>
      </c>
      <c r="B94" s="1512"/>
      <c r="C94" s="1512">
        <v>6</v>
      </c>
      <c r="D94" s="1513">
        <v>74859</v>
      </c>
      <c r="E94" s="1513"/>
      <c r="F94" s="1513"/>
      <c r="G94" s="1513"/>
      <c r="H94" s="1513"/>
      <c r="I94" s="1513"/>
      <c r="J94" s="1513">
        <v>220</v>
      </c>
      <c r="K94" s="1513">
        <v>18430</v>
      </c>
      <c r="L94" s="1514">
        <f t="shared" si="3"/>
        <v>56649</v>
      </c>
      <c r="M94" s="2376">
        <f t="shared" si="4"/>
        <v>0</v>
      </c>
      <c r="N94" s="2376"/>
    </row>
    <row r="95" spans="1:14">
      <c r="A95" s="1500">
        <v>28</v>
      </c>
      <c r="B95" s="1512"/>
      <c r="C95" s="1512">
        <v>4</v>
      </c>
      <c r="D95" s="1513">
        <v>6</v>
      </c>
      <c r="E95" s="1513">
        <v>599</v>
      </c>
      <c r="F95" s="1513"/>
      <c r="G95" s="1513"/>
      <c r="H95" s="1513"/>
      <c r="I95" s="1513"/>
      <c r="J95" s="1513"/>
      <c r="K95" s="1513">
        <v>149</v>
      </c>
      <c r="L95" s="1514">
        <f t="shared" si="3"/>
        <v>456</v>
      </c>
      <c r="M95" s="2376">
        <f t="shared" si="4"/>
        <v>0</v>
      </c>
      <c r="N95" s="2376"/>
    </row>
    <row r="96" spans="1:14">
      <c r="A96" s="1500">
        <v>29</v>
      </c>
      <c r="B96" s="1512"/>
      <c r="C96" s="1512">
        <v>2</v>
      </c>
      <c r="D96" s="1513"/>
      <c r="E96" s="1513">
        <v>5330</v>
      </c>
      <c r="F96" s="1513"/>
      <c r="G96" s="1513"/>
      <c r="H96" s="1513"/>
      <c r="I96" s="1513"/>
      <c r="J96" s="1513"/>
      <c r="K96" s="1513">
        <v>2723</v>
      </c>
      <c r="L96" s="1514">
        <f t="shared" si="3"/>
        <v>2607</v>
      </c>
      <c r="M96" s="2376">
        <f t="shared" si="4"/>
        <v>0</v>
      </c>
      <c r="N96" s="2376"/>
    </row>
    <row r="97" spans="1:14">
      <c r="A97" s="1500">
        <v>30</v>
      </c>
      <c r="B97" s="1512" t="s">
        <v>620</v>
      </c>
      <c r="C97" s="1512">
        <v>36</v>
      </c>
      <c r="D97" s="1513"/>
      <c r="E97" s="1513"/>
      <c r="F97" s="1513">
        <v>132</v>
      </c>
      <c r="G97" s="1513"/>
      <c r="H97" s="1513"/>
      <c r="I97" s="1513"/>
      <c r="J97" s="1513"/>
      <c r="K97" s="1513">
        <v>132</v>
      </c>
      <c r="L97" s="1514">
        <f t="shared" si="3"/>
        <v>0</v>
      </c>
      <c r="M97" s="2376">
        <f t="shared" si="4"/>
        <v>0</v>
      </c>
      <c r="N97" s="2376"/>
    </row>
    <row r="98" spans="1:14">
      <c r="A98" s="1500">
        <v>31</v>
      </c>
      <c r="B98" s="1512"/>
      <c r="C98" s="1512">
        <v>30</v>
      </c>
      <c r="D98" s="1513"/>
      <c r="E98" s="1513"/>
      <c r="F98" s="1513">
        <v>130</v>
      </c>
      <c r="G98" s="1513"/>
      <c r="H98" s="1513"/>
      <c r="I98" s="1513"/>
      <c r="J98" s="1513"/>
      <c r="K98" s="1513">
        <v>130</v>
      </c>
      <c r="L98" s="1514">
        <f t="shared" si="3"/>
        <v>0</v>
      </c>
      <c r="M98" s="2376">
        <f t="shared" si="4"/>
        <v>0</v>
      </c>
      <c r="N98" s="2376"/>
    </row>
    <row r="99" spans="1:14" ht="15.75" thickBot="1">
      <c r="A99" s="1516">
        <v>32</v>
      </c>
      <c r="B99" s="1517"/>
      <c r="C99" s="1517">
        <v>24</v>
      </c>
      <c r="D99" s="1518">
        <v>13561</v>
      </c>
      <c r="E99" s="1518"/>
      <c r="F99" s="1518">
        <v>146</v>
      </c>
      <c r="G99" s="1518"/>
      <c r="H99" s="1518"/>
      <c r="I99" s="1518"/>
      <c r="J99" s="1518"/>
      <c r="K99" s="1518">
        <v>4475</v>
      </c>
      <c r="L99" s="1519">
        <f t="shared" si="3"/>
        <v>9232</v>
      </c>
      <c r="M99" s="2376">
        <f t="shared" si="4"/>
        <v>0</v>
      </c>
      <c r="N99" s="2376"/>
    </row>
    <row r="100" spans="1:14">
      <c r="B100" s="1478"/>
      <c r="C100" s="1478"/>
      <c r="D100" s="1478"/>
      <c r="E100" s="1478"/>
      <c r="F100" s="1478"/>
      <c r="G100" s="1478"/>
      <c r="H100" s="1478"/>
      <c r="I100" s="1478"/>
      <c r="J100" s="1478"/>
      <c r="K100" s="1478"/>
      <c r="L100" s="2379"/>
    </row>
    <row r="101" spans="1:14">
      <c r="A101" s="1481" t="s">
        <v>1015</v>
      </c>
      <c r="B101" s="1521"/>
      <c r="C101" s="1521"/>
      <c r="D101" s="1521"/>
      <c r="E101" s="1521"/>
      <c r="F101" s="1481"/>
      <c r="G101" s="1521"/>
      <c r="H101" s="1521"/>
      <c r="I101" s="1521"/>
      <c r="J101" s="1521"/>
      <c r="K101" s="1486"/>
      <c r="L101" s="1522"/>
    </row>
    <row r="102" spans="1:14">
      <c r="L102" s="1522"/>
    </row>
    <row r="103" spans="1:14" ht="15.75" thickBot="1">
      <c r="A103" s="186" t="str">
        <f>+'Data sheet'!A53</f>
        <v>Annual Report of New York American Water Company, Inc. (f/k/a Long Island Water Corp)                                   Year Ended  December 31, 2013</v>
      </c>
    </row>
    <row r="104" spans="1:14">
      <c r="A104" s="1482"/>
      <c r="B104" s="1483"/>
      <c r="C104" s="1483"/>
      <c r="D104" s="1483"/>
      <c r="E104" s="1483"/>
      <c r="F104" s="1483"/>
      <c r="G104" s="1483"/>
      <c r="H104" s="1483"/>
      <c r="I104" s="1483"/>
      <c r="J104" s="1483"/>
      <c r="K104" s="1483"/>
      <c r="L104" s="1514"/>
    </row>
    <row r="105" spans="1:14" ht="15.75">
      <c r="A105" s="1485" t="s">
        <v>1014</v>
      </c>
      <c r="B105" s="1486"/>
      <c r="C105" s="1486"/>
      <c r="D105" s="1441"/>
      <c r="E105" s="1487"/>
      <c r="F105" s="1486"/>
      <c r="G105" s="1486"/>
      <c r="H105" s="1486"/>
      <c r="I105" s="1486"/>
      <c r="J105" s="1486"/>
      <c r="K105" s="1486"/>
      <c r="L105" s="1514"/>
    </row>
    <row r="106" spans="1:14">
      <c r="A106" s="1489"/>
      <c r="B106" s="1490"/>
      <c r="C106" s="1490"/>
      <c r="D106" s="1490"/>
      <c r="E106" s="1490"/>
      <c r="F106" s="1490"/>
      <c r="G106" s="1490"/>
      <c r="H106" s="1490"/>
      <c r="I106" s="1490"/>
      <c r="J106" s="1490"/>
      <c r="K106" s="1490"/>
      <c r="L106" s="1526"/>
    </row>
    <row r="107" spans="1:14">
      <c r="A107" s="1492"/>
      <c r="B107" s="1478"/>
      <c r="C107" s="1478"/>
      <c r="D107" s="1478"/>
      <c r="E107" s="1478"/>
      <c r="F107" s="1478"/>
      <c r="G107" s="1478"/>
      <c r="H107" s="1478"/>
      <c r="I107" s="1478"/>
      <c r="J107" s="1478"/>
      <c r="K107" s="1478"/>
      <c r="L107" s="1514"/>
    </row>
    <row r="108" spans="1:14">
      <c r="A108" s="1492"/>
      <c r="B108" s="1478" t="s">
        <v>1438</v>
      </c>
      <c r="D108" s="1478"/>
      <c r="E108" s="1478"/>
      <c r="H108" s="1478"/>
      <c r="J108" s="1478"/>
      <c r="K108" s="1478"/>
      <c r="L108" s="1514"/>
    </row>
    <row r="109" spans="1:14">
      <c r="A109" s="1492"/>
      <c r="B109" s="1478" t="s">
        <v>347</v>
      </c>
      <c r="D109" s="1478"/>
      <c r="E109" s="1478"/>
      <c r="H109" s="1478"/>
      <c r="J109" s="1478"/>
      <c r="K109" s="1478"/>
      <c r="L109" s="1514"/>
    </row>
    <row r="110" spans="1:14">
      <c r="A110" s="1492"/>
      <c r="B110" s="1478" t="s">
        <v>348</v>
      </c>
      <c r="D110" s="1478"/>
      <c r="E110" s="1478"/>
      <c r="F110" s="1478"/>
      <c r="H110" s="1478"/>
      <c r="I110" s="1478"/>
      <c r="J110" s="1478"/>
      <c r="K110" s="1478"/>
      <c r="L110" s="1514"/>
    </row>
    <row r="111" spans="1:14">
      <c r="A111" s="1492"/>
      <c r="D111" s="1478"/>
      <c r="E111" s="1478"/>
      <c r="G111" s="1478"/>
      <c r="H111" s="1478"/>
      <c r="I111" s="1478"/>
      <c r="J111" s="1478"/>
      <c r="K111" s="1478"/>
      <c r="L111" s="1514"/>
    </row>
    <row r="112" spans="1:14">
      <c r="A112" s="1492"/>
      <c r="B112" s="1478"/>
      <c r="C112" s="1478"/>
      <c r="D112" s="1478"/>
      <c r="E112" s="1478"/>
      <c r="F112" s="1478"/>
      <c r="G112" s="1478"/>
      <c r="H112" s="1478"/>
      <c r="I112" s="1478"/>
      <c r="J112" s="1478"/>
      <c r="K112" s="1478"/>
      <c r="L112" s="1514"/>
    </row>
    <row r="113" spans="1:14">
      <c r="A113" s="1494"/>
      <c r="B113" s="1495"/>
      <c r="C113" s="1496"/>
      <c r="D113" s="1497" t="s">
        <v>349</v>
      </c>
      <c r="E113" s="1498"/>
      <c r="F113" s="1498"/>
      <c r="G113" s="1498"/>
      <c r="H113" s="1498"/>
      <c r="I113" s="1498"/>
      <c r="J113" s="1498"/>
      <c r="K113" s="2374" t="s">
        <v>350</v>
      </c>
      <c r="L113" s="1499"/>
    </row>
    <row r="114" spans="1:14">
      <c r="A114" s="1500"/>
      <c r="B114" s="1501"/>
      <c r="C114" s="1479" t="s">
        <v>351</v>
      </c>
      <c r="D114" s="1501"/>
      <c r="E114" s="1501"/>
      <c r="F114" s="1501"/>
      <c r="G114" s="1501"/>
      <c r="H114" s="1501"/>
      <c r="I114" s="1502"/>
      <c r="J114" s="1501"/>
      <c r="K114" s="2375" t="s">
        <v>352</v>
      </c>
      <c r="L114" s="1503" t="s">
        <v>1665</v>
      </c>
    </row>
    <row r="115" spans="1:14">
      <c r="A115" s="1504" t="s">
        <v>357</v>
      </c>
      <c r="B115" s="1501" t="s">
        <v>1561</v>
      </c>
      <c r="C115" s="1501" t="s">
        <v>1666</v>
      </c>
      <c r="D115" s="1501" t="s">
        <v>1667</v>
      </c>
      <c r="E115" s="1501" t="s">
        <v>858</v>
      </c>
      <c r="F115" s="1501" t="s">
        <v>859</v>
      </c>
      <c r="G115" s="1501" t="s">
        <v>860</v>
      </c>
      <c r="H115" s="1501" t="s">
        <v>861</v>
      </c>
      <c r="I115" s="1501" t="s">
        <v>862</v>
      </c>
      <c r="J115" s="1501" t="s">
        <v>1006</v>
      </c>
      <c r="K115" s="1501" t="s">
        <v>1007</v>
      </c>
      <c r="L115" s="1505" t="s">
        <v>1008</v>
      </c>
    </row>
    <row r="116" spans="1:14">
      <c r="A116" s="1504" t="s">
        <v>2955</v>
      </c>
      <c r="B116" s="1501" t="s">
        <v>4400</v>
      </c>
      <c r="C116" s="1501" t="s">
        <v>1748</v>
      </c>
      <c r="D116" s="1501" t="s">
        <v>1009</v>
      </c>
      <c r="E116" s="1501" t="s">
        <v>1009</v>
      </c>
      <c r="F116" s="1501"/>
      <c r="G116" s="1501"/>
      <c r="H116" s="1501"/>
      <c r="I116" s="1501"/>
      <c r="J116" s="1501"/>
      <c r="K116" s="1501" t="s">
        <v>3039</v>
      </c>
      <c r="L116" s="1505" t="s">
        <v>3039</v>
      </c>
    </row>
    <row r="117" spans="1:14">
      <c r="A117" s="1504"/>
      <c r="B117" s="1501" t="s">
        <v>4032</v>
      </c>
      <c r="C117" s="1501" t="s">
        <v>3836</v>
      </c>
      <c r="D117" s="1501" t="s">
        <v>1010</v>
      </c>
      <c r="E117" s="1501" t="s">
        <v>3838</v>
      </c>
      <c r="F117" s="1501" t="s">
        <v>2277</v>
      </c>
      <c r="G117" s="1501" t="s">
        <v>2278</v>
      </c>
      <c r="H117" s="1501" t="s">
        <v>2279</v>
      </c>
      <c r="I117" s="1501" t="s">
        <v>2280</v>
      </c>
      <c r="J117" s="1501" t="s">
        <v>2281</v>
      </c>
      <c r="K117" s="1501" t="s">
        <v>2282</v>
      </c>
      <c r="L117" s="1529" t="s">
        <v>2283</v>
      </c>
    </row>
    <row r="118" spans="1:14">
      <c r="A118" s="1506">
        <v>1</v>
      </c>
      <c r="B118" s="1507" t="s">
        <v>1011</v>
      </c>
      <c r="C118" s="1508"/>
      <c r="D118" s="1509"/>
      <c r="E118" s="1509"/>
      <c r="F118" s="1509"/>
      <c r="G118" s="1509"/>
      <c r="H118" s="1509"/>
      <c r="I118" s="1509"/>
      <c r="J118" s="1509"/>
      <c r="K118" s="1509"/>
      <c r="L118" s="1514"/>
    </row>
    <row r="119" spans="1:14">
      <c r="A119" s="1500">
        <v>2</v>
      </c>
      <c r="B119" s="1511" t="s">
        <v>1012</v>
      </c>
      <c r="C119" s="1512"/>
      <c r="D119" s="1513"/>
      <c r="E119" s="1513"/>
      <c r="F119" s="1513"/>
      <c r="G119" s="1513"/>
      <c r="H119" s="1513"/>
      <c r="I119" s="1513"/>
      <c r="J119" s="1513"/>
      <c r="K119" s="1513"/>
      <c r="L119" s="1514"/>
    </row>
    <row r="120" spans="1:14">
      <c r="A120" s="1500">
        <v>3</v>
      </c>
      <c r="B120" s="1455" t="s">
        <v>1016</v>
      </c>
      <c r="C120" s="1512">
        <v>20</v>
      </c>
      <c r="D120" s="1513">
        <v>4304</v>
      </c>
      <c r="E120" s="1513"/>
      <c r="F120" s="1513">
        <v>207</v>
      </c>
      <c r="G120" s="1513"/>
      <c r="H120" s="1513"/>
      <c r="I120" s="1513"/>
      <c r="J120" s="1513"/>
      <c r="K120" s="1513">
        <v>234</v>
      </c>
      <c r="L120" s="1514">
        <f t="shared" ref="L120:L149" si="5">SUM(D120:J120)-K120</f>
        <v>4277</v>
      </c>
      <c r="M120" s="2376">
        <f t="shared" ref="M120:M150" si="6">+D120+E120+F120+G120+H120+I120+J120-K120-L120</f>
        <v>0</v>
      </c>
      <c r="N120" s="2376"/>
    </row>
    <row r="121" spans="1:14">
      <c r="A121" s="1500">
        <v>4</v>
      </c>
      <c r="B121" s="1512"/>
      <c r="C121" s="1512">
        <v>16</v>
      </c>
      <c r="D121" s="1513">
        <v>618</v>
      </c>
      <c r="E121" s="1513"/>
      <c r="F121" s="1513">
        <v>28</v>
      </c>
      <c r="G121" s="1513"/>
      <c r="H121" s="1513"/>
      <c r="I121" s="1513"/>
      <c r="J121" s="1513"/>
      <c r="K121" s="1513"/>
      <c r="L121" s="1514">
        <f t="shared" si="5"/>
        <v>646</v>
      </c>
      <c r="M121" s="2376">
        <f t="shared" si="6"/>
        <v>0</v>
      </c>
      <c r="N121" s="2376"/>
    </row>
    <row r="122" spans="1:14">
      <c r="A122" s="1500">
        <v>5</v>
      </c>
      <c r="B122" s="1515"/>
      <c r="C122" s="1512">
        <v>12</v>
      </c>
      <c r="D122" s="1513">
        <v>17767</v>
      </c>
      <c r="E122" s="1513"/>
      <c r="F122" s="1513"/>
      <c r="G122" s="1513"/>
      <c r="H122" s="1513"/>
      <c r="I122" s="1513"/>
      <c r="J122" s="1513"/>
      <c r="K122" s="1513">
        <v>675</v>
      </c>
      <c r="L122" s="1514">
        <f t="shared" si="5"/>
        <v>17092</v>
      </c>
      <c r="M122" s="2376">
        <f t="shared" si="6"/>
        <v>0</v>
      </c>
      <c r="N122" s="2376"/>
    </row>
    <row r="123" spans="1:14">
      <c r="A123" s="1500">
        <v>6</v>
      </c>
      <c r="B123" s="1512"/>
      <c r="C123" s="1512">
        <v>8</v>
      </c>
      <c r="D123" s="1513">
        <v>58090</v>
      </c>
      <c r="E123" s="1513"/>
      <c r="F123" s="1513">
        <v>55</v>
      </c>
      <c r="G123" s="1513"/>
      <c r="H123" s="1513"/>
      <c r="I123" s="1513"/>
      <c r="J123" s="1513"/>
      <c r="K123" s="1513">
        <v>2670</v>
      </c>
      <c r="L123" s="1514">
        <f t="shared" si="5"/>
        <v>55475</v>
      </c>
      <c r="M123" s="2376">
        <f t="shared" si="6"/>
        <v>0</v>
      </c>
      <c r="N123" s="2376"/>
    </row>
    <row r="124" spans="1:14">
      <c r="A124" s="1500">
        <v>7</v>
      </c>
      <c r="B124" s="1512"/>
      <c r="C124" s="1512">
        <v>6</v>
      </c>
      <c r="D124" s="1513">
        <v>181035</v>
      </c>
      <c r="E124" s="1513">
        <v>796</v>
      </c>
      <c r="F124" s="1513"/>
      <c r="G124" s="1513">
        <v>184</v>
      </c>
      <c r="H124" s="1513"/>
      <c r="I124" s="1513"/>
      <c r="J124" s="1513"/>
      <c r="K124" s="1513">
        <v>45117</v>
      </c>
      <c r="L124" s="1514">
        <f t="shared" si="5"/>
        <v>136898</v>
      </c>
      <c r="M124" s="2376">
        <f t="shared" si="6"/>
        <v>0</v>
      </c>
      <c r="N124" s="2376"/>
    </row>
    <row r="125" spans="1:14">
      <c r="A125" s="1500">
        <v>8</v>
      </c>
      <c r="B125" s="1512"/>
      <c r="C125" s="1512">
        <v>4</v>
      </c>
      <c r="D125" s="1513">
        <v>1815</v>
      </c>
      <c r="E125" s="1513"/>
      <c r="F125" s="1513"/>
      <c r="G125" s="1513"/>
      <c r="H125" s="1513"/>
      <c r="I125" s="1513"/>
      <c r="J125" s="1513"/>
      <c r="K125" s="1513">
        <v>36</v>
      </c>
      <c r="L125" s="1514">
        <f t="shared" si="5"/>
        <v>1779</v>
      </c>
      <c r="M125" s="2376">
        <f t="shared" si="6"/>
        <v>0</v>
      </c>
      <c r="N125" s="2376"/>
    </row>
    <row r="126" spans="1:14">
      <c r="A126" s="1500">
        <v>9</v>
      </c>
      <c r="B126" s="1512"/>
      <c r="C126" s="1512">
        <v>2</v>
      </c>
      <c r="D126" s="1513"/>
      <c r="E126" s="1513">
        <f>10529-661</f>
        <v>9868</v>
      </c>
      <c r="F126" s="1513"/>
      <c r="G126" s="1513"/>
      <c r="H126" s="1513"/>
      <c r="I126" s="1513">
        <v>10</v>
      </c>
      <c r="J126" s="1513"/>
      <c r="K126" s="1513">
        <v>9878</v>
      </c>
      <c r="L126" s="1514">
        <f t="shared" si="5"/>
        <v>0</v>
      </c>
      <c r="M126" s="2376">
        <f t="shared" si="6"/>
        <v>0</v>
      </c>
      <c r="N126" s="2376"/>
    </row>
    <row r="127" spans="1:14">
      <c r="A127" s="1500">
        <v>10</v>
      </c>
      <c r="B127" s="1512"/>
      <c r="C127" s="1512">
        <v>1.25</v>
      </c>
      <c r="D127" s="1513"/>
      <c r="E127" s="1513"/>
      <c r="F127" s="1513"/>
      <c r="G127" s="1513"/>
      <c r="H127" s="1513"/>
      <c r="I127" s="1513">
        <v>16</v>
      </c>
      <c r="J127" s="1513"/>
      <c r="K127" s="1513"/>
      <c r="L127" s="1514">
        <f t="shared" si="5"/>
        <v>16</v>
      </c>
      <c r="M127" s="2376">
        <f t="shared" si="6"/>
        <v>0</v>
      </c>
      <c r="N127" s="2376"/>
    </row>
    <row r="128" spans="1:14">
      <c r="A128" s="1500">
        <v>11</v>
      </c>
      <c r="B128" s="1512"/>
      <c r="C128" s="1512">
        <v>1</v>
      </c>
      <c r="D128" s="1513"/>
      <c r="E128" s="1513"/>
      <c r="F128" s="1513"/>
      <c r="G128" s="1513"/>
      <c r="H128" s="1513"/>
      <c r="I128" s="1513">
        <v>163</v>
      </c>
      <c r="J128" s="1513"/>
      <c r="K128" s="1513"/>
      <c r="L128" s="1514">
        <f t="shared" si="5"/>
        <v>163</v>
      </c>
      <c r="M128" s="2376">
        <f t="shared" si="6"/>
        <v>0</v>
      </c>
      <c r="N128" s="2376"/>
    </row>
    <row r="129" spans="1:14">
      <c r="A129" s="1500">
        <v>12</v>
      </c>
      <c r="B129" s="1512" t="s">
        <v>621</v>
      </c>
      <c r="C129" s="1512">
        <v>24</v>
      </c>
      <c r="D129" s="1513">
        <v>969</v>
      </c>
      <c r="E129" s="1513"/>
      <c r="F129" s="1513">
        <v>28</v>
      </c>
      <c r="G129" s="1513"/>
      <c r="H129" s="1513"/>
      <c r="I129" s="1513"/>
      <c r="J129" s="1513"/>
      <c r="K129" s="1513">
        <v>114</v>
      </c>
      <c r="L129" s="1514">
        <f t="shared" si="5"/>
        <v>883</v>
      </c>
      <c r="M129" s="2376">
        <f t="shared" si="6"/>
        <v>0</v>
      </c>
      <c r="N129" s="2376"/>
    </row>
    <row r="130" spans="1:14">
      <c r="A130" s="1500">
        <v>13</v>
      </c>
      <c r="B130" s="1512"/>
      <c r="C130" s="1512">
        <v>20</v>
      </c>
      <c r="D130" s="1513"/>
      <c r="E130" s="1513"/>
      <c r="F130" s="1513">
        <v>70</v>
      </c>
      <c r="G130" s="1513"/>
      <c r="H130" s="1513"/>
      <c r="I130" s="1513"/>
      <c r="J130" s="1513"/>
      <c r="K130" s="1513">
        <v>70</v>
      </c>
      <c r="L130" s="1514">
        <f t="shared" si="5"/>
        <v>0</v>
      </c>
      <c r="M130" s="2376">
        <f t="shared" si="6"/>
        <v>0</v>
      </c>
      <c r="N130" s="2376"/>
    </row>
    <row r="131" spans="1:14">
      <c r="A131" s="1500">
        <v>14</v>
      </c>
      <c r="B131" s="1512"/>
      <c r="C131" s="1512">
        <v>16</v>
      </c>
      <c r="D131" s="1513">
        <v>6923</v>
      </c>
      <c r="E131" s="1513"/>
      <c r="F131" s="1513"/>
      <c r="G131" s="1513"/>
      <c r="H131" s="1513"/>
      <c r="I131" s="1513"/>
      <c r="J131" s="1513"/>
      <c r="K131" s="1513">
        <v>22</v>
      </c>
      <c r="L131" s="1514">
        <f t="shared" si="5"/>
        <v>6901</v>
      </c>
      <c r="M131" s="2376">
        <f t="shared" si="6"/>
        <v>0</v>
      </c>
      <c r="N131" s="2376"/>
    </row>
    <row r="132" spans="1:14">
      <c r="A132" s="1500">
        <v>15</v>
      </c>
      <c r="B132" s="1512"/>
      <c r="C132" s="1512">
        <v>12</v>
      </c>
      <c r="D132" s="1513">
        <v>396</v>
      </c>
      <c r="E132" s="1513"/>
      <c r="F132" s="1513"/>
      <c r="G132" s="1513"/>
      <c r="H132" s="1513"/>
      <c r="I132" s="1513"/>
      <c r="J132" s="1513"/>
      <c r="K132" s="1513"/>
      <c r="L132" s="1514">
        <f t="shared" si="5"/>
        <v>396</v>
      </c>
      <c r="M132" s="2376">
        <f t="shared" si="6"/>
        <v>0</v>
      </c>
      <c r="N132" s="2376"/>
    </row>
    <row r="133" spans="1:14">
      <c r="A133" s="1500"/>
      <c r="B133" s="1512"/>
      <c r="C133" s="1512">
        <v>10</v>
      </c>
      <c r="D133" s="1513">
        <v>170</v>
      </c>
      <c r="E133" s="1513"/>
      <c r="F133" s="1513"/>
      <c r="G133" s="1513"/>
      <c r="H133" s="1513"/>
      <c r="I133" s="1513"/>
      <c r="J133" s="1513"/>
      <c r="K133" s="1513"/>
      <c r="L133" s="1514">
        <f t="shared" si="5"/>
        <v>170</v>
      </c>
      <c r="M133" s="2376">
        <f t="shared" si="6"/>
        <v>0</v>
      </c>
      <c r="N133" s="2376"/>
    </row>
    <row r="134" spans="1:14">
      <c r="A134" s="1500">
        <v>16</v>
      </c>
      <c r="B134" s="1512"/>
      <c r="C134" s="1512">
        <v>8</v>
      </c>
      <c r="D134" s="1513">
        <v>26778</v>
      </c>
      <c r="E134" s="1513"/>
      <c r="F134" s="1513">
        <v>20</v>
      </c>
      <c r="G134" s="1513"/>
      <c r="H134" s="1513"/>
      <c r="I134" s="1513"/>
      <c r="J134" s="1513"/>
      <c r="K134" s="1513">
        <v>821</v>
      </c>
      <c r="L134" s="1514">
        <f t="shared" si="5"/>
        <v>25977</v>
      </c>
      <c r="M134" s="2376">
        <f t="shared" si="6"/>
        <v>0</v>
      </c>
      <c r="N134" s="2376"/>
    </row>
    <row r="135" spans="1:14">
      <c r="A135" s="1500">
        <v>17</v>
      </c>
      <c r="B135" s="1512"/>
      <c r="C135" s="1512">
        <v>6</v>
      </c>
      <c r="D135" s="1513">
        <v>107801</v>
      </c>
      <c r="E135" s="1513"/>
      <c r="F135" s="1513"/>
      <c r="G135" s="1513">
        <v>396</v>
      </c>
      <c r="H135" s="1513"/>
      <c r="I135" s="1513"/>
      <c r="J135" s="1513"/>
      <c r="K135" s="1513">
        <v>17685</v>
      </c>
      <c r="L135" s="1514">
        <f t="shared" si="5"/>
        <v>90512</v>
      </c>
      <c r="M135" s="2376">
        <f t="shared" si="6"/>
        <v>0</v>
      </c>
      <c r="N135" s="2376"/>
    </row>
    <row r="136" spans="1:14">
      <c r="A136" s="1500">
        <v>18</v>
      </c>
      <c r="B136" s="1512"/>
      <c r="C136" s="1512">
        <v>4</v>
      </c>
      <c r="D136" s="1513">
        <v>48</v>
      </c>
      <c r="E136" s="1513"/>
      <c r="F136" s="1513"/>
      <c r="G136" s="1513"/>
      <c r="H136" s="1513"/>
      <c r="I136" s="1513"/>
      <c r="J136" s="1513"/>
      <c r="K136" s="1513"/>
      <c r="L136" s="1514">
        <f t="shared" si="5"/>
        <v>48</v>
      </c>
      <c r="M136" s="2376">
        <f t="shared" si="6"/>
        <v>0</v>
      </c>
      <c r="N136" s="2376"/>
    </row>
    <row r="137" spans="1:14">
      <c r="A137" s="1500">
        <v>19</v>
      </c>
      <c r="B137" s="1512"/>
      <c r="C137" s="1512">
        <v>2</v>
      </c>
      <c r="D137" s="1513">
        <v>40</v>
      </c>
      <c r="E137" s="1513">
        <v>6006</v>
      </c>
      <c r="F137" s="1513"/>
      <c r="G137" s="1513"/>
      <c r="H137" s="1513"/>
      <c r="I137" s="1513"/>
      <c r="J137" s="1513"/>
      <c r="K137" s="1513">
        <v>5124</v>
      </c>
      <c r="L137" s="1514">
        <f t="shared" si="5"/>
        <v>922</v>
      </c>
      <c r="M137" s="2376">
        <f t="shared" si="6"/>
        <v>0</v>
      </c>
      <c r="N137" s="2376"/>
    </row>
    <row r="138" spans="1:14">
      <c r="A138" s="1500">
        <v>20</v>
      </c>
      <c r="B138" s="1512"/>
      <c r="C138" s="1512">
        <v>1</v>
      </c>
      <c r="D138" s="1513"/>
      <c r="E138" s="1513"/>
      <c r="F138" s="1513"/>
      <c r="G138" s="1513"/>
      <c r="H138" s="1513"/>
      <c r="I138" s="1513">
        <v>59</v>
      </c>
      <c r="J138" s="1513"/>
      <c r="K138" s="1513"/>
      <c r="L138" s="1514">
        <f t="shared" si="5"/>
        <v>59</v>
      </c>
      <c r="M138" s="2376">
        <f t="shared" si="6"/>
        <v>0</v>
      </c>
      <c r="N138" s="2376"/>
    </row>
    <row r="139" spans="1:14">
      <c r="A139" s="1500">
        <v>21</v>
      </c>
      <c r="B139" s="1512" t="s">
        <v>622</v>
      </c>
      <c r="C139" s="1512">
        <v>30</v>
      </c>
      <c r="D139" s="1513"/>
      <c r="E139" s="1513"/>
      <c r="F139" s="1513">
        <v>39</v>
      </c>
      <c r="G139" s="1513"/>
      <c r="H139" s="1513"/>
      <c r="I139" s="1513"/>
      <c r="J139" s="1513"/>
      <c r="K139" s="1513">
        <v>39</v>
      </c>
      <c r="L139" s="1514">
        <f t="shared" si="5"/>
        <v>0</v>
      </c>
      <c r="M139" s="2376">
        <f t="shared" si="6"/>
        <v>0</v>
      </c>
      <c r="N139" s="2376"/>
    </row>
    <row r="140" spans="1:14">
      <c r="A140" s="1500">
        <v>22</v>
      </c>
      <c r="B140" s="1512"/>
      <c r="C140" s="1512">
        <v>24</v>
      </c>
      <c r="D140" s="1513">
        <f>1876+10</f>
        <v>1886</v>
      </c>
      <c r="E140" s="1513"/>
      <c r="F140" s="1513">
        <v>382</v>
      </c>
      <c r="G140" s="1513"/>
      <c r="H140" s="1513"/>
      <c r="I140" s="1513"/>
      <c r="J140" s="1513"/>
      <c r="K140" s="1513">
        <v>1951</v>
      </c>
      <c r="L140" s="1514">
        <f t="shared" si="5"/>
        <v>317</v>
      </c>
      <c r="M140" s="2376">
        <f t="shared" si="6"/>
        <v>0</v>
      </c>
      <c r="N140" s="2376"/>
    </row>
    <row r="141" spans="1:14">
      <c r="A141" s="1500">
        <v>23</v>
      </c>
      <c r="B141" s="1512"/>
      <c r="C141" s="1512">
        <v>20</v>
      </c>
      <c r="D141" s="1513">
        <v>1917</v>
      </c>
      <c r="E141" s="1513"/>
      <c r="F141" s="1513">
        <v>165</v>
      </c>
      <c r="G141" s="1513">
        <v>1343</v>
      </c>
      <c r="H141" s="1513"/>
      <c r="I141" s="1513"/>
      <c r="J141" s="1513"/>
      <c r="K141" s="1513">
        <v>115</v>
      </c>
      <c r="L141" s="1514">
        <f t="shared" si="5"/>
        <v>3310</v>
      </c>
      <c r="M141" s="2376">
        <f t="shared" si="6"/>
        <v>0</v>
      </c>
      <c r="N141" s="2376"/>
    </row>
    <row r="142" spans="1:14">
      <c r="A142" s="1500">
        <v>24</v>
      </c>
      <c r="B142" s="1512"/>
      <c r="C142" s="1512">
        <v>16</v>
      </c>
      <c r="D142" s="1513">
        <f>23788+85</f>
        <v>23873</v>
      </c>
      <c r="E142" s="1513"/>
      <c r="F142" s="1513">
        <v>379</v>
      </c>
      <c r="G142" s="1513"/>
      <c r="H142" s="1513"/>
      <c r="I142" s="1513"/>
      <c r="J142" s="1513"/>
      <c r="K142" s="1513"/>
      <c r="L142" s="1514">
        <f t="shared" si="5"/>
        <v>24252</v>
      </c>
      <c r="M142" s="2376">
        <f t="shared" si="6"/>
        <v>0</v>
      </c>
      <c r="N142" s="2376"/>
    </row>
    <row r="143" spans="1:14">
      <c r="A143" s="1500">
        <v>25</v>
      </c>
      <c r="B143" s="1512"/>
      <c r="C143" s="1512">
        <v>12</v>
      </c>
      <c r="D143" s="1513">
        <v>14879</v>
      </c>
      <c r="E143" s="1513"/>
      <c r="F143" s="1513">
        <v>127</v>
      </c>
      <c r="G143" s="1513">
        <v>42</v>
      </c>
      <c r="H143" s="1513"/>
      <c r="I143" s="1513"/>
      <c r="J143" s="1513">
        <v>43</v>
      </c>
      <c r="K143" s="1513">
        <v>4019</v>
      </c>
      <c r="L143" s="1514">
        <f t="shared" si="5"/>
        <v>11072</v>
      </c>
      <c r="M143" s="2376">
        <f t="shared" si="6"/>
        <v>0</v>
      </c>
      <c r="N143" s="2376"/>
    </row>
    <row r="144" spans="1:14">
      <c r="A144" s="1500">
        <v>26</v>
      </c>
      <c r="B144" s="1512"/>
      <c r="C144" s="1512">
        <v>8</v>
      </c>
      <c r="D144" s="1513">
        <v>119741</v>
      </c>
      <c r="E144" s="1513"/>
      <c r="F144" s="1513">
        <v>148</v>
      </c>
      <c r="G144" s="1513"/>
      <c r="H144" s="1513"/>
      <c r="I144" s="1513"/>
      <c r="J144" s="1513"/>
      <c r="K144" s="1513">
        <v>11232</v>
      </c>
      <c r="L144" s="1514">
        <f t="shared" si="5"/>
        <v>108657</v>
      </c>
      <c r="M144" s="2376">
        <f t="shared" si="6"/>
        <v>0</v>
      </c>
      <c r="N144" s="2376"/>
    </row>
    <row r="145" spans="1:14">
      <c r="A145" s="1500">
        <v>27</v>
      </c>
      <c r="B145" s="1512"/>
      <c r="C145" s="1512">
        <v>6</v>
      </c>
      <c r="D145" s="1513">
        <v>286774</v>
      </c>
      <c r="E145" s="1513">
        <v>286</v>
      </c>
      <c r="F145" s="1513">
        <v>112</v>
      </c>
      <c r="G145" s="1513">
        <f>1078-170</f>
        <v>908</v>
      </c>
      <c r="H145" s="1513"/>
      <c r="I145" s="1513"/>
      <c r="J145" s="1513"/>
      <c r="K145" s="1513">
        <v>51328</v>
      </c>
      <c r="L145" s="1514">
        <f t="shared" si="5"/>
        <v>236752</v>
      </c>
      <c r="M145" s="2376">
        <f t="shared" si="6"/>
        <v>0</v>
      </c>
      <c r="N145" s="2376"/>
    </row>
    <row r="146" spans="1:14">
      <c r="A146" s="1500">
        <v>28</v>
      </c>
      <c r="B146" s="1512"/>
      <c r="C146" s="1512">
        <v>4</v>
      </c>
      <c r="D146" s="1513">
        <v>1724</v>
      </c>
      <c r="E146" s="1513"/>
      <c r="F146" s="1513"/>
      <c r="G146" s="1513"/>
      <c r="H146" s="1513"/>
      <c r="I146" s="1513"/>
      <c r="J146" s="1513"/>
      <c r="K146" s="1513"/>
      <c r="L146" s="1514">
        <f t="shared" si="5"/>
        <v>1724</v>
      </c>
      <c r="M146" s="2376">
        <f t="shared" si="6"/>
        <v>0</v>
      </c>
      <c r="N146" s="2376"/>
    </row>
    <row r="147" spans="1:14">
      <c r="A147" s="1500">
        <v>29</v>
      </c>
      <c r="B147" s="1512"/>
      <c r="C147" s="1512">
        <v>2</v>
      </c>
      <c r="D147" s="1513">
        <v>1022</v>
      </c>
      <c r="E147" s="1513">
        <v>17652</v>
      </c>
      <c r="F147" s="1513"/>
      <c r="G147" s="1513"/>
      <c r="H147" s="1513"/>
      <c r="I147" s="1513"/>
      <c r="J147" s="1513"/>
      <c r="K147" s="1513">
        <v>10303</v>
      </c>
      <c r="L147" s="1514">
        <f t="shared" si="5"/>
        <v>8371</v>
      </c>
      <c r="M147" s="2376">
        <f t="shared" si="6"/>
        <v>0</v>
      </c>
      <c r="N147" s="2376"/>
    </row>
    <row r="148" spans="1:14">
      <c r="A148" s="1500">
        <v>30</v>
      </c>
      <c r="B148" s="1512"/>
      <c r="C148" s="1512">
        <v>1.25</v>
      </c>
      <c r="D148" s="1513"/>
      <c r="E148" s="1513">
        <v>199</v>
      </c>
      <c r="F148" s="1513"/>
      <c r="G148" s="1513"/>
      <c r="H148" s="1513"/>
      <c r="I148" s="1513"/>
      <c r="J148" s="1513"/>
      <c r="K148" s="1513"/>
      <c r="L148" s="1514">
        <f t="shared" si="5"/>
        <v>199</v>
      </c>
      <c r="M148" s="2376">
        <f t="shared" si="6"/>
        <v>0</v>
      </c>
      <c r="N148" s="2376"/>
    </row>
    <row r="149" spans="1:14">
      <c r="A149" s="1500">
        <v>31</v>
      </c>
      <c r="B149" s="1512"/>
      <c r="C149" s="1512">
        <v>1</v>
      </c>
      <c r="D149" s="1513"/>
      <c r="E149" s="1513"/>
      <c r="F149" s="1513"/>
      <c r="G149" s="1513"/>
      <c r="H149" s="1513"/>
      <c r="I149" s="1513">
        <v>106</v>
      </c>
      <c r="J149" s="1513"/>
      <c r="K149" s="1513"/>
      <c r="L149" s="1514">
        <f t="shared" si="5"/>
        <v>106</v>
      </c>
      <c r="M149" s="2376">
        <f t="shared" si="6"/>
        <v>0</v>
      </c>
      <c r="N149" s="2376"/>
    </row>
    <row r="150" spans="1:14" ht="15.75" thickBot="1">
      <c r="A150" s="1516">
        <v>32</v>
      </c>
      <c r="B150" s="1517"/>
      <c r="C150" s="1517"/>
      <c r="D150" s="1518"/>
      <c r="E150" s="1518"/>
      <c r="F150" s="1518"/>
      <c r="G150" s="1518"/>
      <c r="H150" s="1518"/>
      <c r="I150" s="1518"/>
      <c r="J150" s="1518"/>
      <c r="K150" s="1518"/>
      <c r="L150" s="1519"/>
      <c r="M150" s="2376">
        <f t="shared" si="6"/>
        <v>0</v>
      </c>
    </row>
    <row r="151" spans="1:14">
      <c r="B151" s="1478"/>
      <c r="C151" s="1478"/>
      <c r="D151" s="1478"/>
      <c r="E151" s="1478"/>
      <c r="F151" s="1478"/>
      <c r="G151" s="1478"/>
      <c r="H151" s="1478"/>
      <c r="I151" s="1478"/>
      <c r="J151" s="1478"/>
      <c r="K151" s="1478"/>
      <c r="L151" s="1520"/>
    </row>
    <row r="152" spans="1:14">
      <c r="A152" s="1481" t="s">
        <v>1017</v>
      </c>
      <c r="B152" s="1521"/>
      <c r="C152" s="1521"/>
      <c r="D152" s="1521"/>
      <c r="E152" s="1521"/>
      <c r="F152" s="1481"/>
      <c r="G152" s="1521"/>
      <c r="H152" s="1521"/>
      <c r="I152" s="1521"/>
      <c r="J152" s="1521"/>
      <c r="K152" s="1486"/>
      <c r="L152" s="1522"/>
    </row>
    <row r="153" spans="1:14" ht="15.75" thickBot="1">
      <c r="A153" s="186" t="str">
        <f>+'Data sheet'!A53</f>
        <v>Annual Report of New York American Water Company, Inc. (f/k/a Long Island Water Corp)                                   Year Ended  December 31, 2013</v>
      </c>
    </row>
    <row r="154" spans="1:14">
      <c r="A154" s="1482"/>
      <c r="B154" s="1483"/>
      <c r="C154" s="1483"/>
      <c r="D154" s="1483"/>
      <c r="E154" s="1483"/>
      <c r="F154" s="1483"/>
      <c r="G154" s="1483"/>
      <c r="H154" s="1483"/>
      <c r="I154" s="1483"/>
      <c r="J154" s="1483"/>
      <c r="K154" s="1483"/>
      <c r="L154" s="1514"/>
    </row>
    <row r="155" spans="1:14" ht="15.75">
      <c r="A155" s="1485" t="s">
        <v>1014</v>
      </c>
      <c r="B155" s="1486"/>
      <c r="C155" s="1486"/>
      <c r="D155" s="1441"/>
      <c r="E155" s="1487"/>
      <c r="F155" s="1486"/>
      <c r="G155" s="1486"/>
      <c r="H155" s="1486"/>
      <c r="I155" s="1486"/>
      <c r="J155" s="1486"/>
      <c r="K155" s="1486"/>
      <c r="L155" s="1514"/>
    </row>
    <row r="156" spans="1:14">
      <c r="A156" s="1489"/>
      <c r="B156" s="1490"/>
      <c r="C156" s="1490"/>
      <c r="D156" s="1490"/>
      <c r="E156" s="1490"/>
      <c r="F156" s="1490"/>
      <c r="G156" s="1490"/>
      <c r="H156" s="1490"/>
      <c r="I156" s="1490"/>
      <c r="J156" s="1490"/>
      <c r="K156" s="1490"/>
      <c r="L156" s="1526"/>
    </row>
    <row r="157" spans="1:14">
      <c r="A157" s="1492"/>
      <c r="B157" s="1478"/>
      <c r="C157" s="1478"/>
      <c r="D157" s="1478"/>
      <c r="E157" s="1478"/>
      <c r="F157" s="1478"/>
      <c r="G157" s="1478"/>
      <c r="H157" s="1478"/>
      <c r="I157" s="1478"/>
      <c r="J157" s="1478"/>
      <c r="K157" s="1478"/>
      <c r="L157" s="1514"/>
    </row>
    <row r="158" spans="1:14">
      <c r="A158" s="1492"/>
      <c r="B158" s="1478" t="s">
        <v>1438</v>
      </c>
      <c r="D158" s="1478"/>
      <c r="E158" s="1478"/>
      <c r="H158" s="1478"/>
      <c r="J158" s="1478"/>
      <c r="K158" s="1478"/>
      <c r="L158" s="1514"/>
    </row>
    <row r="159" spans="1:14">
      <c r="A159" s="1492"/>
      <c r="B159" s="1478" t="s">
        <v>347</v>
      </c>
      <c r="D159" s="1478"/>
      <c r="E159" s="1478"/>
      <c r="H159" s="1478"/>
      <c r="J159" s="1478"/>
      <c r="K159" s="1478"/>
      <c r="L159" s="1514"/>
    </row>
    <row r="160" spans="1:14">
      <c r="A160" s="1492"/>
      <c r="B160" s="1478" t="s">
        <v>348</v>
      </c>
      <c r="D160" s="1478"/>
      <c r="E160" s="1478"/>
      <c r="F160" s="1478"/>
      <c r="H160" s="1478"/>
      <c r="I160" s="1478"/>
      <c r="J160" s="1478"/>
      <c r="K160" s="1478"/>
      <c r="L160" s="1514"/>
    </row>
    <row r="161" spans="1:14">
      <c r="A161" s="1492"/>
      <c r="D161" s="1478"/>
      <c r="E161" s="1478"/>
      <c r="G161" s="1478"/>
      <c r="H161" s="1478"/>
      <c r="I161" s="1478"/>
      <c r="J161" s="1478"/>
      <c r="K161" s="1478"/>
      <c r="L161" s="1514"/>
    </row>
    <row r="162" spans="1:14">
      <c r="A162" s="1492"/>
      <c r="B162" s="1478"/>
      <c r="C162" s="1478"/>
      <c r="D162" s="1478"/>
      <c r="E162" s="1478"/>
      <c r="F162" s="1478"/>
      <c r="G162" s="1478"/>
      <c r="H162" s="1478"/>
      <c r="I162" s="1478"/>
      <c r="J162" s="1478"/>
      <c r="K162" s="1478"/>
      <c r="L162" s="1514"/>
    </row>
    <row r="163" spans="1:14">
      <c r="A163" s="1494"/>
      <c r="B163" s="1495"/>
      <c r="C163" s="1496"/>
      <c r="D163" s="1497" t="s">
        <v>349</v>
      </c>
      <c r="E163" s="1498"/>
      <c r="F163" s="1498"/>
      <c r="G163" s="1498"/>
      <c r="H163" s="1498"/>
      <c r="I163" s="1498"/>
      <c r="J163" s="1498"/>
      <c r="K163" s="2374" t="s">
        <v>350</v>
      </c>
      <c r="L163" s="1499"/>
    </row>
    <row r="164" spans="1:14">
      <c r="A164" s="1500"/>
      <c r="B164" s="1501"/>
      <c r="C164" s="1479" t="s">
        <v>351</v>
      </c>
      <c r="D164" s="1501"/>
      <c r="E164" s="1501"/>
      <c r="F164" s="1501"/>
      <c r="G164" s="1501"/>
      <c r="H164" s="1501"/>
      <c r="I164" s="1502"/>
      <c r="J164" s="1501"/>
      <c r="K164" s="2375" t="s">
        <v>352</v>
      </c>
      <c r="L164" s="1503" t="s">
        <v>1665</v>
      </c>
    </row>
    <row r="165" spans="1:14">
      <c r="A165" s="1504" t="s">
        <v>357</v>
      </c>
      <c r="B165" s="1501" t="s">
        <v>1561</v>
      </c>
      <c r="C165" s="1501" t="s">
        <v>1666</v>
      </c>
      <c r="D165" s="1501" t="s">
        <v>1667</v>
      </c>
      <c r="E165" s="1501" t="s">
        <v>858</v>
      </c>
      <c r="F165" s="1501" t="s">
        <v>859</v>
      </c>
      <c r="G165" s="1501" t="s">
        <v>860</v>
      </c>
      <c r="H165" s="1501" t="s">
        <v>861</v>
      </c>
      <c r="I165" s="1501" t="s">
        <v>862</v>
      </c>
      <c r="J165" s="1501" t="s">
        <v>1006</v>
      </c>
      <c r="K165" s="1501" t="s">
        <v>1007</v>
      </c>
      <c r="L165" s="1505" t="s">
        <v>1008</v>
      </c>
    </row>
    <row r="166" spans="1:14">
      <c r="A166" s="1504" t="s">
        <v>2955</v>
      </c>
      <c r="B166" s="1501" t="s">
        <v>4400</v>
      </c>
      <c r="C166" s="1501" t="s">
        <v>1748</v>
      </c>
      <c r="D166" s="1501" t="s">
        <v>1009</v>
      </c>
      <c r="E166" s="1501" t="s">
        <v>1009</v>
      </c>
      <c r="F166" s="1501"/>
      <c r="G166" s="1501"/>
      <c r="H166" s="1501"/>
      <c r="I166" s="1501"/>
      <c r="J166" s="1501"/>
      <c r="K166" s="1501" t="s">
        <v>3039</v>
      </c>
      <c r="L166" s="1505" t="s">
        <v>3039</v>
      </c>
    </row>
    <row r="167" spans="1:14">
      <c r="A167" s="1504"/>
      <c r="B167" s="1501" t="s">
        <v>4032</v>
      </c>
      <c r="C167" s="1501" t="s">
        <v>3836</v>
      </c>
      <c r="D167" s="1501" t="s">
        <v>1010</v>
      </c>
      <c r="E167" s="1501" t="s">
        <v>3838</v>
      </c>
      <c r="F167" s="1501" t="s">
        <v>2277</v>
      </c>
      <c r="G167" s="1501" t="s">
        <v>2278</v>
      </c>
      <c r="H167" s="1501" t="s">
        <v>2279</v>
      </c>
      <c r="I167" s="1501" t="s">
        <v>2280</v>
      </c>
      <c r="J167" s="1501" t="s">
        <v>2281</v>
      </c>
      <c r="K167" s="1501" t="s">
        <v>2282</v>
      </c>
      <c r="L167" s="1529" t="s">
        <v>2283</v>
      </c>
    </row>
    <row r="168" spans="1:14">
      <c r="A168" s="1506">
        <v>1</v>
      </c>
      <c r="B168" s="1507" t="s">
        <v>1011</v>
      </c>
      <c r="C168" s="1508"/>
      <c r="D168" s="1509"/>
      <c r="E168" s="1509"/>
      <c r="F168" s="1509"/>
      <c r="G168" s="1509"/>
      <c r="H168" s="1509"/>
      <c r="I168" s="1509"/>
      <c r="J168" s="1509"/>
      <c r="K168" s="1509"/>
      <c r="L168" s="1514"/>
    </row>
    <row r="169" spans="1:14">
      <c r="A169" s="1500">
        <v>2</v>
      </c>
      <c r="B169" s="1511" t="s">
        <v>1012</v>
      </c>
      <c r="C169" s="1512"/>
      <c r="D169" s="1513"/>
      <c r="E169" s="1513"/>
      <c r="F169" s="1513"/>
      <c r="G169" s="1513"/>
      <c r="H169" s="1513"/>
      <c r="I169" s="1513"/>
      <c r="J169" s="1513"/>
      <c r="K169" s="1513"/>
      <c r="L169" s="1514"/>
    </row>
    <row r="170" spans="1:14">
      <c r="A170" s="1500">
        <v>3</v>
      </c>
      <c r="B170" s="1455" t="s">
        <v>624</v>
      </c>
      <c r="C170" s="1512">
        <v>16</v>
      </c>
      <c r="D170" s="1513">
        <v>3310</v>
      </c>
      <c r="E170" s="1513"/>
      <c r="F170" s="1513"/>
      <c r="G170" s="1513"/>
      <c r="H170" s="1513"/>
      <c r="I170" s="1513"/>
      <c r="J170" s="1513"/>
      <c r="K170" s="1513"/>
      <c r="L170" s="1514">
        <f t="shared" ref="L170:L188" si="7">SUM(D170:J170)-K170</f>
        <v>3310</v>
      </c>
      <c r="M170" s="2376">
        <f t="shared" ref="M170:M188" si="8">+D170+E170+F170+G170+H170+I170+J170-K170-L170</f>
        <v>0</v>
      </c>
      <c r="N170" s="2376"/>
    </row>
    <row r="171" spans="1:14">
      <c r="A171" s="1500">
        <v>4</v>
      </c>
      <c r="B171" s="1512"/>
      <c r="C171" s="1512">
        <v>8</v>
      </c>
      <c r="D171" s="1513">
        <v>6715</v>
      </c>
      <c r="E171" s="1513"/>
      <c r="F171" s="1513"/>
      <c r="G171" s="1513"/>
      <c r="H171" s="1513"/>
      <c r="I171" s="1513"/>
      <c r="J171" s="1513"/>
      <c r="K171" s="1513"/>
      <c r="L171" s="1514">
        <f t="shared" si="7"/>
        <v>6715</v>
      </c>
      <c r="M171" s="2376">
        <f t="shared" si="8"/>
        <v>0</v>
      </c>
      <c r="N171" s="2376"/>
    </row>
    <row r="172" spans="1:14">
      <c r="A172" s="1500">
        <v>5</v>
      </c>
      <c r="B172" s="1515"/>
      <c r="C172" s="1512">
        <v>6</v>
      </c>
      <c r="D172" s="1513">
        <v>18426</v>
      </c>
      <c r="E172" s="1513"/>
      <c r="F172" s="1513"/>
      <c r="G172" s="1513"/>
      <c r="H172" s="1513"/>
      <c r="I172" s="1513"/>
      <c r="J172" s="1513"/>
      <c r="K172" s="1513">
        <v>5382</v>
      </c>
      <c r="L172" s="1514">
        <f t="shared" si="7"/>
        <v>13044</v>
      </c>
      <c r="M172" s="2376">
        <f t="shared" si="8"/>
        <v>0</v>
      </c>
      <c r="N172" s="2376"/>
    </row>
    <row r="173" spans="1:14">
      <c r="A173" s="1500">
        <v>6</v>
      </c>
      <c r="B173" s="1512"/>
      <c r="C173" s="1512">
        <v>4</v>
      </c>
      <c r="D173" s="1513">
        <v>1115</v>
      </c>
      <c r="E173" s="1513"/>
      <c r="F173" s="1513"/>
      <c r="G173" s="1513"/>
      <c r="H173" s="1513"/>
      <c r="I173" s="1513"/>
      <c r="J173" s="1513"/>
      <c r="K173" s="1513">
        <v>1115</v>
      </c>
      <c r="L173" s="1514">
        <f t="shared" si="7"/>
        <v>0</v>
      </c>
      <c r="M173" s="2376">
        <f t="shared" si="8"/>
        <v>0</v>
      </c>
      <c r="N173" s="2376"/>
    </row>
    <row r="174" spans="1:14">
      <c r="A174" s="1500">
        <v>7</v>
      </c>
      <c r="B174" s="1512" t="s">
        <v>1018</v>
      </c>
      <c r="C174" s="1512">
        <v>24</v>
      </c>
      <c r="D174" s="1513">
        <f>20595-6</f>
        <v>20589</v>
      </c>
      <c r="E174" s="1513"/>
      <c r="F174" s="1513">
        <v>179</v>
      </c>
      <c r="G174" s="1513"/>
      <c r="H174" s="1513"/>
      <c r="I174" s="1513"/>
      <c r="J174" s="1513"/>
      <c r="K174" s="1513">
        <v>14736</v>
      </c>
      <c r="L174" s="1514">
        <f t="shared" si="7"/>
        <v>6032</v>
      </c>
      <c r="M174" s="2376">
        <f t="shared" si="8"/>
        <v>0</v>
      </c>
      <c r="N174" s="2376"/>
    </row>
    <row r="175" spans="1:14">
      <c r="A175" s="1500">
        <v>8</v>
      </c>
      <c r="B175" s="1512"/>
      <c r="C175" s="1512">
        <v>20</v>
      </c>
      <c r="D175" s="1513">
        <v>30660</v>
      </c>
      <c r="E175" s="1513"/>
      <c r="F175" s="1513">
        <v>719</v>
      </c>
      <c r="G175" s="1513">
        <v>807</v>
      </c>
      <c r="H175" s="1513">
        <v>9882</v>
      </c>
      <c r="I175" s="1513"/>
      <c r="J175" s="1513">
        <v>735</v>
      </c>
      <c r="K175" s="1513">
        <v>5485</v>
      </c>
      <c r="L175" s="1514">
        <f t="shared" si="7"/>
        <v>37318</v>
      </c>
      <c r="M175" s="2376">
        <f t="shared" si="8"/>
        <v>0</v>
      </c>
      <c r="N175" s="2376"/>
    </row>
    <row r="176" spans="1:14">
      <c r="A176" s="1500">
        <v>9</v>
      </c>
      <c r="B176" s="1512"/>
      <c r="C176" s="1512">
        <v>16</v>
      </c>
      <c r="D176" s="1513">
        <v>78505</v>
      </c>
      <c r="E176" s="1513"/>
      <c r="F176" s="1513">
        <v>1580</v>
      </c>
      <c r="G176" s="1513"/>
      <c r="H176" s="1513"/>
      <c r="I176" s="1513"/>
      <c r="J176" s="1513"/>
      <c r="K176" s="1513">
        <v>21355</v>
      </c>
      <c r="L176" s="1514">
        <f t="shared" si="7"/>
        <v>58730</v>
      </c>
      <c r="M176" s="2376">
        <f t="shared" si="8"/>
        <v>0</v>
      </c>
      <c r="N176" s="2376"/>
    </row>
    <row r="177" spans="1:16">
      <c r="A177" s="1500">
        <v>10</v>
      </c>
      <c r="B177" s="1512"/>
      <c r="C177" s="1512">
        <v>12</v>
      </c>
      <c r="D177" s="1513">
        <v>168853</v>
      </c>
      <c r="E177" s="1513">
        <v>913</v>
      </c>
      <c r="F177" s="1513">
        <v>1519</v>
      </c>
      <c r="G177" s="1513">
        <v>7443</v>
      </c>
      <c r="H177" s="1513"/>
      <c r="I177" s="1513"/>
      <c r="J177" s="1513"/>
      <c r="K177" s="1513">
        <v>52873</v>
      </c>
      <c r="L177" s="1514">
        <f t="shared" si="7"/>
        <v>125855</v>
      </c>
      <c r="M177" s="2376">
        <f t="shared" si="8"/>
        <v>0</v>
      </c>
      <c r="N177" s="2376"/>
    </row>
    <row r="178" spans="1:16">
      <c r="A178" s="1500">
        <v>11</v>
      </c>
      <c r="B178" s="1512"/>
      <c r="C178" s="1512">
        <v>10</v>
      </c>
      <c r="D178" s="1513">
        <v>6561</v>
      </c>
      <c r="E178" s="1513"/>
      <c r="F178" s="1513"/>
      <c r="G178" s="1513"/>
      <c r="H178" s="1513"/>
      <c r="I178" s="1513"/>
      <c r="J178" s="1513">
        <v>100</v>
      </c>
      <c r="K178" s="1513"/>
      <c r="L178" s="1514">
        <f t="shared" si="7"/>
        <v>6661</v>
      </c>
      <c r="M178" s="2376">
        <f t="shared" si="8"/>
        <v>0</v>
      </c>
      <c r="N178" s="2376"/>
    </row>
    <row r="179" spans="1:16">
      <c r="A179" s="1500">
        <v>12</v>
      </c>
      <c r="B179" s="1512"/>
      <c r="C179" s="1512">
        <v>8</v>
      </c>
      <c r="D179" s="1513">
        <v>496499</v>
      </c>
      <c r="E179" s="1513">
        <v>78</v>
      </c>
      <c r="F179" s="1513">
        <v>104</v>
      </c>
      <c r="G179" s="1513">
        <v>20174</v>
      </c>
      <c r="H179" s="1513"/>
      <c r="I179" s="1513"/>
      <c r="J179" s="1513">
        <v>870</v>
      </c>
      <c r="K179" s="1513">
        <f>221036+1425</f>
        <v>222461</v>
      </c>
      <c r="L179" s="1514">
        <f t="shared" si="7"/>
        <v>295264</v>
      </c>
      <c r="M179" s="2376">
        <f t="shared" si="8"/>
        <v>0</v>
      </c>
      <c r="N179" s="2376"/>
    </row>
    <row r="180" spans="1:16">
      <c r="A180" s="1500">
        <v>13</v>
      </c>
      <c r="B180" s="1512"/>
      <c r="C180" s="1512">
        <v>6</v>
      </c>
      <c r="D180" s="1513">
        <v>1229300</v>
      </c>
      <c r="E180" s="1513"/>
      <c r="F180" s="1513">
        <v>65</v>
      </c>
      <c r="G180" s="1513">
        <v>40376</v>
      </c>
      <c r="H180" s="1513"/>
      <c r="I180" s="1513"/>
      <c r="J180" s="1513">
        <v>120</v>
      </c>
      <c r="K180" s="1513">
        <v>570755</v>
      </c>
      <c r="L180" s="1514">
        <f t="shared" si="7"/>
        <v>699106</v>
      </c>
      <c r="M180" s="2376">
        <f t="shared" si="8"/>
        <v>0</v>
      </c>
      <c r="N180" s="2376"/>
    </row>
    <row r="181" spans="1:16">
      <c r="A181" s="1500">
        <v>14</v>
      </c>
      <c r="B181" s="1512"/>
      <c r="C181" s="1512">
        <v>4</v>
      </c>
      <c r="D181" s="1513">
        <v>108086</v>
      </c>
      <c r="E181" s="1513"/>
      <c r="F181" s="1513"/>
      <c r="G181" s="1513">
        <v>575</v>
      </c>
      <c r="H181" s="1513"/>
      <c r="I181" s="1513"/>
      <c r="J181" s="1513"/>
      <c r="K181" s="1513">
        <v>32387</v>
      </c>
      <c r="L181" s="1514">
        <f t="shared" si="7"/>
        <v>76274</v>
      </c>
      <c r="M181" s="2376">
        <f t="shared" si="8"/>
        <v>0</v>
      </c>
      <c r="N181" s="2376"/>
    </row>
    <row r="182" spans="1:16">
      <c r="A182" s="1500">
        <v>15</v>
      </c>
      <c r="B182" s="1512"/>
      <c r="C182" s="1512">
        <v>3</v>
      </c>
      <c r="D182" s="1513">
        <v>513</v>
      </c>
      <c r="E182" s="1513"/>
      <c r="F182" s="1513"/>
      <c r="G182" s="1513"/>
      <c r="H182" s="1513"/>
      <c r="I182" s="1513"/>
      <c r="J182" s="1513"/>
      <c r="K182" s="1513"/>
      <c r="L182" s="1514">
        <f t="shared" si="7"/>
        <v>513</v>
      </c>
      <c r="M182" s="2376">
        <f t="shared" si="8"/>
        <v>0</v>
      </c>
      <c r="N182" s="2376"/>
    </row>
    <row r="183" spans="1:16">
      <c r="A183" s="1500">
        <v>16</v>
      </c>
      <c r="B183" s="1512"/>
      <c r="C183" s="1512">
        <v>2.5</v>
      </c>
      <c r="D183" s="1513"/>
      <c r="E183" s="1513">
        <v>266</v>
      </c>
      <c r="F183" s="1513"/>
      <c r="G183" s="1513"/>
      <c r="H183" s="1513"/>
      <c r="I183" s="1513"/>
      <c r="J183" s="1513"/>
      <c r="K183" s="1513"/>
      <c r="L183" s="1514">
        <f t="shared" si="7"/>
        <v>266</v>
      </c>
      <c r="M183" s="2376">
        <f t="shared" si="8"/>
        <v>0</v>
      </c>
      <c r="N183" s="2376"/>
    </row>
    <row r="184" spans="1:16">
      <c r="A184" s="1500">
        <v>17</v>
      </c>
      <c r="B184" s="1512"/>
      <c r="C184" s="1512">
        <v>2</v>
      </c>
      <c r="D184" s="1513">
        <v>814</v>
      </c>
      <c r="E184" s="1513">
        <v>34236</v>
      </c>
      <c r="F184" s="1513">
        <v>8</v>
      </c>
      <c r="G184" s="1513"/>
      <c r="H184" s="1513"/>
      <c r="I184" s="1513"/>
      <c r="J184" s="1513"/>
      <c r="K184" s="1513">
        <v>32998</v>
      </c>
      <c r="L184" s="1514">
        <f t="shared" si="7"/>
        <v>2060</v>
      </c>
      <c r="M184" s="2376">
        <f t="shared" si="8"/>
        <v>0</v>
      </c>
      <c r="N184" s="2376"/>
    </row>
    <row r="185" spans="1:16">
      <c r="A185" s="1500">
        <v>18</v>
      </c>
      <c r="B185" s="1512"/>
      <c r="C185" s="1512">
        <v>1.5</v>
      </c>
      <c r="D185" s="1513"/>
      <c r="E185" s="1513">
        <f>365-130</f>
        <v>235</v>
      </c>
      <c r="F185" s="1513"/>
      <c r="G185" s="1513"/>
      <c r="H185" s="1513"/>
      <c r="I185" s="1513"/>
      <c r="J185" s="1513"/>
      <c r="K185" s="1513"/>
      <c r="L185" s="1514">
        <f t="shared" si="7"/>
        <v>235</v>
      </c>
      <c r="M185" s="2376">
        <f t="shared" si="8"/>
        <v>0</v>
      </c>
      <c r="N185" s="2376"/>
    </row>
    <row r="186" spans="1:16">
      <c r="A186" s="1500">
        <v>19</v>
      </c>
      <c r="B186" s="1512"/>
      <c r="C186" s="1512">
        <v>1.25</v>
      </c>
      <c r="D186" s="1513"/>
      <c r="E186" s="1513"/>
      <c r="F186" s="1513"/>
      <c r="G186" s="1513"/>
      <c r="H186" s="1513"/>
      <c r="I186" s="1513">
        <v>285</v>
      </c>
      <c r="J186" s="1513"/>
      <c r="K186" s="1513"/>
      <c r="L186" s="1514">
        <f t="shared" si="7"/>
        <v>285</v>
      </c>
      <c r="M186" s="2376">
        <f t="shared" si="8"/>
        <v>0</v>
      </c>
      <c r="N186" s="2376"/>
    </row>
    <row r="187" spans="1:16">
      <c r="A187" s="1500">
        <v>20</v>
      </c>
      <c r="B187" s="1512"/>
      <c r="C187" s="1512">
        <v>1</v>
      </c>
      <c r="D187" s="1513"/>
      <c r="E187" s="1513">
        <v>932</v>
      </c>
      <c r="F187" s="1513"/>
      <c r="G187" s="1513"/>
      <c r="H187" s="1513"/>
      <c r="I187" s="1513">
        <v>1064</v>
      </c>
      <c r="J187" s="1513"/>
      <c r="K187" s="1513">
        <v>1182</v>
      </c>
      <c r="L187" s="1514">
        <f t="shared" si="7"/>
        <v>814</v>
      </c>
      <c r="M187" s="2376">
        <f t="shared" si="8"/>
        <v>0</v>
      </c>
      <c r="N187" s="2376"/>
    </row>
    <row r="188" spans="1:16">
      <c r="A188" s="1500">
        <v>21</v>
      </c>
      <c r="B188" s="1512"/>
      <c r="C188" s="1512">
        <v>0.75</v>
      </c>
      <c r="D188" s="1513"/>
      <c r="E188" s="1513"/>
      <c r="F188" s="1513"/>
      <c r="G188" s="1513"/>
      <c r="H188" s="1513"/>
      <c r="I188" s="1513">
        <v>52</v>
      </c>
      <c r="J188" s="1513"/>
      <c r="K188" s="1513">
        <v>2</v>
      </c>
      <c r="L188" s="1514">
        <f t="shared" si="7"/>
        <v>50</v>
      </c>
      <c r="M188" s="2376">
        <f t="shared" si="8"/>
        <v>0</v>
      </c>
      <c r="N188" s="2376"/>
    </row>
    <row r="189" spans="1:16">
      <c r="A189" s="1500">
        <v>22</v>
      </c>
      <c r="B189" s="1512"/>
      <c r="C189" s="1512"/>
      <c r="D189" s="1513"/>
      <c r="E189" s="1513"/>
      <c r="F189" s="1513"/>
      <c r="G189" s="1513"/>
      <c r="H189" s="1513"/>
      <c r="I189" s="1513"/>
      <c r="J189" s="1513"/>
      <c r="K189" s="1513"/>
      <c r="L189" s="1514"/>
      <c r="M189" s="2376"/>
    </row>
    <row r="190" spans="1:16">
      <c r="A190" s="1500">
        <v>23</v>
      </c>
      <c r="B190" s="1512"/>
      <c r="C190" s="1512"/>
      <c r="D190" s="1513"/>
      <c r="E190" s="1513"/>
      <c r="F190" s="1513"/>
      <c r="G190" s="1513"/>
      <c r="H190" s="1513"/>
      <c r="I190" s="1513"/>
      <c r="J190" s="1513"/>
      <c r="K190" s="1513"/>
      <c r="L190" s="1514"/>
      <c r="M190" s="2376"/>
    </row>
    <row r="191" spans="1:16">
      <c r="A191" s="1500">
        <v>24</v>
      </c>
      <c r="B191" s="1512"/>
      <c r="C191" s="1512"/>
      <c r="D191" s="1513"/>
      <c r="E191" s="1513"/>
      <c r="F191" s="1513"/>
      <c r="G191" s="1513"/>
      <c r="H191" s="1513"/>
      <c r="I191" s="1513"/>
      <c r="J191" s="1513"/>
      <c r="K191" s="1513"/>
      <c r="L191" s="1514"/>
      <c r="M191" s="2376"/>
    </row>
    <row r="192" spans="1:16">
      <c r="A192" s="1500">
        <v>25</v>
      </c>
      <c r="B192" s="1501" t="s">
        <v>1050</v>
      </c>
      <c r="C192" s="1512"/>
      <c r="D192" s="1513">
        <f t="shared" ref="D192:K192" si="9">SUM(D19:D191)</f>
        <v>3622130</v>
      </c>
      <c r="E192" s="1513">
        <f t="shared" si="9"/>
        <v>95369</v>
      </c>
      <c r="F192" s="1513">
        <f t="shared" si="9"/>
        <v>17650</v>
      </c>
      <c r="G192" s="1513">
        <f t="shared" si="9"/>
        <v>77045</v>
      </c>
      <c r="H192" s="1513">
        <f t="shared" si="9"/>
        <v>9953</v>
      </c>
      <c r="I192" s="1513">
        <f t="shared" si="9"/>
        <v>2164</v>
      </c>
      <c r="J192" s="1513">
        <f>SUM(J18:J191)</f>
        <v>4443</v>
      </c>
      <c r="K192" s="1513">
        <f t="shared" si="9"/>
        <v>1327052</v>
      </c>
      <c r="L192" s="1530">
        <f>SUM(L18:L191)</f>
        <v>2501702</v>
      </c>
      <c r="M192" s="2376">
        <f>+D192+E192+F192+G192+H192+I192+J192-K192-L192</f>
        <v>0</v>
      </c>
      <c r="P192" s="2376"/>
    </row>
    <row r="193" spans="1:13">
      <c r="A193" s="1500">
        <v>26</v>
      </c>
      <c r="B193" s="1512"/>
      <c r="C193" s="1512"/>
      <c r="D193" s="1513"/>
      <c r="E193" s="1513"/>
      <c r="F193" s="1513"/>
      <c r="G193" s="1513"/>
      <c r="H193" s="1513"/>
      <c r="I193" s="1513"/>
      <c r="J193" s="1513"/>
      <c r="K193" s="1513"/>
      <c r="L193" s="1514"/>
      <c r="M193" s="2376"/>
    </row>
    <row r="194" spans="1:13">
      <c r="A194" s="1500">
        <v>27</v>
      </c>
      <c r="B194" s="1512"/>
      <c r="C194" s="1512"/>
      <c r="D194" s="1513"/>
      <c r="E194" s="1513"/>
      <c r="F194" s="1513"/>
      <c r="G194" s="1513"/>
      <c r="H194" s="1513"/>
      <c r="I194" s="1513"/>
      <c r="J194" s="1513"/>
      <c r="K194" s="1513"/>
      <c r="L194" s="1514"/>
      <c r="M194" s="2376"/>
    </row>
    <row r="195" spans="1:13">
      <c r="A195" s="1500">
        <v>28</v>
      </c>
      <c r="B195" s="1512"/>
      <c r="C195" s="1512"/>
      <c r="D195" s="1513"/>
      <c r="E195" s="1513"/>
      <c r="F195" s="1513"/>
      <c r="G195" s="1513"/>
      <c r="H195" s="1513"/>
      <c r="I195" s="1513"/>
      <c r="J195" s="1513"/>
      <c r="K195" s="1513"/>
      <c r="L195" s="1514"/>
      <c r="M195" s="2376"/>
    </row>
    <row r="196" spans="1:13">
      <c r="A196" s="1500">
        <v>29</v>
      </c>
      <c r="B196" s="1512"/>
      <c r="C196" s="1512"/>
      <c r="D196" s="1513"/>
      <c r="E196" s="1513"/>
      <c r="F196" s="1513"/>
      <c r="G196" s="1513"/>
      <c r="H196" s="1513"/>
      <c r="I196" s="1513"/>
      <c r="J196" s="1513"/>
      <c r="K196" s="1513"/>
      <c r="L196" s="1514"/>
      <c r="M196" s="2376"/>
    </row>
    <row r="197" spans="1:13">
      <c r="A197" s="1500">
        <v>30</v>
      </c>
      <c r="B197" s="1512"/>
      <c r="C197" s="1512"/>
      <c r="D197" s="1513"/>
      <c r="E197" s="1513"/>
      <c r="F197" s="1513"/>
      <c r="G197" s="1513"/>
      <c r="H197" s="1513"/>
      <c r="I197" s="1513"/>
      <c r="J197" s="1513"/>
      <c r="K197" s="1513"/>
      <c r="L197" s="1514"/>
      <c r="M197" s="2376"/>
    </row>
    <row r="198" spans="1:13">
      <c r="A198" s="1500">
        <v>31</v>
      </c>
      <c r="B198" s="1512"/>
      <c r="C198" s="1512"/>
      <c r="D198" s="1513"/>
      <c r="E198" s="1513"/>
      <c r="F198" s="1513"/>
      <c r="G198" s="1513"/>
      <c r="H198" s="1513"/>
      <c r="I198" s="1513"/>
      <c r="J198" s="1513"/>
      <c r="K198" s="1513"/>
      <c r="L198" s="1514"/>
      <c r="M198" s="2376"/>
    </row>
    <row r="199" spans="1:13">
      <c r="A199" s="1500">
        <v>32</v>
      </c>
      <c r="B199" s="1512"/>
      <c r="C199" s="1512"/>
      <c r="D199" s="1513"/>
      <c r="E199" s="1513"/>
      <c r="F199" s="1513"/>
      <c r="G199" s="1513"/>
      <c r="H199" s="1513"/>
      <c r="I199" s="1513"/>
      <c r="J199" s="1513"/>
      <c r="K199" s="1513"/>
      <c r="L199" s="1514"/>
      <c r="M199" s="2376"/>
    </row>
    <row r="200" spans="1:13" ht="15.75" thickBot="1">
      <c r="A200" s="1516">
        <v>33</v>
      </c>
      <c r="B200" s="1517"/>
      <c r="C200" s="1517"/>
      <c r="D200" s="1518"/>
      <c r="E200" s="1518"/>
      <c r="F200" s="1518"/>
      <c r="G200" s="1518"/>
      <c r="H200" s="1518"/>
      <c r="I200" s="1518"/>
      <c r="J200" s="1518"/>
      <c r="K200" s="1518"/>
      <c r="L200" s="1531"/>
      <c r="M200" s="2376"/>
    </row>
    <row r="201" spans="1:13">
      <c r="B201" s="1478"/>
      <c r="C201" s="1478"/>
      <c r="D201" s="1478"/>
      <c r="E201" s="1478"/>
      <c r="F201" s="1478"/>
      <c r="G201" s="1478"/>
      <c r="H201" s="1478"/>
      <c r="I201" s="1478"/>
      <c r="J201" s="1478"/>
      <c r="K201" s="1478"/>
      <c r="L201" s="1532" t="s">
        <v>4066</v>
      </c>
    </row>
    <row r="202" spans="1:13">
      <c r="A202" s="1481" t="s">
        <v>1019</v>
      </c>
      <c r="B202" s="1521"/>
      <c r="C202" s="1521"/>
      <c r="D202" s="1521"/>
      <c r="E202" s="1521"/>
      <c r="F202" s="1481"/>
      <c r="G202" s="1521"/>
      <c r="H202" s="1521"/>
      <c r="I202" s="1521"/>
      <c r="J202" s="1521"/>
      <c r="K202" s="1486"/>
      <c r="L202" s="1486"/>
    </row>
    <row r="203" spans="1:13" ht="15.75" thickBot="1">
      <c r="A203" s="186" t="str">
        <f>+'Data sheet'!A53</f>
        <v>Annual Report of New York American Water Company, Inc. (f/k/a Long Island Water Corp)                                   Year Ended  December 31, 2013</v>
      </c>
    </row>
    <row r="204" spans="1:13">
      <c r="A204" s="1482"/>
      <c r="B204" s="1483"/>
      <c r="C204" s="1483"/>
      <c r="D204" s="1483"/>
      <c r="E204" s="1483"/>
      <c r="F204" s="1483"/>
      <c r="G204" s="1483"/>
      <c r="H204" s="1483"/>
      <c r="I204" s="1483"/>
      <c r="J204" s="1483"/>
      <c r="K204" s="1483"/>
      <c r="L204" s="1484"/>
    </row>
    <row r="205" spans="1:13" ht="15.75">
      <c r="A205" s="1485" t="s">
        <v>1014</v>
      </c>
      <c r="B205" s="1486"/>
      <c r="C205" s="1486"/>
      <c r="D205" s="1441"/>
      <c r="E205" s="1487"/>
      <c r="F205" s="1486"/>
      <c r="G205" s="1486"/>
      <c r="H205" s="1486"/>
      <c r="I205" s="1486"/>
      <c r="J205" s="1486"/>
      <c r="K205" s="1486"/>
      <c r="L205" s="1488"/>
    </row>
    <row r="206" spans="1:13">
      <c r="A206" s="1489"/>
      <c r="B206" s="1490"/>
      <c r="C206" s="1490"/>
      <c r="D206" s="1490"/>
      <c r="E206" s="1490"/>
      <c r="F206" s="1490"/>
      <c r="G206" s="1490"/>
      <c r="H206" s="1490"/>
      <c r="I206" s="1490"/>
      <c r="J206" s="1490"/>
      <c r="K206" s="1490"/>
      <c r="L206" s="1491"/>
    </row>
    <row r="207" spans="1:13">
      <c r="A207" s="1492"/>
      <c r="B207" s="1478"/>
      <c r="C207" s="1478"/>
      <c r="D207" s="1478"/>
      <c r="E207" s="1478"/>
      <c r="F207" s="1478"/>
      <c r="G207" s="1478"/>
      <c r="H207" s="1478"/>
      <c r="I207" s="1478"/>
      <c r="J207" s="1478"/>
      <c r="K207" s="1478"/>
      <c r="L207" s="1493"/>
    </row>
    <row r="208" spans="1:13">
      <c r="A208" s="1492"/>
      <c r="B208" s="1478" t="s">
        <v>1438</v>
      </c>
      <c r="D208" s="1478"/>
      <c r="E208" s="1478"/>
      <c r="H208" s="1478"/>
      <c r="J208" s="1478"/>
      <c r="K208" s="1478"/>
      <c r="L208" s="1493"/>
    </row>
    <row r="209" spans="1:12">
      <c r="A209" s="1492"/>
      <c r="B209" s="1478" t="s">
        <v>347</v>
      </c>
      <c r="D209" s="1478"/>
      <c r="E209" s="1478"/>
      <c r="H209" s="1478"/>
      <c r="J209" s="1478"/>
      <c r="K209" s="1478"/>
      <c r="L209" s="1493"/>
    </row>
    <row r="210" spans="1:12">
      <c r="A210" s="1492"/>
      <c r="B210" s="1478" t="s">
        <v>348</v>
      </c>
      <c r="D210" s="1478"/>
      <c r="E210" s="1478"/>
      <c r="F210" s="1478"/>
      <c r="H210" s="1478"/>
      <c r="I210" s="1478"/>
      <c r="J210" s="1478"/>
      <c r="K210" s="1478"/>
      <c r="L210" s="1493"/>
    </row>
    <row r="211" spans="1:12">
      <c r="A211" s="1492"/>
      <c r="D211" s="1478"/>
      <c r="E211" s="1478"/>
      <c r="G211" s="1478"/>
      <c r="H211" s="1478"/>
      <c r="I211" s="1478"/>
      <c r="J211" s="1478"/>
      <c r="K211" s="1478"/>
      <c r="L211" s="1493"/>
    </row>
    <row r="212" spans="1:12">
      <c r="A212" s="1492"/>
      <c r="B212" s="1478"/>
      <c r="C212" s="1478"/>
      <c r="D212" s="1478"/>
      <c r="E212" s="1478"/>
      <c r="F212" s="1478"/>
      <c r="G212" s="1478"/>
      <c r="H212" s="1478"/>
      <c r="I212" s="1478"/>
      <c r="J212" s="1478"/>
      <c r="K212" s="1478"/>
      <c r="L212" s="1493"/>
    </row>
    <row r="213" spans="1:12">
      <c r="A213" s="1494"/>
      <c r="B213" s="1495"/>
      <c r="C213" s="1496"/>
      <c r="D213" s="1497" t="s">
        <v>349</v>
      </c>
      <c r="E213" s="1498"/>
      <c r="F213" s="1498"/>
      <c r="G213" s="1498"/>
      <c r="H213" s="1498"/>
      <c r="I213" s="1498"/>
      <c r="J213" s="1498"/>
      <c r="K213" s="2374" t="s">
        <v>350</v>
      </c>
      <c r="L213" s="1499"/>
    </row>
    <row r="214" spans="1:12">
      <c r="A214" s="1500"/>
      <c r="B214" s="1501"/>
      <c r="C214" s="1479" t="s">
        <v>351</v>
      </c>
      <c r="D214" s="1501"/>
      <c r="E214" s="1501"/>
      <c r="F214" s="1501"/>
      <c r="G214" s="1501"/>
      <c r="H214" s="1501"/>
      <c r="I214" s="1502"/>
      <c r="J214" s="1501"/>
      <c r="K214" s="2375" t="s">
        <v>352</v>
      </c>
      <c r="L214" s="1503" t="s">
        <v>1665</v>
      </c>
    </row>
    <row r="215" spans="1:12">
      <c r="A215" s="1504" t="s">
        <v>357</v>
      </c>
      <c r="B215" s="1501" t="s">
        <v>1561</v>
      </c>
      <c r="C215" s="1501" t="s">
        <v>1666</v>
      </c>
      <c r="D215" s="1501" t="s">
        <v>1667</v>
      </c>
      <c r="E215" s="1501" t="s">
        <v>858</v>
      </c>
      <c r="F215" s="1501" t="s">
        <v>859</v>
      </c>
      <c r="G215" s="1501" t="s">
        <v>860</v>
      </c>
      <c r="H215" s="1501" t="s">
        <v>861</v>
      </c>
      <c r="I215" s="1501" t="s">
        <v>862</v>
      </c>
      <c r="J215" s="1501" t="s">
        <v>1006</v>
      </c>
      <c r="K215" s="1501" t="s">
        <v>1007</v>
      </c>
      <c r="L215" s="1505" t="s">
        <v>1008</v>
      </c>
    </row>
    <row r="216" spans="1:12">
      <c r="A216" s="1504" t="s">
        <v>2955</v>
      </c>
      <c r="B216" s="1501" t="s">
        <v>4400</v>
      </c>
      <c r="C216" s="1501" t="s">
        <v>1748</v>
      </c>
      <c r="D216" s="1501" t="s">
        <v>1009</v>
      </c>
      <c r="E216" s="1501" t="s">
        <v>1009</v>
      </c>
      <c r="F216" s="1501"/>
      <c r="G216" s="1501"/>
      <c r="H216" s="1501"/>
      <c r="I216" s="1501"/>
      <c r="J216" s="1501"/>
      <c r="K216" s="1501" t="s">
        <v>3039</v>
      </c>
      <c r="L216" s="1505" t="s">
        <v>3039</v>
      </c>
    </row>
    <row r="217" spans="1:12">
      <c r="A217" s="1504"/>
      <c r="B217" s="1501" t="s">
        <v>4032</v>
      </c>
      <c r="C217" s="1501" t="s">
        <v>3836</v>
      </c>
      <c r="D217" s="1501" t="s">
        <v>1010</v>
      </c>
      <c r="E217" s="1501" t="s">
        <v>3838</v>
      </c>
      <c r="F217" s="1501" t="s">
        <v>2277</v>
      </c>
      <c r="G217" s="1501" t="s">
        <v>2278</v>
      </c>
      <c r="H217" s="1501" t="s">
        <v>2279</v>
      </c>
      <c r="I217" s="1501" t="s">
        <v>2280</v>
      </c>
      <c r="J217" s="1501" t="s">
        <v>2281</v>
      </c>
      <c r="K217" s="1501" t="s">
        <v>2282</v>
      </c>
      <c r="L217" s="1505" t="s">
        <v>2283</v>
      </c>
    </row>
    <row r="218" spans="1:12">
      <c r="A218" s="1506">
        <v>1</v>
      </c>
      <c r="B218" s="1507" t="s">
        <v>1020</v>
      </c>
      <c r="C218" s="1508"/>
      <c r="D218" s="1509"/>
      <c r="E218" s="1509"/>
      <c r="F218" s="1509"/>
      <c r="G218" s="1509"/>
      <c r="H218" s="1509"/>
      <c r="I218" s="1509"/>
      <c r="J218" s="1509"/>
      <c r="K218" s="1509"/>
      <c r="L218" s="1510"/>
    </row>
    <row r="219" spans="1:12">
      <c r="A219" s="1500">
        <v>2</v>
      </c>
      <c r="B219" s="1511"/>
      <c r="C219" s="1512"/>
      <c r="D219" s="1513"/>
      <c r="E219" s="1513"/>
      <c r="F219" s="1513"/>
      <c r="G219" s="1513"/>
      <c r="H219" s="1513"/>
      <c r="I219" s="1513"/>
      <c r="J219" s="1513"/>
      <c r="K219" s="1513"/>
      <c r="L219" s="1514"/>
    </row>
    <row r="220" spans="1:12">
      <c r="A220" s="1500">
        <v>3</v>
      </c>
      <c r="B220" s="1479" t="s">
        <v>177</v>
      </c>
      <c r="C220" s="1512"/>
      <c r="D220" s="1513"/>
      <c r="E220" s="1513"/>
      <c r="F220" s="1513"/>
      <c r="G220" s="1513"/>
      <c r="H220" s="1513"/>
      <c r="I220" s="1513"/>
      <c r="J220" s="1513"/>
      <c r="K220" s="1513"/>
      <c r="L220" s="1514"/>
    </row>
    <row r="221" spans="1:12">
      <c r="A221" s="1500">
        <v>4</v>
      </c>
      <c r="B221" s="1512"/>
      <c r="C221" s="1512"/>
      <c r="D221" s="1513"/>
      <c r="E221" s="1513"/>
      <c r="F221" s="1513"/>
      <c r="G221" s="1513"/>
      <c r="H221" s="1513"/>
      <c r="I221" s="1513"/>
      <c r="J221" s="1513"/>
      <c r="K221" s="1513"/>
      <c r="L221" s="1514"/>
    </row>
    <row r="222" spans="1:12">
      <c r="A222" s="1500">
        <v>5</v>
      </c>
      <c r="B222" s="1515"/>
      <c r="C222" s="1512"/>
      <c r="D222" s="1513"/>
      <c r="E222" s="1513"/>
      <c r="F222" s="1513"/>
      <c r="G222" s="1513"/>
      <c r="H222" s="1513"/>
      <c r="I222" s="1513"/>
      <c r="J222" s="1513"/>
      <c r="K222" s="1513"/>
      <c r="L222" s="1514"/>
    </row>
    <row r="223" spans="1:12">
      <c r="A223" s="1500">
        <v>6</v>
      </c>
      <c r="B223" s="1512"/>
      <c r="C223" s="1512"/>
      <c r="D223" s="1513"/>
      <c r="E223" s="1513"/>
      <c r="F223" s="1513"/>
      <c r="G223" s="1513"/>
      <c r="H223" s="1513"/>
      <c r="I223" s="1513"/>
      <c r="J223" s="1513"/>
      <c r="K223" s="1513"/>
      <c r="L223" s="1514"/>
    </row>
    <row r="224" spans="1:12">
      <c r="A224" s="1500">
        <v>7</v>
      </c>
      <c r="B224" s="1512"/>
      <c r="C224" s="1512"/>
      <c r="D224" s="1513"/>
      <c r="E224" s="1513"/>
      <c r="F224" s="1513"/>
      <c r="G224" s="1513"/>
      <c r="H224" s="1513"/>
      <c r="I224" s="1513"/>
      <c r="J224" s="1513"/>
      <c r="K224" s="1513"/>
      <c r="L224" s="1514"/>
    </row>
    <row r="225" spans="1:12">
      <c r="A225" s="1500">
        <v>8</v>
      </c>
      <c r="B225" s="1512"/>
      <c r="C225" s="1512"/>
      <c r="D225" s="1513"/>
      <c r="E225" s="1513"/>
      <c r="F225" s="1513"/>
      <c r="G225" s="1513"/>
      <c r="H225" s="1513"/>
      <c r="I225" s="1513"/>
      <c r="J225" s="1513"/>
      <c r="K225" s="1513"/>
      <c r="L225" s="1514"/>
    </row>
    <row r="226" spans="1:12">
      <c r="A226" s="1500">
        <v>9</v>
      </c>
      <c r="B226" s="1512"/>
      <c r="C226" s="1512"/>
      <c r="D226" s="1513"/>
      <c r="E226" s="1513"/>
      <c r="F226" s="1513"/>
      <c r="G226" s="1513"/>
      <c r="H226" s="1513"/>
      <c r="I226" s="1513"/>
      <c r="J226" s="1513"/>
      <c r="K226" s="1513"/>
      <c r="L226" s="1514"/>
    </row>
    <row r="227" spans="1:12">
      <c r="A227" s="1500">
        <v>10</v>
      </c>
      <c r="B227" s="1512"/>
      <c r="C227" s="1512"/>
      <c r="D227" s="1513"/>
      <c r="E227" s="1513"/>
      <c r="F227" s="1513"/>
      <c r="G227" s="1513"/>
      <c r="H227" s="1513"/>
      <c r="I227" s="1513"/>
      <c r="J227" s="1513"/>
      <c r="K227" s="1513"/>
      <c r="L227" s="1514"/>
    </row>
    <row r="228" spans="1:12">
      <c r="A228" s="1500">
        <v>11</v>
      </c>
      <c r="B228" s="1512"/>
      <c r="C228" s="1512"/>
      <c r="D228" s="1513"/>
      <c r="E228" s="1513"/>
      <c r="F228" s="1513"/>
      <c r="G228" s="1513"/>
      <c r="H228" s="1513"/>
      <c r="I228" s="1513"/>
      <c r="J228" s="1513"/>
      <c r="K228" s="1513"/>
      <c r="L228" s="1514"/>
    </row>
    <row r="229" spans="1:12">
      <c r="A229" s="1500">
        <v>12</v>
      </c>
      <c r="B229" s="1512"/>
      <c r="C229" s="1512"/>
      <c r="D229" s="1513"/>
      <c r="E229" s="1513"/>
      <c r="F229" s="1513"/>
      <c r="G229" s="1513"/>
      <c r="H229" s="1513"/>
      <c r="I229" s="1513"/>
      <c r="J229" s="1513"/>
      <c r="K229" s="1513"/>
      <c r="L229" s="1514"/>
    </row>
    <row r="230" spans="1:12">
      <c r="A230" s="1500">
        <v>13</v>
      </c>
      <c r="B230" s="1512"/>
      <c r="C230" s="1512"/>
      <c r="D230" s="1513"/>
      <c r="E230" s="1513"/>
      <c r="F230" s="1513"/>
      <c r="G230" s="1513"/>
      <c r="H230" s="1513"/>
      <c r="I230" s="1513"/>
      <c r="J230" s="1513"/>
      <c r="K230" s="1513"/>
      <c r="L230" s="1514"/>
    </row>
    <row r="231" spans="1:12">
      <c r="A231" s="1500">
        <v>14</v>
      </c>
      <c r="B231" s="1512"/>
      <c r="C231" s="1512"/>
      <c r="D231" s="1513"/>
      <c r="E231" s="1513"/>
      <c r="F231" s="1513"/>
      <c r="G231" s="1513"/>
      <c r="H231" s="1513"/>
      <c r="I231" s="1513"/>
      <c r="J231" s="1513"/>
      <c r="K231" s="1513"/>
      <c r="L231" s="1514"/>
    </row>
    <row r="232" spans="1:12">
      <c r="A232" s="1500">
        <v>15</v>
      </c>
      <c r="B232" s="1512"/>
      <c r="C232" s="1512"/>
      <c r="D232" s="1513"/>
      <c r="E232" s="1513"/>
      <c r="F232" s="1513"/>
      <c r="G232" s="1513"/>
      <c r="H232" s="1513"/>
      <c r="I232" s="1513"/>
      <c r="J232" s="1513"/>
      <c r="K232" s="1513"/>
      <c r="L232" s="1514"/>
    </row>
    <row r="233" spans="1:12">
      <c r="A233" s="1500">
        <v>16</v>
      </c>
      <c r="B233" s="1512"/>
      <c r="C233" s="1512"/>
      <c r="D233" s="1513"/>
      <c r="E233" s="1513"/>
      <c r="F233" s="1513"/>
      <c r="G233" s="1513"/>
      <c r="H233" s="1513"/>
      <c r="I233" s="1513"/>
      <c r="J233" s="1513"/>
      <c r="K233" s="1513"/>
      <c r="L233" s="1514"/>
    </row>
    <row r="234" spans="1:12">
      <c r="A234" s="1500">
        <v>17</v>
      </c>
      <c r="B234" s="1512"/>
      <c r="C234" s="1512"/>
      <c r="D234" s="1513"/>
      <c r="E234" s="1513"/>
      <c r="F234" s="1513"/>
      <c r="G234" s="1513"/>
      <c r="H234" s="1513"/>
      <c r="I234" s="1513"/>
      <c r="J234" s="1513"/>
      <c r="K234" s="1513"/>
      <c r="L234" s="1514"/>
    </row>
    <row r="235" spans="1:12">
      <c r="A235" s="1500">
        <v>18</v>
      </c>
      <c r="B235" s="1512"/>
      <c r="C235" s="1512"/>
      <c r="D235" s="1513"/>
      <c r="E235" s="1513"/>
      <c r="F235" s="1513"/>
      <c r="G235" s="1513"/>
      <c r="H235" s="1513"/>
      <c r="I235" s="1513"/>
      <c r="J235" s="1513"/>
      <c r="K235" s="1513"/>
      <c r="L235" s="1514"/>
    </row>
    <row r="236" spans="1:12">
      <c r="A236" s="1500">
        <v>19</v>
      </c>
      <c r="B236" s="1512"/>
      <c r="C236" s="1512"/>
      <c r="D236" s="1513"/>
      <c r="E236" s="1513"/>
      <c r="F236" s="1513"/>
      <c r="G236" s="1513"/>
      <c r="H236" s="1513"/>
      <c r="I236" s="1513"/>
      <c r="J236" s="1513"/>
      <c r="K236" s="1513"/>
      <c r="L236" s="1514"/>
    </row>
    <row r="237" spans="1:12">
      <c r="A237" s="1500">
        <v>20</v>
      </c>
      <c r="B237" s="1512"/>
      <c r="C237" s="1512"/>
      <c r="D237" s="1513"/>
      <c r="E237" s="1513"/>
      <c r="F237" s="1513"/>
      <c r="G237" s="1513"/>
      <c r="H237" s="1513"/>
      <c r="I237" s="1513"/>
      <c r="J237" s="1513"/>
      <c r="K237" s="1513"/>
      <c r="L237" s="1514"/>
    </row>
    <row r="238" spans="1:12">
      <c r="A238" s="1500">
        <v>21</v>
      </c>
      <c r="B238" s="1512"/>
      <c r="C238" s="1512"/>
      <c r="D238" s="1513"/>
      <c r="E238" s="1513"/>
      <c r="F238" s="1513"/>
      <c r="G238" s="1513"/>
      <c r="H238" s="1513"/>
      <c r="I238" s="1513"/>
      <c r="J238" s="1513"/>
      <c r="K238" s="1513"/>
      <c r="L238" s="1514"/>
    </row>
    <row r="239" spans="1:12">
      <c r="A239" s="1500">
        <v>22</v>
      </c>
      <c r="B239" s="1512"/>
      <c r="C239" s="1512"/>
      <c r="D239" s="1513"/>
      <c r="E239" s="1513"/>
      <c r="F239" s="1513"/>
      <c r="G239" s="1513"/>
      <c r="H239" s="1513"/>
      <c r="I239" s="1513"/>
      <c r="J239" s="1513"/>
      <c r="K239" s="1513"/>
      <c r="L239" s="1514"/>
    </row>
    <row r="240" spans="1:12">
      <c r="A240" s="1500">
        <v>23</v>
      </c>
      <c r="B240" s="1512"/>
      <c r="C240" s="1512"/>
      <c r="D240" s="1513"/>
      <c r="E240" s="1513"/>
      <c r="F240" s="1513"/>
      <c r="G240" s="1513"/>
      <c r="H240" s="1513"/>
      <c r="I240" s="1513"/>
      <c r="J240" s="1513"/>
      <c r="K240" s="1513"/>
      <c r="L240" s="1514"/>
    </row>
    <row r="241" spans="1:12">
      <c r="A241" s="1500">
        <v>24</v>
      </c>
      <c r="B241" s="1512"/>
      <c r="C241" s="1512"/>
      <c r="D241" s="1513"/>
      <c r="E241" s="1513"/>
      <c r="F241" s="1513"/>
      <c r="G241" s="1513"/>
      <c r="H241" s="1513"/>
      <c r="I241" s="1513"/>
      <c r="J241" s="1513"/>
      <c r="K241" s="1513"/>
      <c r="L241" s="1514"/>
    </row>
    <row r="242" spans="1:12">
      <c r="A242" s="1500">
        <v>25</v>
      </c>
      <c r="B242" s="1512"/>
      <c r="C242" s="1512"/>
      <c r="D242" s="1513"/>
      <c r="E242" s="1513"/>
      <c r="F242" s="1513"/>
      <c r="G242" s="1513"/>
      <c r="H242" s="1513"/>
      <c r="I242" s="1513"/>
      <c r="J242" s="1513"/>
      <c r="K242" s="1513"/>
      <c r="L242" s="1514"/>
    </row>
    <row r="243" spans="1:12">
      <c r="A243" s="1500">
        <v>26</v>
      </c>
      <c r="B243" s="1512"/>
      <c r="C243" s="1512"/>
      <c r="D243" s="1513"/>
      <c r="E243" s="1513"/>
      <c r="F243" s="1513"/>
      <c r="G243" s="1513"/>
      <c r="H243" s="1513"/>
      <c r="I243" s="1513"/>
      <c r="J243" s="1513"/>
      <c r="K243" s="1513"/>
      <c r="L243" s="1514"/>
    </row>
    <row r="244" spans="1:12">
      <c r="A244" s="1500">
        <v>27</v>
      </c>
      <c r="B244" s="1512"/>
      <c r="C244" s="1512"/>
      <c r="D244" s="1513"/>
      <c r="E244" s="1513"/>
      <c r="F244" s="1513"/>
      <c r="G244" s="1513"/>
      <c r="H244" s="1513"/>
      <c r="I244" s="1513"/>
      <c r="J244" s="1513"/>
      <c r="K244" s="1513"/>
      <c r="L244" s="1514"/>
    </row>
    <row r="245" spans="1:12">
      <c r="A245" s="1500">
        <v>28</v>
      </c>
      <c r="B245" s="1512"/>
      <c r="C245" s="1512"/>
      <c r="D245" s="1513"/>
      <c r="E245" s="1513"/>
      <c r="F245" s="1513"/>
      <c r="G245" s="1513"/>
      <c r="H245" s="1513"/>
      <c r="I245" s="1513"/>
      <c r="J245" s="1513"/>
      <c r="K245" s="1513"/>
      <c r="L245" s="1514"/>
    </row>
    <row r="246" spans="1:12">
      <c r="A246" s="1500">
        <v>29</v>
      </c>
      <c r="B246" s="1512"/>
      <c r="C246" s="1512"/>
      <c r="D246" s="1513"/>
      <c r="E246" s="1513"/>
      <c r="F246" s="1513"/>
      <c r="G246" s="1513"/>
      <c r="H246" s="1513"/>
      <c r="I246" s="1513"/>
      <c r="J246" s="1513"/>
      <c r="K246" s="1513"/>
      <c r="L246" s="1514"/>
    </row>
    <row r="247" spans="1:12">
      <c r="A247" s="1500">
        <v>30</v>
      </c>
      <c r="B247" s="1512"/>
      <c r="C247" s="1512"/>
      <c r="D247" s="1513"/>
      <c r="E247" s="1513"/>
      <c r="F247" s="1513"/>
      <c r="G247" s="1513"/>
      <c r="H247" s="1513"/>
      <c r="I247" s="1513"/>
      <c r="J247" s="1513"/>
      <c r="K247" s="1513"/>
      <c r="L247" s="1514"/>
    </row>
    <row r="248" spans="1:12">
      <c r="A248" s="1500">
        <v>31</v>
      </c>
      <c r="B248" s="1512"/>
      <c r="C248" s="1512"/>
      <c r="D248" s="1513"/>
      <c r="E248" s="1513"/>
      <c r="F248" s="1513"/>
      <c r="G248" s="1513"/>
      <c r="H248" s="1513"/>
      <c r="I248" s="1513"/>
      <c r="J248" s="1513"/>
      <c r="K248" s="1513"/>
      <c r="L248" s="1514"/>
    </row>
    <row r="249" spans="1:12" ht="15.75" thickBot="1">
      <c r="A249" s="1516">
        <v>32</v>
      </c>
      <c r="B249" s="1517"/>
      <c r="C249" s="1517"/>
      <c r="D249" s="1518"/>
      <c r="E249" s="1518"/>
      <c r="F249" s="1518"/>
      <c r="G249" s="1518"/>
      <c r="H249" s="1518"/>
      <c r="I249" s="1518"/>
      <c r="J249" s="1518"/>
      <c r="K249" s="1518"/>
      <c r="L249" s="1531"/>
    </row>
    <row r="250" spans="1:12">
      <c r="B250" s="1478"/>
      <c r="C250" s="1478"/>
      <c r="D250" s="1478"/>
      <c r="E250" s="1478"/>
      <c r="F250" s="1478"/>
      <c r="G250" s="1478"/>
      <c r="H250" s="1478"/>
      <c r="I250" s="1478"/>
      <c r="J250" s="1478"/>
      <c r="K250" s="1478"/>
      <c r="L250" s="1532" t="s">
        <v>4066</v>
      </c>
    </row>
    <row r="251" spans="1:12">
      <c r="A251" s="1481" t="s">
        <v>1021</v>
      </c>
      <c r="B251" s="1521"/>
      <c r="C251" s="1521"/>
      <c r="D251" s="1521"/>
      <c r="E251" s="1521"/>
      <c r="F251" s="1481"/>
      <c r="G251" s="1521"/>
      <c r="H251" s="1521"/>
      <c r="I251" s="1521"/>
      <c r="J251" s="1521"/>
      <c r="K251" s="1486"/>
      <c r="L251" s="1486"/>
    </row>
  </sheetData>
  <customSheetViews>
    <customSheetView guid="{1BA452AD-1A45-4D9C-9666-ADFFA6F2F567}" colorId="22">
      <rowBreaks count="4" manualBreakCount="4">
        <brk id="51" max="11" man="1"/>
        <brk id="101" max="11" man="1"/>
        <brk id="152" max="11" man="1"/>
        <brk id="202" max="11" man="1"/>
      </rowBreaks>
      <pageMargins left="0.4" right="0.4" top="0.8" bottom="0.3" header="0.5" footer="0.5"/>
      <printOptions horizontalCentered="1" verticalCentered="1"/>
      <pageSetup scale="70" fitToWidth="5" orientation="landscape" r:id="rId1"/>
      <headerFooter alignWithMargins="0"/>
    </customSheetView>
    <customSheetView guid="{EEF7ABD6-0F96-4791-B749-C06F707E7673}" scale="87" colorId="22" showRuler="0">
      <selection activeCell="K196" sqref="K196"/>
      <rowBreaks count="4" manualBreakCount="4">
        <brk id="50" max="11" man="1"/>
        <brk id="100" max="11" man="1"/>
        <brk id="151" max="11" man="1"/>
        <brk id="201" max="11" man="1"/>
      </rowBreaks>
      <pageMargins left="0.4" right="0.4" top="0.8" bottom="0.3" header="0.5" footer="0.5"/>
      <printOptions horizontalCentered="1" verticalCentered="1"/>
      <pageSetup scale="70" fitToWidth="5" orientation="landscape" r:id="rId2"/>
      <headerFooter alignWithMargins="0"/>
    </customSheetView>
    <customSheetView guid="{A7D7DB3C-AFE6-468E-8C6B-9531F6711497}" scale="87" colorId="22" showRuler="0">
      <selection activeCell="D10" sqref="D10"/>
      <rowBreaks count="4" manualBreakCount="4">
        <brk id="50" max="11" man="1"/>
        <brk id="100" max="11" man="1"/>
        <brk id="151" max="11" man="1"/>
        <brk id="201" max="11" man="1"/>
      </rowBreaks>
      <pageMargins left="0.4" right="0.4" top="0.8" bottom="0.3" header="0.5" footer="0.5"/>
      <printOptions horizontalCentered="1" verticalCentered="1"/>
      <pageSetup scale="70" fitToWidth="5" orientation="landscape" r:id="rId3"/>
      <headerFooter alignWithMargins="0"/>
    </customSheetView>
    <customSheetView guid="{4436FEB5-BFEC-4348-9286-CB706802873E}" scale="87" colorId="22" showRuler="0">
      <selection activeCell="D10" sqref="D10"/>
      <rowBreaks count="4" manualBreakCount="4">
        <brk id="50" max="11" man="1"/>
        <brk id="100" max="11" man="1"/>
        <brk id="151" max="11" man="1"/>
        <brk id="201" max="11" man="1"/>
      </rowBreaks>
      <pageMargins left="0.4" right="0.4" top="0.8" bottom="0.3" header="0.5" footer="0.5"/>
      <printOptions horizontalCentered="1" verticalCentered="1"/>
      <pageSetup scale="70" fitToWidth="5" orientation="landscape" r:id="rId4"/>
      <headerFooter alignWithMargins="0"/>
    </customSheetView>
    <customSheetView guid="{044CF00C-469F-44B3-B2C4-9B4049CE70CB}" scale="87" colorId="22" showRuler="0" topLeftCell="F181">
      <selection activeCell="M22" sqref="M22"/>
      <rowBreaks count="4" manualBreakCount="4">
        <brk id="50" max="11" man="1"/>
        <brk id="100" max="11" man="1"/>
        <brk id="151" max="11" man="1"/>
        <brk id="201" max="11" man="1"/>
      </rowBreaks>
      <pageMargins left="0.4" right="0.4" top="0.8" bottom="0.3" header="0.5" footer="0.5"/>
      <printOptions horizontalCentered="1" verticalCentered="1"/>
      <pageSetup scale="70" fitToWidth="5" orientation="landscape" r:id="rId5"/>
      <headerFooter alignWithMargins="0"/>
    </customSheetView>
    <customSheetView guid="{4826FCC0-BDD6-4B2C-ACC6-ACE271DDF0E3}" scale="87" colorId="22" showRuler="0">
      <selection activeCell="K196" sqref="K196"/>
      <rowBreaks count="4" manualBreakCount="4">
        <brk id="50" max="11" man="1"/>
        <brk id="100" max="11" man="1"/>
        <brk id="151" max="11" man="1"/>
        <brk id="201" max="11" man="1"/>
      </rowBreaks>
      <pageMargins left="0.4" right="0.4" top="0.8" bottom="0.3" header="0.5" footer="0.5"/>
      <printOptions horizontalCentered="1" verticalCentered="1"/>
      <pageSetup scale="70" fitToWidth="5" orientation="landscape" r:id="rId6"/>
      <headerFooter alignWithMargins="0"/>
    </customSheetView>
    <customSheetView guid="{EF376D10-23D6-4FE2-AB5B-4460D52CC93F}" scale="87" colorId="22" showRuler="0">
      <selection activeCell="K196" sqref="K196"/>
      <rowBreaks count="4" manualBreakCount="4">
        <brk id="50" max="11" man="1"/>
        <brk id="100" max="11" man="1"/>
        <brk id="151" max="11" man="1"/>
        <brk id="201" max="11" man="1"/>
      </rowBreaks>
      <pageMargins left="0.4" right="0.4" top="0.8" bottom="0.3" header="0.5" footer="0.5"/>
      <printOptions horizontalCentered="1" verticalCentered="1"/>
      <pageSetup scale="70" fitToWidth="5" orientation="landscape" r:id="rId7"/>
      <headerFooter alignWithMargins="0"/>
    </customSheetView>
    <customSheetView guid="{1C046605-15CE-44F1-BFCD-2CA8588E7ACF}" scale="87" colorId="22" showRuler="0" topLeftCell="A184">
      <selection activeCell="E247" sqref="E247"/>
      <rowBreaks count="4" manualBreakCount="4">
        <brk id="50" max="11" man="1"/>
        <brk id="100" max="11" man="1"/>
        <brk id="151" max="11" man="1"/>
        <brk id="201" max="11" man="1"/>
      </rowBreaks>
      <pageMargins left="0.4" right="0.4" top="0.8" bottom="0.3" header="0.5" footer="0.5"/>
      <printOptions horizontalCentered="1" verticalCentered="1"/>
      <pageSetup scale="70" fitToWidth="5" orientation="landscape" r:id="rId8"/>
      <headerFooter alignWithMargins="0"/>
    </customSheetView>
    <customSheetView guid="{3911D713-188C-46A1-A299-F21DD3B7A146}" scale="87" colorId="22" showRuler="0" topLeftCell="A184">
      <selection activeCell="E247" sqref="E247"/>
      <rowBreaks count="4" manualBreakCount="4">
        <brk id="50" max="11" man="1"/>
        <brk id="100" max="11" man="1"/>
        <brk id="151" max="11" man="1"/>
        <brk id="201" max="11" man="1"/>
      </rowBreaks>
      <pageMargins left="0.4" right="0.4" top="0.8" bottom="0.3" header="0.5" footer="0.5"/>
      <printOptions horizontalCentered="1" verticalCentered="1"/>
      <pageSetup scale="70" fitToWidth="5" orientation="landscape" r:id="rId9"/>
      <headerFooter alignWithMargins="0"/>
    </customSheetView>
    <customSheetView guid="{78BB1E60-60BE-4F56-9763-075185EFEFAB}" colorId="22">
      <rowBreaks count="4" manualBreakCount="4">
        <brk id="51" max="11" man="1"/>
        <brk id="101" max="11" man="1"/>
        <brk id="152" max="11" man="1"/>
        <brk id="202" max="11" man="1"/>
      </rowBreaks>
      <pageMargins left="0.4" right="0.4" top="0.8" bottom="0.3" header="0.5" footer="0.5"/>
      <printOptions horizontalCentered="1" verticalCentered="1"/>
      <pageSetup scale="70" fitToWidth="5" orientation="landscape" r:id="rId10"/>
      <headerFooter alignWithMargins="0"/>
    </customSheetView>
    <customSheetView guid="{9C30803E-1E2D-4850-B0A5-591CA6F246A1}" colorId="22">
      <rowBreaks count="4" manualBreakCount="4">
        <brk id="51" max="11" man="1"/>
        <brk id="101" max="11" man="1"/>
        <brk id="152" max="11" man="1"/>
        <brk id="202" max="11" man="1"/>
      </rowBreaks>
      <pageMargins left="0.4" right="0.4" top="0.8" bottom="0.3" header="0.5" footer="0.5"/>
      <printOptions horizontalCentered="1" verticalCentered="1"/>
      <pageSetup scale="70" fitToWidth="5" orientation="landscape" r:id="rId11"/>
      <headerFooter alignWithMargins="0"/>
    </customSheetView>
    <customSheetView guid="{3B1006FF-A2CA-49E7-9B25-DAC8815279AF}" colorId="22">
      <rowBreaks count="4" manualBreakCount="4">
        <brk id="51" max="11" man="1"/>
        <brk id="101" max="11" man="1"/>
        <brk id="152" max="11" man="1"/>
        <brk id="202" max="11" man="1"/>
      </rowBreaks>
      <pageMargins left="0.4" right="0.4" top="0.8" bottom="0.3" header="0.5" footer="0.5"/>
      <printOptions horizontalCentered="1" verticalCentered="1"/>
      <pageSetup scale="70" fitToWidth="5" orientation="landscape" r:id="rId12"/>
      <headerFooter alignWithMargins="0"/>
    </customSheetView>
    <customSheetView guid="{FB1A60C8-E1F9-4DF0-8E0E-1C965F86027F}" colorId="22">
      <rowBreaks count="4" manualBreakCount="4">
        <brk id="51" max="11" man="1"/>
        <brk id="101" max="11" man="1"/>
        <brk id="152" max="11" man="1"/>
        <brk id="202" max="11" man="1"/>
      </rowBreaks>
      <pageMargins left="0.4" right="0.4" top="0.8" bottom="0.3" header="0.5" footer="0.5"/>
      <printOptions horizontalCentered="1" verticalCentered="1"/>
      <pageSetup scale="70" fitToWidth="5" orientation="landscape" r:id="rId13"/>
      <headerFooter alignWithMargins="0"/>
    </customSheetView>
    <customSheetView guid="{C5B6D812-CBE6-46AA-99F7-02494E9802B4}" scale="70" colorId="22" topLeftCell="B202">
      <selection activeCell="C10" sqref="C10"/>
      <rowBreaks count="4" manualBreakCount="4">
        <brk id="51" max="11" man="1"/>
        <brk id="101" max="11" man="1"/>
        <brk id="152" max="11" man="1"/>
        <brk id="202" max="11" man="1"/>
      </rowBreaks>
      <pageMargins left="0.4" right="0.4" top="0.8" bottom="0.3" header="0.5" footer="0.5"/>
      <printOptions horizontalCentered="1" verticalCentered="1"/>
      <pageSetup scale="70" fitToWidth="5" orientation="landscape" r:id="rId14"/>
      <headerFooter alignWithMargins="0"/>
    </customSheetView>
  </customSheetViews>
  <phoneticPr fontId="0" type="noConversion"/>
  <printOptions horizontalCentered="1" verticalCentered="1"/>
  <pageMargins left="0.4" right="0.4" top="0.8" bottom="0.3" header="0.5" footer="0.5"/>
  <pageSetup scale="70" fitToWidth="5" orientation="landscape" r:id="rId15"/>
  <headerFooter alignWithMargins="0"/>
  <rowBreaks count="4" manualBreakCount="4">
    <brk id="51" max="11" man="1"/>
    <brk id="101" max="11" man="1"/>
    <brk id="152" max="11" man="1"/>
    <brk id="202" max="11" man="1"/>
  </rowBreaks>
  <customProperties>
    <customPr name="_pios_id" r:id="rId16"/>
  </customProperties>
</worksheet>
</file>

<file path=xl/worksheets/sheet8.xml><?xml version="1.0" encoding="utf-8"?>
<worksheet xmlns="http://schemas.openxmlformats.org/spreadsheetml/2006/main" xmlns:r="http://schemas.openxmlformats.org/officeDocument/2006/relationships">
  <sheetPr transitionEvaluation="1" codeName="Sheet8" enableFormatConditionsCalculation="0"/>
  <dimension ref="B1:I114"/>
  <sheetViews>
    <sheetView defaultGridColor="0" colorId="22" zoomScale="70" zoomScaleNormal="70" workbookViewId="0"/>
  </sheetViews>
  <sheetFormatPr defaultColWidth="9.77734375" defaultRowHeight="15"/>
  <cols>
    <col min="1" max="1" width="3.77734375" customWidth="1"/>
    <col min="2" max="2" width="2.77734375" customWidth="1"/>
    <col min="3" max="3" width="33.77734375" customWidth="1"/>
    <col min="4" max="4" width="3.77734375" customWidth="1"/>
    <col min="5" max="5" width="2.77734375" customWidth="1"/>
    <col min="6" max="6" width="1.77734375" customWidth="1"/>
    <col min="7" max="7" width="13.77734375" customWidth="1"/>
    <col min="8" max="9" width="15.77734375" customWidth="1"/>
  </cols>
  <sheetData>
    <row r="1" spans="2:9" ht="15.75" thickBot="1">
      <c r="B1" s="1611" t="str">
        <f>'Data sheet'!$A$53</f>
        <v>Annual Report of New York American Water Company, Inc. (f/k/a Long Island Water Corp)                                   Year Ended  December 31, 2013</v>
      </c>
    </row>
    <row r="2" spans="2:9">
      <c r="B2" s="90"/>
      <c r="C2" s="91"/>
      <c r="D2" s="91"/>
      <c r="E2" s="91"/>
      <c r="F2" s="91"/>
      <c r="G2" s="91"/>
      <c r="H2" s="91"/>
      <c r="I2" s="92"/>
    </row>
    <row r="3" spans="2:9" ht="15.75">
      <c r="B3" s="130" t="s">
        <v>1472</v>
      </c>
      <c r="C3" s="131"/>
      <c r="D3" s="131"/>
      <c r="E3" s="131"/>
      <c r="F3" s="131"/>
      <c r="G3" s="131"/>
      <c r="H3" s="131"/>
      <c r="I3" s="132"/>
    </row>
    <row r="4" spans="2:9">
      <c r="B4" s="133"/>
      <c r="C4" s="134"/>
      <c r="D4" s="134"/>
      <c r="E4" s="134"/>
      <c r="F4" s="134"/>
      <c r="G4" s="134"/>
      <c r="H4" s="134"/>
      <c r="I4" s="135"/>
    </row>
    <row r="5" spans="2:9">
      <c r="B5" s="93"/>
      <c r="C5" s="131"/>
      <c r="D5" s="131"/>
      <c r="E5" s="131"/>
      <c r="F5" s="131"/>
      <c r="G5" s="131"/>
      <c r="H5" s="131"/>
      <c r="I5" s="132"/>
    </row>
    <row r="6" spans="2:9">
      <c r="B6" s="93"/>
      <c r="C6" s="851" t="s">
        <v>1473</v>
      </c>
      <c r="D6" s="131"/>
      <c r="E6" s="131"/>
      <c r="F6" s="131"/>
      <c r="G6" s="131"/>
      <c r="H6" s="131"/>
      <c r="I6" s="132"/>
    </row>
    <row r="7" spans="2:9">
      <c r="B7" s="93"/>
      <c r="C7" s="851" t="s">
        <v>3998</v>
      </c>
      <c r="D7" s="131"/>
      <c r="E7" s="131"/>
      <c r="F7" s="131"/>
      <c r="G7" s="131"/>
      <c r="H7" s="131"/>
      <c r="I7" s="132"/>
    </row>
    <row r="8" spans="2:9">
      <c r="B8" s="93"/>
      <c r="C8" s="851" t="s">
        <v>3999</v>
      </c>
      <c r="D8" s="131"/>
      <c r="E8" s="131"/>
      <c r="F8" s="131"/>
      <c r="G8" s="131"/>
      <c r="H8" s="131"/>
      <c r="I8" s="132"/>
    </row>
    <row r="9" spans="2:9">
      <c r="B9" s="93"/>
      <c r="C9" s="851" t="s">
        <v>1318</v>
      </c>
      <c r="D9" s="131"/>
      <c r="E9" s="131"/>
      <c r="F9" s="131"/>
      <c r="G9" s="131"/>
      <c r="H9" s="131"/>
      <c r="I9" s="132"/>
    </row>
    <row r="10" spans="2:9">
      <c r="B10" s="93"/>
      <c r="C10" s="851" t="s">
        <v>1326</v>
      </c>
      <c r="D10" s="131"/>
      <c r="E10" s="131"/>
      <c r="F10" s="131"/>
      <c r="G10" s="131"/>
      <c r="H10" s="131"/>
      <c r="I10" s="132"/>
    </row>
    <row r="11" spans="2:9">
      <c r="B11" s="93"/>
      <c r="C11" s="851" t="s">
        <v>1868</v>
      </c>
      <c r="D11" s="131"/>
      <c r="E11" s="131"/>
      <c r="F11" s="131"/>
      <c r="G11" s="131"/>
      <c r="H11" s="131"/>
      <c r="I11" s="132"/>
    </row>
    <row r="12" spans="2:9">
      <c r="B12" s="93"/>
      <c r="C12" s="851" t="s">
        <v>704</v>
      </c>
      <c r="D12" s="131"/>
      <c r="E12" s="131"/>
      <c r="F12" s="131"/>
      <c r="G12" s="131"/>
      <c r="H12" s="131"/>
      <c r="I12" s="132"/>
    </row>
    <row r="13" spans="2:9">
      <c r="B13" s="93"/>
      <c r="C13" s="851" t="s">
        <v>705</v>
      </c>
      <c r="D13" s="131"/>
      <c r="E13" s="131"/>
      <c r="F13" s="131"/>
      <c r="G13" s="131"/>
      <c r="H13" s="131"/>
      <c r="I13" s="132"/>
    </row>
    <row r="14" spans="2:9">
      <c r="B14" s="136"/>
      <c r="C14" s="134"/>
      <c r="D14" s="134"/>
      <c r="E14" s="134"/>
      <c r="F14" s="134"/>
      <c r="G14" s="134"/>
      <c r="H14" s="134"/>
      <c r="I14" s="135"/>
    </row>
    <row r="15" spans="2:9">
      <c r="B15" s="93"/>
      <c r="C15" s="131"/>
      <c r="D15" s="131"/>
      <c r="E15" s="131"/>
      <c r="F15" s="131"/>
      <c r="G15" s="131"/>
      <c r="H15" s="131"/>
      <c r="I15" s="132"/>
    </row>
    <row r="16" spans="2:9">
      <c r="B16" s="93">
        <v>1</v>
      </c>
      <c r="C16" s="119" t="s">
        <v>4645</v>
      </c>
      <c r="D16" s="131"/>
      <c r="E16" s="131"/>
      <c r="F16" s="131"/>
      <c r="G16" s="131"/>
      <c r="H16" s="131"/>
      <c r="I16" s="132"/>
    </row>
    <row r="17" spans="2:9" ht="15.75">
      <c r="B17" s="93"/>
      <c r="C17" s="119" t="s">
        <v>4641</v>
      </c>
      <c r="D17" s="131"/>
      <c r="E17" s="131"/>
      <c r="F17" s="131"/>
      <c r="G17" s="131"/>
      <c r="H17" s="131"/>
      <c r="I17" s="132"/>
    </row>
    <row r="18" spans="2:9" ht="15.75">
      <c r="B18" s="93"/>
      <c r="C18" s="119" t="s">
        <v>4642</v>
      </c>
      <c r="D18" s="131"/>
      <c r="E18" s="131"/>
      <c r="F18" s="131"/>
      <c r="G18" s="131"/>
      <c r="H18" s="131"/>
      <c r="I18" s="132"/>
    </row>
    <row r="19" spans="2:9">
      <c r="B19" s="93"/>
      <c r="C19" s="119" t="s">
        <v>4646</v>
      </c>
      <c r="D19" s="131"/>
      <c r="E19" s="131"/>
      <c r="F19" s="131"/>
      <c r="G19" s="131"/>
      <c r="H19" s="131"/>
      <c r="I19" s="132"/>
    </row>
    <row r="20" spans="2:9">
      <c r="B20" s="93"/>
      <c r="C20" s="119" t="s">
        <v>4643</v>
      </c>
      <c r="D20" s="131"/>
      <c r="E20" s="131"/>
      <c r="F20" s="131"/>
      <c r="G20" s="131"/>
      <c r="H20" s="131"/>
      <c r="I20" s="132"/>
    </row>
    <row r="21" spans="2:9">
      <c r="B21" s="93"/>
      <c r="C21" s="119" t="s">
        <v>4644</v>
      </c>
      <c r="D21" s="131"/>
      <c r="E21" s="131"/>
      <c r="F21" s="131"/>
      <c r="G21" s="131"/>
      <c r="H21" s="131"/>
      <c r="I21" s="132"/>
    </row>
    <row r="22" spans="2:9">
      <c r="B22" s="93"/>
      <c r="C22" s="793"/>
      <c r="D22" s="131"/>
      <c r="E22" s="131"/>
      <c r="F22" s="131"/>
      <c r="G22" s="131"/>
      <c r="H22" s="131"/>
      <c r="I22" s="132"/>
    </row>
    <row r="23" spans="2:9">
      <c r="B23" s="93">
        <v>2</v>
      </c>
      <c r="C23" s="793" t="s">
        <v>679</v>
      </c>
      <c r="D23" s="131"/>
      <c r="E23" s="131"/>
      <c r="F23" s="131"/>
      <c r="G23" s="131"/>
      <c r="H23" s="131"/>
      <c r="I23" s="132"/>
    </row>
    <row r="24" spans="2:9">
      <c r="B24" s="93"/>
      <c r="C24" s="793" t="s">
        <v>609</v>
      </c>
      <c r="D24" s="131"/>
      <c r="E24" s="131"/>
      <c r="F24" s="131"/>
      <c r="G24" s="131"/>
      <c r="H24" s="131"/>
      <c r="I24" s="132"/>
    </row>
    <row r="25" spans="2:9">
      <c r="B25" s="93"/>
      <c r="C25" s="850" t="s">
        <v>3719</v>
      </c>
      <c r="D25" s="131"/>
      <c r="E25" s="131"/>
      <c r="F25" s="131"/>
      <c r="G25" s="131"/>
      <c r="H25" s="131"/>
      <c r="I25" s="132"/>
    </row>
    <row r="26" spans="2:9">
      <c r="B26" s="93"/>
      <c r="C26" s="793" t="s">
        <v>3406</v>
      </c>
      <c r="D26" s="131"/>
      <c r="E26" s="131"/>
      <c r="F26" s="131"/>
      <c r="G26" s="131"/>
      <c r="H26" s="131"/>
      <c r="I26" s="132"/>
    </row>
    <row r="27" spans="2:9">
      <c r="B27" s="93"/>
      <c r="C27" s="793"/>
      <c r="D27" s="131"/>
      <c r="E27" s="131"/>
      <c r="F27" s="131"/>
      <c r="G27" s="131"/>
      <c r="H27" s="131"/>
      <c r="I27" s="132"/>
    </row>
    <row r="28" spans="2:9">
      <c r="B28" s="93">
        <v>3</v>
      </c>
      <c r="C28" s="793" t="s">
        <v>2156</v>
      </c>
      <c r="D28" s="131"/>
      <c r="E28" s="131"/>
      <c r="F28" s="131"/>
      <c r="G28" s="131"/>
      <c r="H28" s="131"/>
      <c r="I28" s="132"/>
    </row>
    <row r="29" spans="2:9">
      <c r="B29" s="93"/>
      <c r="C29" s="793"/>
      <c r="D29" s="131"/>
      <c r="E29" s="131"/>
      <c r="F29" s="131"/>
      <c r="G29" s="131"/>
      <c r="H29" s="131"/>
      <c r="I29" s="132"/>
    </row>
    <row r="30" spans="2:9">
      <c r="B30" s="93"/>
      <c r="C30" s="1011" t="s">
        <v>327</v>
      </c>
      <c r="D30" s="131"/>
      <c r="E30" s="131"/>
      <c r="F30" s="131"/>
      <c r="G30" s="131"/>
      <c r="H30" s="131"/>
      <c r="I30" s="132"/>
    </row>
    <row r="31" spans="2:9">
      <c r="B31" s="93"/>
      <c r="C31" s="1946"/>
      <c r="D31" s="131"/>
      <c r="E31" s="131"/>
      <c r="F31" s="131"/>
      <c r="G31" s="131"/>
      <c r="H31" s="131"/>
      <c r="I31" s="132"/>
    </row>
    <row r="32" spans="2:9">
      <c r="B32" s="93"/>
      <c r="C32" s="1011" t="s">
        <v>1873</v>
      </c>
      <c r="D32" s="131"/>
      <c r="E32" s="131"/>
      <c r="F32" s="131"/>
      <c r="G32" s="131"/>
      <c r="H32" s="131"/>
      <c r="I32" s="132"/>
    </row>
    <row r="33" spans="2:9">
      <c r="B33" s="93"/>
      <c r="C33" s="1011" t="s">
        <v>2534</v>
      </c>
      <c r="D33" s="131"/>
      <c r="E33" s="131"/>
      <c r="F33" s="131"/>
      <c r="G33" s="131"/>
      <c r="H33" s="131"/>
      <c r="I33" s="132"/>
    </row>
    <row r="34" spans="2:9">
      <c r="B34" s="93"/>
      <c r="C34" s="1011"/>
      <c r="D34" s="131"/>
      <c r="E34" s="131"/>
      <c r="F34" s="131"/>
      <c r="G34" s="131"/>
      <c r="H34" s="131"/>
      <c r="I34" s="132"/>
    </row>
    <row r="35" spans="2:9">
      <c r="B35" s="93"/>
      <c r="C35" s="1011" t="s">
        <v>4102</v>
      </c>
      <c r="D35" s="131"/>
      <c r="E35" s="131"/>
      <c r="F35" s="131"/>
      <c r="G35" s="131"/>
      <c r="H35" s="131"/>
      <c r="I35" s="132"/>
    </row>
    <row r="36" spans="2:9">
      <c r="B36" s="93"/>
      <c r="C36" s="1011" t="s">
        <v>2535</v>
      </c>
      <c r="D36" s="131"/>
      <c r="E36" s="131"/>
      <c r="F36" s="131"/>
      <c r="G36" s="131"/>
      <c r="H36" s="131"/>
      <c r="I36" s="132"/>
    </row>
    <row r="37" spans="2:9">
      <c r="B37" s="93"/>
      <c r="C37" s="1946"/>
      <c r="D37" s="131"/>
      <c r="E37" s="131"/>
      <c r="F37" s="131"/>
      <c r="G37" s="131"/>
      <c r="H37" s="131"/>
      <c r="I37" s="132"/>
    </row>
    <row r="38" spans="2:9">
      <c r="B38" s="93"/>
      <c r="C38" s="1011" t="s">
        <v>1758</v>
      </c>
      <c r="D38" s="131"/>
      <c r="E38" s="131"/>
      <c r="F38" s="131"/>
      <c r="G38" s="131"/>
      <c r="H38" s="131"/>
      <c r="I38" s="132"/>
    </row>
    <row r="39" spans="2:9">
      <c r="B39" s="93"/>
      <c r="C39" s="1011" t="s">
        <v>326</v>
      </c>
      <c r="D39" s="131"/>
      <c r="E39" s="131"/>
      <c r="F39" s="131"/>
      <c r="G39" s="131"/>
      <c r="H39" s="131"/>
      <c r="I39" s="132"/>
    </row>
    <row r="40" spans="2:9">
      <c r="B40" s="93"/>
      <c r="C40" s="793"/>
      <c r="D40" s="131"/>
      <c r="E40" s="131"/>
      <c r="F40" s="131"/>
      <c r="G40" s="131"/>
      <c r="H40" s="131"/>
      <c r="I40" s="132"/>
    </row>
    <row r="41" spans="2:9">
      <c r="B41" s="93">
        <v>4</v>
      </c>
      <c r="C41" s="793" t="s">
        <v>138</v>
      </c>
      <c r="D41" s="131"/>
      <c r="E41" s="131"/>
      <c r="F41" s="131"/>
      <c r="G41" s="131"/>
      <c r="H41" s="131"/>
      <c r="I41" s="132"/>
    </row>
    <row r="42" spans="2:9">
      <c r="B42" s="93"/>
      <c r="C42" s="793"/>
      <c r="D42" s="131"/>
      <c r="E42" s="131"/>
      <c r="F42" s="131"/>
      <c r="G42" s="131"/>
      <c r="H42" s="131"/>
      <c r="I42" s="132"/>
    </row>
    <row r="43" spans="2:9">
      <c r="B43" s="93">
        <v>5</v>
      </c>
      <c r="C43" s="1237" t="s">
        <v>4647</v>
      </c>
      <c r="D43" s="131"/>
      <c r="E43" s="131"/>
      <c r="F43" s="131"/>
      <c r="G43" s="131"/>
      <c r="H43" s="131"/>
      <c r="I43" s="132"/>
    </row>
    <row r="44" spans="2:9">
      <c r="B44" s="93"/>
      <c r="C44" s="119" t="s">
        <v>5318</v>
      </c>
      <c r="D44" s="131"/>
      <c r="E44" s="131"/>
      <c r="F44" s="131"/>
      <c r="G44" s="131"/>
      <c r="H44" s="131"/>
      <c r="I44" s="132"/>
    </row>
    <row r="45" spans="2:9">
      <c r="B45" s="93"/>
      <c r="C45" s="1237" t="s">
        <v>4648</v>
      </c>
      <c r="D45" s="131"/>
      <c r="E45" s="131"/>
      <c r="F45" s="131"/>
      <c r="G45" s="131"/>
      <c r="H45" s="131"/>
      <c r="I45" s="132"/>
    </row>
    <row r="46" spans="2:9">
      <c r="B46" s="93"/>
      <c r="C46" s="1237" t="s">
        <v>5324</v>
      </c>
      <c r="D46" s="131"/>
      <c r="E46" s="131"/>
      <c r="F46" s="131"/>
      <c r="G46" s="131"/>
      <c r="H46" s="131"/>
      <c r="I46" s="132"/>
    </row>
    <row r="47" spans="2:9">
      <c r="B47" s="93"/>
      <c r="C47" s="850"/>
      <c r="D47" s="131"/>
      <c r="E47" s="131"/>
      <c r="F47" s="131"/>
      <c r="G47" s="131"/>
      <c r="H47" s="131"/>
      <c r="I47" s="132"/>
    </row>
    <row r="48" spans="2:9">
      <c r="B48" s="93"/>
      <c r="C48" s="793"/>
      <c r="D48" s="131"/>
      <c r="E48" s="131"/>
      <c r="F48" s="131"/>
      <c r="G48" s="131"/>
      <c r="H48" s="131"/>
      <c r="I48" s="132"/>
    </row>
    <row r="49" spans="2:9">
      <c r="B49" s="93"/>
      <c r="C49" s="793"/>
      <c r="D49" s="131"/>
      <c r="E49" s="131"/>
      <c r="F49" s="131"/>
      <c r="G49" s="131"/>
      <c r="H49" s="131"/>
      <c r="I49" s="132"/>
    </row>
    <row r="50" spans="2:9">
      <c r="B50" s="93"/>
      <c r="C50" s="793"/>
      <c r="D50" s="131"/>
      <c r="E50" s="131"/>
      <c r="F50" s="131"/>
      <c r="G50" s="131"/>
      <c r="H50" s="131"/>
      <c r="I50" s="132"/>
    </row>
    <row r="51" spans="2:9">
      <c r="B51" s="93"/>
      <c r="C51" s="793"/>
      <c r="D51" s="131"/>
      <c r="E51" s="131"/>
      <c r="F51" s="131"/>
      <c r="G51" s="131"/>
      <c r="H51" s="131"/>
      <c r="I51" s="132"/>
    </row>
    <row r="52" spans="2:9">
      <c r="B52" s="93"/>
      <c r="C52" s="793"/>
      <c r="D52" s="131"/>
      <c r="E52" s="131"/>
      <c r="F52" s="131"/>
      <c r="G52" s="131"/>
      <c r="H52" s="131"/>
      <c r="I52" s="132"/>
    </row>
    <row r="53" spans="2:9" ht="15.75" thickBot="1">
      <c r="B53" s="137"/>
      <c r="C53" s="1731"/>
      <c r="D53" s="139"/>
      <c r="E53" s="139"/>
      <c r="F53" s="139"/>
      <c r="G53" s="139"/>
      <c r="H53" s="139"/>
      <c r="I53" s="140"/>
    </row>
    <row r="54" spans="2:9">
      <c r="B54" s="131"/>
      <c r="C54" s="11"/>
      <c r="D54" s="131"/>
      <c r="E54" s="131"/>
      <c r="F54" s="131"/>
      <c r="G54" s="131"/>
      <c r="H54" s="131"/>
      <c r="I54" s="131" t="s">
        <v>4066</v>
      </c>
    </row>
    <row r="55" spans="2:9">
      <c r="B55" s="131" t="s">
        <v>706</v>
      </c>
      <c r="C55" s="131"/>
      <c r="D55" s="131"/>
      <c r="E55" s="131"/>
      <c r="F55" s="131"/>
      <c r="G55" s="131"/>
      <c r="H55" s="131"/>
      <c r="I55" s="131"/>
    </row>
    <row r="56" spans="2:9">
      <c r="B56" s="131"/>
      <c r="C56" s="131"/>
      <c r="D56" s="131"/>
      <c r="E56" s="131"/>
      <c r="F56" s="131"/>
      <c r="G56" s="131"/>
      <c r="H56" s="131"/>
      <c r="I56" s="131"/>
    </row>
    <row r="57" spans="2:9" ht="15.75" thickBot="1">
      <c r="B57" s="1611" t="str">
        <f>'Data sheet'!$A$53</f>
        <v>Annual Report of New York American Water Company, Inc. (f/k/a Long Island Water Corp)                                   Year Ended  December 31, 2013</v>
      </c>
    </row>
    <row r="58" spans="2:9">
      <c r="B58" s="90"/>
      <c r="C58" s="91"/>
      <c r="D58" s="91"/>
      <c r="E58" s="91"/>
      <c r="F58" s="91"/>
      <c r="G58" s="91"/>
      <c r="H58" s="91"/>
      <c r="I58" s="92"/>
    </row>
    <row r="59" spans="2:9" ht="15.75">
      <c r="B59" s="130" t="s">
        <v>707</v>
      </c>
      <c r="C59" s="131"/>
      <c r="D59" s="131"/>
      <c r="E59" s="131"/>
      <c r="F59" s="131"/>
      <c r="G59" s="131"/>
      <c r="H59" s="131"/>
      <c r="I59" s="132"/>
    </row>
    <row r="60" spans="2:9">
      <c r="B60" s="133"/>
      <c r="C60" s="134"/>
      <c r="D60" s="134"/>
      <c r="E60" s="134"/>
      <c r="F60" s="134"/>
      <c r="G60" s="134"/>
      <c r="H60" s="134"/>
      <c r="I60" s="135"/>
    </row>
    <row r="61" spans="2:9">
      <c r="B61" s="93"/>
      <c r="C61" s="131"/>
      <c r="D61" s="131"/>
      <c r="E61" s="131"/>
      <c r="F61" s="131"/>
      <c r="G61" s="131"/>
      <c r="H61" s="131"/>
      <c r="I61" s="132"/>
    </row>
    <row r="62" spans="2:9">
      <c r="B62" s="93"/>
      <c r="C62" s="128" t="s">
        <v>4649</v>
      </c>
      <c r="D62" s="131"/>
      <c r="E62" s="131"/>
      <c r="F62" s="131"/>
      <c r="G62" s="131"/>
      <c r="H62" s="131"/>
      <c r="I62" s="132"/>
    </row>
    <row r="63" spans="2:9">
      <c r="B63" s="93"/>
      <c r="C63" s="131"/>
      <c r="D63" s="131"/>
      <c r="E63" s="131"/>
      <c r="F63" s="131"/>
      <c r="G63" s="131"/>
      <c r="H63" s="131"/>
      <c r="I63" s="132"/>
    </row>
    <row r="64" spans="2:9">
      <c r="B64" s="93"/>
      <c r="C64" s="131"/>
      <c r="D64" s="131"/>
      <c r="E64" s="131"/>
      <c r="F64" s="131"/>
      <c r="G64" s="131"/>
      <c r="H64" s="131"/>
      <c r="I64" s="132"/>
    </row>
    <row r="65" spans="2:9">
      <c r="B65" s="93"/>
      <c r="C65" s="131"/>
      <c r="D65" s="131"/>
      <c r="E65" s="131"/>
      <c r="F65" s="131"/>
      <c r="G65" s="131"/>
      <c r="H65" s="131"/>
      <c r="I65" s="132"/>
    </row>
    <row r="66" spans="2:9">
      <c r="B66" s="93"/>
      <c r="C66" s="131"/>
      <c r="D66" s="131"/>
      <c r="E66" s="131"/>
      <c r="F66" s="131"/>
      <c r="G66" s="131"/>
      <c r="H66" s="131"/>
      <c r="I66" s="132"/>
    </row>
    <row r="67" spans="2:9">
      <c r="B67" s="93"/>
      <c r="C67" s="131"/>
      <c r="D67" s="131"/>
      <c r="E67" s="131"/>
      <c r="F67" s="131"/>
      <c r="G67" s="131"/>
      <c r="H67" s="131"/>
      <c r="I67" s="132"/>
    </row>
    <row r="68" spans="2:9">
      <c r="B68" s="93"/>
      <c r="C68" s="131"/>
      <c r="D68" s="131"/>
      <c r="E68" s="131"/>
      <c r="F68" s="131"/>
      <c r="G68" s="131"/>
      <c r="H68" s="131"/>
      <c r="I68" s="132"/>
    </row>
    <row r="69" spans="2:9">
      <c r="B69" s="93"/>
      <c r="C69" s="131"/>
      <c r="D69" s="131"/>
      <c r="E69" s="131"/>
      <c r="F69" s="131"/>
      <c r="G69" s="131"/>
      <c r="H69" s="131"/>
      <c r="I69" s="132"/>
    </row>
    <row r="70" spans="2:9">
      <c r="B70" s="93"/>
      <c r="C70" s="131"/>
      <c r="D70" s="131"/>
      <c r="E70" s="131"/>
      <c r="F70" s="131"/>
      <c r="G70" s="131"/>
      <c r="H70" s="131"/>
      <c r="I70" s="132"/>
    </row>
    <row r="71" spans="2:9">
      <c r="B71" s="93"/>
      <c r="C71" s="131"/>
      <c r="D71" s="131"/>
      <c r="E71" s="131"/>
      <c r="F71" s="131"/>
      <c r="G71" s="131"/>
      <c r="H71" s="131"/>
      <c r="I71" s="132"/>
    </row>
    <row r="72" spans="2:9">
      <c r="B72" s="93"/>
      <c r="C72" s="131"/>
      <c r="D72" s="131"/>
      <c r="E72" s="131"/>
      <c r="F72" s="131"/>
      <c r="G72" s="131"/>
      <c r="H72" s="131"/>
      <c r="I72" s="132"/>
    </row>
    <row r="73" spans="2:9">
      <c r="B73" s="93"/>
      <c r="C73" s="131"/>
      <c r="D73" s="131"/>
      <c r="E73" s="131"/>
      <c r="F73" s="131"/>
      <c r="G73" s="131"/>
      <c r="H73" s="131"/>
      <c r="I73" s="132"/>
    </row>
    <row r="74" spans="2:9">
      <c r="B74" s="93"/>
      <c r="C74" s="131"/>
      <c r="D74" s="131"/>
      <c r="E74" s="131"/>
      <c r="F74" s="131"/>
      <c r="G74" s="131"/>
      <c r="H74" s="131"/>
      <c r="I74" s="132"/>
    </row>
    <row r="75" spans="2:9">
      <c r="B75" s="93"/>
      <c r="C75" s="131"/>
      <c r="D75" s="131"/>
      <c r="E75" s="131"/>
      <c r="F75" s="131"/>
      <c r="G75" s="131"/>
      <c r="H75" s="131"/>
      <c r="I75" s="132"/>
    </row>
    <row r="76" spans="2:9">
      <c r="B76" s="93"/>
      <c r="C76" s="131"/>
      <c r="D76" s="131"/>
      <c r="E76" s="131"/>
      <c r="F76" s="131"/>
      <c r="G76" s="131"/>
      <c r="H76" s="131"/>
      <c r="I76" s="132"/>
    </row>
    <row r="77" spans="2:9">
      <c r="B77" s="93"/>
      <c r="C77" s="131"/>
      <c r="D77" s="131"/>
      <c r="E77" s="131"/>
      <c r="F77" s="131"/>
      <c r="G77" s="131"/>
      <c r="H77" s="131"/>
      <c r="I77" s="132"/>
    </row>
    <row r="78" spans="2:9">
      <c r="B78" s="93"/>
      <c r="C78" s="131"/>
      <c r="D78" s="131"/>
      <c r="E78" s="131"/>
      <c r="F78" s="131"/>
      <c r="G78" s="131"/>
      <c r="H78" s="131"/>
      <c r="I78" s="132"/>
    </row>
    <row r="79" spans="2:9">
      <c r="B79" s="93"/>
      <c r="C79" s="131"/>
      <c r="D79" s="131"/>
      <c r="E79" s="131"/>
      <c r="F79" s="131"/>
      <c r="G79" s="131"/>
      <c r="H79" s="131"/>
      <c r="I79" s="132"/>
    </row>
    <row r="80" spans="2:9">
      <c r="B80" s="93"/>
      <c r="C80" s="131"/>
      <c r="D80" s="131"/>
      <c r="E80" s="131"/>
      <c r="F80" s="131"/>
      <c r="G80" s="131"/>
      <c r="H80" s="131"/>
      <c r="I80" s="132"/>
    </row>
    <row r="81" spans="2:9">
      <c r="B81" s="93"/>
      <c r="C81" s="131"/>
      <c r="D81" s="131"/>
      <c r="E81" s="131"/>
      <c r="F81" s="131"/>
      <c r="G81" s="131"/>
      <c r="H81" s="131"/>
      <c r="I81" s="132"/>
    </row>
    <row r="82" spans="2:9">
      <c r="B82" s="93"/>
      <c r="C82" s="131"/>
      <c r="D82" s="131"/>
      <c r="E82" s="131"/>
      <c r="F82" s="131"/>
      <c r="G82" s="131"/>
      <c r="H82" s="131"/>
      <c r="I82" s="132"/>
    </row>
    <row r="83" spans="2:9">
      <c r="B83" s="93"/>
      <c r="C83" s="131"/>
      <c r="D83" s="131"/>
      <c r="E83" s="131"/>
      <c r="F83" s="131"/>
      <c r="G83" s="131"/>
      <c r="H83" s="131"/>
      <c r="I83" s="132"/>
    </row>
    <row r="84" spans="2:9">
      <c r="B84" s="93"/>
      <c r="C84" s="131"/>
      <c r="D84" s="131"/>
      <c r="E84" s="131"/>
      <c r="F84" s="131"/>
      <c r="G84" s="131"/>
      <c r="H84" s="131"/>
      <c r="I84" s="132"/>
    </row>
    <row r="85" spans="2:9">
      <c r="B85" s="93"/>
      <c r="C85" s="131"/>
      <c r="D85" s="131"/>
      <c r="E85" s="131"/>
      <c r="F85" s="131"/>
      <c r="G85" s="131"/>
      <c r="H85" s="131"/>
      <c r="I85" s="132"/>
    </row>
    <row r="86" spans="2:9">
      <c r="B86" s="93"/>
      <c r="C86" s="131"/>
      <c r="D86" s="131"/>
      <c r="E86" s="131"/>
      <c r="F86" s="131"/>
      <c r="G86" s="131"/>
      <c r="H86" s="131"/>
      <c r="I86" s="132"/>
    </row>
    <row r="87" spans="2:9">
      <c r="B87" s="93"/>
      <c r="C87" s="131"/>
      <c r="D87" s="131"/>
      <c r="E87" s="131"/>
      <c r="F87" s="131"/>
      <c r="G87" s="131"/>
      <c r="H87" s="131"/>
      <c r="I87" s="132"/>
    </row>
    <row r="88" spans="2:9">
      <c r="B88" s="93"/>
      <c r="C88" s="131"/>
      <c r="D88" s="131"/>
      <c r="E88" s="131"/>
      <c r="F88" s="131"/>
      <c r="G88" s="131"/>
      <c r="H88" s="131"/>
      <c r="I88" s="132"/>
    </row>
    <row r="89" spans="2:9">
      <c r="B89" s="93"/>
      <c r="C89" s="131"/>
      <c r="D89" s="131"/>
      <c r="E89" s="131"/>
      <c r="F89" s="131"/>
      <c r="G89" s="131"/>
      <c r="H89" s="131"/>
      <c r="I89" s="132"/>
    </row>
    <row r="90" spans="2:9">
      <c r="B90" s="93"/>
      <c r="C90" s="131"/>
      <c r="D90" s="131"/>
      <c r="E90" s="131"/>
      <c r="F90" s="131"/>
      <c r="G90" s="131"/>
      <c r="H90" s="131"/>
      <c r="I90" s="132"/>
    </row>
    <row r="91" spans="2:9">
      <c r="B91" s="93"/>
      <c r="C91" s="131"/>
      <c r="D91" s="131"/>
      <c r="E91" s="131"/>
      <c r="F91" s="131"/>
      <c r="G91" s="131"/>
      <c r="H91" s="131"/>
      <c r="I91" s="132"/>
    </row>
    <row r="92" spans="2:9">
      <c r="B92" s="93"/>
      <c r="C92" s="131"/>
      <c r="D92" s="131"/>
      <c r="E92" s="131"/>
      <c r="F92" s="131"/>
      <c r="G92" s="131"/>
      <c r="H92" s="131"/>
      <c r="I92" s="132"/>
    </row>
    <row r="93" spans="2:9">
      <c r="B93" s="93"/>
      <c r="C93" s="131"/>
      <c r="D93" s="131"/>
      <c r="E93" s="131"/>
      <c r="F93" s="131"/>
      <c r="G93" s="131"/>
      <c r="H93" s="131"/>
      <c r="I93" s="132"/>
    </row>
    <row r="94" spans="2:9">
      <c r="B94" s="93"/>
      <c r="C94" s="131"/>
      <c r="D94" s="131"/>
      <c r="E94" s="131"/>
      <c r="F94" s="131"/>
      <c r="G94" s="131"/>
      <c r="H94" s="131"/>
      <c r="I94" s="132"/>
    </row>
    <row r="95" spans="2:9">
      <c r="B95" s="93"/>
      <c r="C95" s="131"/>
      <c r="D95" s="131"/>
      <c r="E95" s="131"/>
      <c r="F95" s="131"/>
      <c r="G95" s="131"/>
      <c r="H95" s="131"/>
      <c r="I95" s="132"/>
    </row>
    <row r="96" spans="2:9">
      <c r="B96" s="93"/>
      <c r="C96" s="131"/>
      <c r="D96" s="131"/>
      <c r="E96" s="131"/>
      <c r="F96" s="131"/>
      <c r="G96" s="131"/>
      <c r="H96" s="131"/>
      <c r="I96" s="132"/>
    </row>
    <row r="97" spans="2:9">
      <c r="B97" s="93"/>
      <c r="C97" s="131"/>
      <c r="D97" s="131"/>
      <c r="E97" s="131"/>
      <c r="F97" s="131"/>
      <c r="G97" s="131"/>
      <c r="H97" s="131"/>
      <c r="I97" s="132"/>
    </row>
    <row r="98" spans="2:9">
      <c r="B98" s="93"/>
      <c r="C98" s="131"/>
      <c r="D98" s="131"/>
      <c r="E98" s="131"/>
      <c r="F98" s="131"/>
      <c r="G98" s="131"/>
      <c r="H98" s="131"/>
      <c r="I98" s="132"/>
    </row>
    <row r="99" spans="2:9">
      <c r="B99" s="93"/>
      <c r="C99" s="131"/>
      <c r="D99" s="131"/>
      <c r="E99" s="131"/>
      <c r="F99" s="131"/>
      <c r="G99" s="131"/>
      <c r="H99" s="131"/>
      <c r="I99" s="132"/>
    </row>
    <row r="100" spans="2:9">
      <c r="B100" s="93"/>
      <c r="C100" s="131"/>
      <c r="D100" s="131"/>
      <c r="E100" s="131"/>
      <c r="F100" s="131"/>
      <c r="G100" s="131"/>
      <c r="H100" s="131"/>
      <c r="I100" s="132"/>
    </row>
    <row r="101" spans="2:9">
      <c r="B101" s="93"/>
      <c r="C101" s="131"/>
      <c r="D101" s="131"/>
      <c r="E101" s="131"/>
      <c r="F101" s="131"/>
      <c r="G101" s="131"/>
      <c r="H101" s="131"/>
      <c r="I101" s="132"/>
    </row>
    <row r="102" spans="2:9">
      <c r="B102" s="93"/>
      <c r="C102" s="131"/>
      <c r="D102" s="131"/>
      <c r="E102" s="131"/>
      <c r="F102" s="131"/>
      <c r="G102" s="131"/>
      <c r="H102" s="131"/>
      <c r="I102" s="132"/>
    </row>
    <row r="103" spans="2:9">
      <c r="B103" s="93"/>
      <c r="C103" s="131"/>
      <c r="D103" s="131"/>
      <c r="E103" s="131"/>
      <c r="F103" s="131"/>
      <c r="G103" s="131"/>
      <c r="H103" s="131"/>
      <c r="I103" s="132"/>
    </row>
    <row r="104" spans="2:9">
      <c r="B104" s="93"/>
      <c r="C104" s="131"/>
      <c r="D104" s="131"/>
      <c r="E104" s="131"/>
      <c r="F104" s="131"/>
      <c r="G104" s="131"/>
      <c r="H104" s="131"/>
      <c r="I104" s="132"/>
    </row>
    <row r="105" spans="2:9">
      <c r="B105" s="93"/>
      <c r="C105" s="131"/>
      <c r="D105" s="131"/>
      <c r="E105" s="131"/>
      <c r="F105" s="131"/>
      <c r="G105" s="131"/>
      <c r="H105" s="131"/>
      <c r="I105" s="132"/>
    </row>
    <row r="106" spans="2:9">
      <c r="B106" s="93"/>
      <c r="C106" s="131"/>
      <c r="D106" s="131"/>
      <c r="E106" s="131"/>
      <c r="F106" s="131"/>
      <c r="G106" s="131"/>
      <c r="H106" s="131"/>
      <c r="I106" s="132"/>
    </row>
    <row r="107" spans="2:9">
      <c r="B107" s="93"/>
      <c r="C107" s="131"/>
      <c r="D107" s="131"/>
      <c r="E107" s="131"/>
      <c r="F107" s="131"/>
      <c r="G107" s="131"/>
      <c r="H107" s="131"/>
      <c r="I107" s="132"/>
    </row>
    <row r="108" spans="2:9">
      <c r="B108" s="93"/>
      <c r="C108" s="131"/>
      <c r="D108" s="131"/>
      <c r="E108" s="131"/>
      <c r="F108" s="131"/>
      <c r="G108" s="131"/>
      <c r="H108" s="131"/>
      <c r="I108" s="132"/>
    </row>
    <row r="109" spans="2:9">
      <c r="B109" s="93"/>
      <c r="C109" s="11"/>
      <c r="D109" s="131"/>
      <c r="E109" s="131"/>
      <c r="F109" s="131"/>
      <c r="G109" s="131"/>
      <c r="H109" s="131"/>
      <c r="I109" s="132"/>
    </row>
    <row r="110" spans="2:9">
      <c r="B110" s="93"/>
      <c r="C110" s="11"/>
      <c r="D110" s="131"/>
      <c r="E110" s="131"/>
      <c r="F110" s="131"/>
      <c r="G110" s="131"/>
      <c r="H110" s="131"/>
      <c r="I110" s="132"/>
    </row>
    <row r="111" spans="2:9">
      <c r="B111" s="93"/>
      <c r="C111" s="11"/>
      <c r="D111" s="131"/>
      <c r="E111" s="131"/>
      <c r="F111" s="131"/>
      <c r="G111" s="131"/>
      <c r="H111" s="131"/>
      <c r="I111" s="132"/>
    </row>
    <row r="112" spans="2:9" ht="15.75" thickBot="1">
      <c r="B112" s="137"/>
      <c r="C112" s="138"/>
      <c r="D112" s="139"/>
      <c r="E112" s="139"/>
      <c r="F112" s="139"/>
      <c r="G112" s="139"/>
      <c r="H112" s="139"/>
      <c r="I112" s="140"/>
    </row>
    <row r="113" spans="2:9">
      <c r="B113" s="1011" t="s">
        <v>4066</v>
      </c>
      <c r="C113" s="11"/>
      <c r="D113" s="131"/>
      <c r="E113" s="131"/>
      <c r="F113" s="131"/>
      <c r="G113" s="131"/>
      <c r="H113" s="131"/>
      <c r="I113" s="131"/>
    </row>
    <row r="114" spans="2:9">
      <c r="B114" s="131" t="s">
        <v>708</v>
      </c>
      <c r="C114" s="131"/>
      <c r="D114" s="131"/>
      <c r="E114" s="131"/>
      <c r="F114" s="131"/>
      <c r="G114" s="131"/>
      <c r="H114" s="131"/>
      <c r="I114" s="131"/>
    </row>
  </sheetData>
  <customSheetViews>
    <customSheetView guid="{1BA452AD-1A45-4D9C-9666-ADFFA6F2F567}" colorId="22" topLeftCell="A34">
      <selection activeCell="P51" sqref="P51"/>
      <rowBreaks count="1" manualBreakCount="1">
        <brk id="56" max="16383" man="1"/>
      </rowBreaks>
      <pageMargins left="0.4" right="0.4" top="0.3" bottom="0.3" header="0.5" footer="0.5"/>
      <pageSetup scale="79" fitToWidth="2" orientation="portrait" r:id="rId1"/>
      <headerFooter alignWithMargins="0"/>
    </customSheetView>
    <customSheetView guid="{EEF7ABD6-0F96-4791-B749-C06F707E7673}" scale="60" colorId="22" showPageBreaks="1" printArea="1" view="pageBreakPreview" showRuler="0">
      <selection activeCell="C38" sqref="C38"/>
      <rowBreaks count="1" manualBreakCount="1">
        <brk id="58" max="16383" man="1"/>
      </rowBreaks>
      <pageMargins left="0.4" right="0.4" top="0.3" bottom="0.3" header="0.5" footer="0.5"/>
      <pageSetup scale="79" fitToWidth="2" orientation="portrait" r:id="rId2"/>
      <headerFooter alignWithMargins="0"/>
    </customSheetView>
    <customSheetView guid="{A7D7DB3C-AFE6-468E-8C6B-9531F6711497}" scale="87" colorId="22" showRuler="0">
      <selection activeCell="C17" sqref="C17"/>
      <rowBreaks count="1" manualBreakCount="1">
        <brk id="58" max="16383" man="1"/>
      </rowBreaks>
      <pageMargins left="0.4" right="0.4" top="0.3" bottom="0.3" header="0.5" footer="0.5"/>
      <pageSetup scale="85" fitToWidth="2" orientation="portrait" r:id="rId3"/>
      <headerFooter alignWithMargins="0"/>
    </customSheetView>
    <customSheetView guid="{4436FEB5-BFEC-4348-9286-CB706802873E}" scale="87" colorId="22" showRuler="0">
      <selection activeCell="C17" sqref="C17"/>
      <rowBreaks count="1" manualBreakCount="1">
        <brk id="58" max="16383" man="1"/>
      </rowBreaks>
      <pageMargins left="0.4" right="0.4" top="0.3" bottom="0.3" header="0.5" footer="0.5"/>
      <pageSetup scale="85" fitToWidth="2" orientation="portrait" r:id="rId4"/>
      <headerFooter alignWithMargins="0"/>
    </customSheetView>
    <customSheetView guid="{044CF00C-469F-44B3-B2C4-9B4049CE70CB}" scale="87" colorId="22" showRuler="0">
      <selection activeCell="B2" sqref="B2"/>
      <rowBreaks count="1" manualBreakCount="1">
        <brk id="58" max="16383" man="1"/>
      </rowBreaks>
      <pageMargins left="0.4" right="0.4" top="0.3" bottom="0.3" header="0.5" footer="0.5"/>
      <pageSetup scale="85" fitToWidth="2" orientation="portrait" r:id="rId5"/>
      <headerFooter alignWithMargins="0"/>
    </customSheetView>
    <customSheetView guid="{4826FCC0-BDD6-4B2C-ACC6-ACE271DDF0E3}" scale="60" colorId="22" showPageBreaks="1" printArea="1" view="pageBreakPreview" showRuler="0" topLeftCell="A64">
      <selection activeCell="C19" sqref="C19"/>
      <rowBreaks count="1" manualBreakCount="1">
        <brk id="58" max="16383" man="1"/>
      </rowBreaks>
      <pageMargins left="0.4" right="0.4" top="0.3" bottom="0.3" header="0.5" footer="0.5"/>
      <pageSetup scale="79" fitToWidth="2" orientation="portrait" r:id="rId6"/>
      <headerFooter alignWithMargins="0"/>
    </customSheetView>
    <customSheetView guid="{EF376D10-23D6-4FE2-AB5B-4460D52CC93F}" scale="60" colorId="22" showPageBreaks="1" printArea="1" view="pageBreakPreview" showRuler="0">
      <selection activeCell="C38" sqref="C38"/>
      <rowBreaks count="1" manualBreakCount="1">
        <brk id="58" max="16383" man="1"/>
      </rowBreaks>
      <pageMargins left="0.4" right="0.4" top="0.3" bottom="0.3" header="0.5" footer="0.5"/>
      <pageSetup scale="79" fitToWidth="2" orientation="portrait" r:id="rId7"/>
      <headerFooter alignWithMargins="0"/>
    </customSheetView>
    <customSheetView guid="{1C046605-15CE-44F1-BFCD-2CA8588E7ACF}" scale="87" colorId="22" showRuler="0">
      <selection activeCell="L40" sqref="L40"/>
      <rowBreaks count="1" manualBreakCount="1">
        <brk id="58" max="16383" man="1"/>
      </rowBreaks>
      <pageMargins left="0.4" right="0.4" top="0.3" bottom="0.3" header="0.5" footer="0.5"/>
      <pageSetup scale="79" fitToWidth="2" orientation="portrait" r:id="rId8"/>
      <headerFooter alignWithMargins="0"/>
    </customSheetView>
    <customSheetView guid="{3911D713-188C-46A1-A299-F21DD3B7A146}" scale="87" colorId="22" showRuler="0">
      <selection activeCell="L40" sqref="L40"/>
      <rowBreaks count="1" manualBreakCount="1">
        <brk id="58" max="16383" man="1"/>
      </rowBreaks>
      <pageMargins left="0.4" right="0.4" top="0.3" bottom="0.3" header="0.5" footer="0.5"/>
      <pageSetup scale="79" fitToWidth="2" orientation="portrait" r:id="rId9"/>
      <headerFooter alignWithMargins="0"/>
    </customSheetView>
    <customSheetView guid="{78BB1E60-60BE-4F56-9763-075185EFEFAB}" colorId="22" topLeftCell="A34">
      <selection activeCell="P51" sqref="P51"/>
      <rowBreaks count="1" manualBreakCount="1">
        <brk id="56" max="16383" man="1"/>
      </rowBreaks>
      <pageMargins left="0.4" right="0.4" top="0.3" bottom="0.3" header="0.5" footer="0.5"/>
      <pageSetup scale="79" fitToWidth="2" orientation="portrait" r:id="rId10"/>
      <headerFooter alignWithMargins="0"/>
    </customSheetView>
    <customSheetView guid="{9C30803E-1E2D-4850-B0A5-591CA6F246A1}" colorId="22">
      <selection activeCell="P51" sqref="P51"/>
      <rowBreaks count="1" manualBreakCount="1">
        <brk id="56" max="16383" man="1"/>
      </rowBreaks>
      <pageMargins left="0.4" right="0.4" top="0.3" bottom="0.3" header="0.5" footer="0.5"/>
      <pageSetup scale="79" fitToWidth="2" orientation="portrait" r:id="rId11"/>
      <headerFooter alignWithMargins="0"/>
    </customSheetView>
    <customSheetView guid="{3B1006FF-A2CA-49E7-9B25-DAC8815279AF}" colorId="22">
      <selection activeCell="P51" sqref="P51"/>
      <rowBreaks count="1" manualBreakCount="1">
        <brk id="56" max="16383" man="1"/>
      </rowBreaks>
      <pageMargins left="0.4" right="0.4" top="0.3" bottom="0.3" header="0.5" footer="0.5"/>
      <pageSetup scale="79" fitToWidth="2" orientation="portrait" r:id="rId12"/>
      <headerFooter alignWithMargins="0"/>
    </customSheetView>
    <customSheetView guid="{FB1A60C8-E1F9-4DF0-8E0E-1C965F86027F}" colorId="22">
      <selection activeCell="P51" sqref="P51"/>
      <rowBreaks count="1" manualBreakCount="1">
        <brk id="56" max="16383" man="1"/>
      </rowBreaks>
      <pageMargins left="0.4" right="0.4" top="0.3" bottom="0.3" header="0.5" footer="0.5"/>
      <pageSetup scale="79" fitToWidth="2" orientation="portrait" r:id="rId13"/>
      <headerFooter alignWithMargins="0"/>
    </customSheetView>
    <customSheetView guid="{C5B6D812-CBE6-46AA-99F7-02494E9802B4}" scale="70" colorId="22" topLeftCell="A4">
      <selection activeCell="C10" sqref="C10"/>
      <rowBreaks count="1" manualBreakCount="1">
        <brk id="56" max="16383" man="1"/>
      </rowBreaks>
      <pageMargins left="0.4" right="0.4" top="0.3" bottom="0.3" header="0.5" footer="0.5"/>
      <pageSetup scale="79" fitToWidth="2" orientation="portrait" r:id="rId14"/>
      <headerFooter alignWithMargins="0"/>
    </customSheetView>
  </customSheetViews>
  <phoneticPr fontId="0" type="noConversion"/>
  <pageMargins left="0.4" right="0.4" top="0.3" bottom="0.3" header="0.5" footer="0.5"/>
  <pageSetup scale="79" fitToWidth="2" orientation="portrait" r:id="rId15"/>
  <headerFooter alignWithMargins="0"/>
  <rowBreaks count="1" manualBreakCount="1">
    <brk id="56" max="16383" man="1"/>
  </rowBreaks>
  <customProperties>
    <customPr name="_pios_id" r:id="rId16"/>
  </customProperties>
</worksheet>
</file>

<file path=xl/worksheets/sheet80.xml><?xml version="1.0" encoding="utf-8"?>
<worksheet xmlns="http://schemas.openxmlformats.org/spreadsheetml/2006/main" xmlns:r="http://schemas.openxmlformats.org/officeDocument/2006/relationships">
  <sheetPr transitionEvaluation="1" codeName="Sheet79" enableFormatConditionsCalculation="0">
    <pageSetUpPr fitToPage="1"/>
  </sheetPr>
  <dimension ref="A1:H53"/>
  <sheetViews>
    <sheetView defaultGridColor="0" colorId="22" zoomScale="70" zoomScaleNormal="70" workbookViewId="0"/>
  </sheetViews>
  <sheetFormatPr defaultColWidth="9.77734375" defaultRowHeight="15"/>
  <cols>
    <col min="1" max="1" width="4.77734375" style="1436" customWidth="1"/>
    <col min="2" max="2" width="33.77734375" style="1436" customWidth="1"/>
    <col min="3" max="6" width="14.77734375" style="1436" customWidth="1"/>
    <col min="7" max="7" width="24.77734375" style="1436" customWidth="1"/>
    <col min="8" max="8" width="18.77734375" style="1436" customWidth="1"/>
    <col min="9" max="16384" width="9.77734375" style="1436"/>
  </cols>
  <sheetData>
    <row r="1" spans="1:8" ht="15.75" thickBot="1">
      <c r="A1" s="186" t="str">
        <f>+'Data sheet'!A53</f>
        <v>Annual Report of New York American Water Company, Inc. (f/k/a Long Island Water Corp)                                   Year Ended  December 31, 2013</v>
      </c>
    </row>
    <row r="2" spans="1:8">
      <c r="A2" s="1536"/>
      <c r="B2" s="1537"/>
      <c r="C2" s="1537"/>
      <c r="D2" s="1537"/>
      <c r="E2" s="1537"/>
      <c r="F2" s="1537"/>
      <c r="G2" s="1537"/>
      <c r="H2" s="1538"/>
    </row>
    <row r="3" spans="1:8" ht="15.75">
      <c r="A3" s="1533" t="s">
        <v>1022</v>
      </c>
      <c r="B3" s="1534"/>
      <c r="C3" s="1534"/>
      <c r="D3" s="1534"/>
      <c r="E3" s="1534"/>
      <c r="F3" s="1534"/>
      <c r="G3" s="1534"/>
      <c r="H3" s="1535"/>
    </row>
    <row r="4" spans="1:8">
      <c r="A4" s="1543"/>
      <c r="B4" s="1544"/>
      <c r="C4" s="1544"/>
      <c r="D4" s="1544"/>
      <c r="E4" s="1544"/>
      <c r="F4" s="1544"/>
      <c r="G4" s="1544"/>
      <c r="H4" s="1545"/>
    </row>
    <row r="5" spans="1:8">
      <c r="A5" s="1543"/>
      <c r="B5" s="1544" t="s">
        <v>4362</v>
      </c>
      <c r="C5" s="1544"/>
      <c r="D5" s="1544"/>
      <c r="E5" s="1544"/>
      <c r="F5" s="1544" t="s">
        <v>3007</v>
      </c>
      <c r="G5" s="1544"/>
      <c r="H5" s="1545"/>
    </row>
    <row r="6" spans="1:8">
      <c r="A6" s="1543"/>
      <c r="B6" s="1544" t="s">
        <v>3008</v>
      </c>
      <c r="C6" s="1544"/>
      <c r="D6" s="1544"/>
      <c r="E6" s="1544"/>
      <c r="F6" s="1544" t="s">
        <v>2204</v>
      </c>
      <c r="G6" s="1544"/>
      <c r="H6" s="1545"/>
    </row>
    <row r="7" spans="1:8">
      <c r="A7" s="1543"/>
      <c r="B7" s="1544" t="s">
        <v>2205</v>
      </c>
      <c r="C7" s="1544"/>
      <c r="D7" s="1544"/>
      <c r="E7" s="1544"/>
      <c r="F7" s="1544" t="s">
        <v>2206</v>
      </c>
      <c r="G7" s="1544"/>
      <c r="H7" s="1545"/>
    </row>
    <row r="8" spans="1:8">
      <c r="A8" s="1543"/>
      <c r="B8" s="1544"/>
      <c r="C8" s="1544"/>
      <c r="D8" s="1544"/>
      <c r="E8" s="1544"/>
      <c r="F8" s="1544" t="s">
        <v>2207</v>
      </c>
      <c r="G8" s="1544"/>
      <c r="H8" s="1545"/>
    </row>
    <row r="9" spans="1:8">
      <c r="A9" s="1543"/>
      <c r="B9" s="1544" t="s">
        <v>3476</v>
      </c>
      <c r="C9" s="1544"/>
      <c r="D9" s="1544"/>
      <c r="E9" s="1544"/>
      <c r="F9" s="1544"/>
      <c r="G9" s="1544"/>
      <c r="H9" s="1545"/>
    </row>
    <row r="10" spans="1:8">
      <c r="A10" s="1543"/>
      <c r="B10" s="1544" t="s">
        <v>3477</v>
      </c>
      <c r="C10" s="1544"/>
      <c r="D10" s="1544"/>
      <c r="E10" s="1544"/>
      <c r="F10" s="1544"/>
      <c r="G10" s="1544"/>
      <c r="H10" s="1545"/>
    </row>
    <row r="11" spans="1:8">
      <c r="A11" s="1546"/>
      <c r="B11" s="1547"/>
      <c r="C11" s="1547"/>
      <c r="D11" s="1547"/>
      <c r="E11" s="1547"/>
      <c r="F11" s="1547"/>
      <c r="G11" s="1547"/>
      <c r="H11" s="2380"/>
    </row>
    <row r="12" spans="1:8">
      <c r="A12" s="1543"/>
      <c r="B12" s="1548"/>
      <c r="C12" s="2381" t="s">
        <v>2888</v>
      </c>
      <c r="D12" s="2381"/>
      <c r="E12" s="2381"/>
      <c r="F12" s="2382"/>
      <c r="G12" s="2383"/>
      <c r="H12" s="1545"/>
    </row>
    <row r="13" spans="1:8">
      <c r="A13" s="1543"/>
      <c r="B13" s="1554" t="s">
        <v>3033</v>
      </c>
      <c r="C13" s="1555"/>
      <c r="D13" s="1554"/>
      <c r="E13" s="1544"/>
      <c r="F13" s="1554" t="s">
        <v>491</v>
      </c>
      <c r="G13" s="1559"/>
      <c r="H13" s="1545"/>
    </row>
    <row r="14" spans="1:8">
      <c r="A14" s="1558" t="s">
        <v>1129</v>
      </c>
      <c r="B14" s="1554" t="s">
        <v>492</v>
      </c>
      <c r="C14" s="1555" t="s">
        <v>3323</v>
      </c>
      <c r="D14" s="1554" t="s">
        <v>493</v>
      </c>
      <c r="E14" s="1555" t="s">
        <v>494</v>
      </c>
      <c r="F14" s="1554" t="s">
        <v>4116</v>
      </c>
      <c r="G14" s="1559" t="s">
        <v>4020</v>
      </c>
      <c r="H14" s="1560" t="s">
        <v>4117</v>
      </c>
    </row>
    <row r="15" spans="1:8">
      <c r="A15" s="1558" t="s">
        <v>3324</v>
      </c>
      <c r="B15" s="1554"/>
      <c r="C15" s="1555"/>
      <c r="D15" s="1554"/>
      <c r="E15" s="1555" t="s">
        <v>4118</v>
      </c>
      <c r="F15" s="1554" t="s">
        <v>1505</v>
      </c>
      <c r="G15" s="1559"/>
      <c r="H15" s="1560" t="s">
        <v>1506</v>
      </c>
    </row>
    <row r="16" spans="1:8">
      <c r="A16" s="1546"/>
      <c r="B16" s="1561" t="s">
        <v>4032</v>
      </c>
      <c r="C16" s="1562" t="s">
        <v>4033</v>
      </c>
      <c r="D16" s="1561" t="s">
        <v>4034</v>
      </c>
      <c r="E16" s="1562" t="s">
        <v>4035</v>
      </c>
      <c r="F16" s="1561" t="s">
        <v>2277</v>
      </c>
      <c r="G16" s="1563" t="s">
        <v>2278</v>
      </c>
      <c r="H16" s="1564" t="s">
        <v>2279</v>
      </c>
    </row>
    <row r="17" spans="1:8">
      <c r="A17" s="1558">
        <v>1</v>
      </c>
      <c r="B17" s="1565" t="s">
        <v>2405</v>
      </c>
      <c r="C17" s="2384"/>
      <c r="D17" s="2385"/>
      <c r="E17" s="2384"/>
      <c r="F17" s="2385"/>
      <c r="G17" s="2386"/>
      <c r="H17" s="2387"/>
    </row>
    <row r="18" spans="1:8">
      <c r="A18" s="1558">
        <v>2</v>
      </c>
      <c r="B18" s="1548">
        <v>0.75</v>
      </c>
      <c r="C18" s="1567">
        <v>52387</v>
      </c>
      <c r="D18" s="1568">
        <v>52387</v>
      </c>
      <c r="E18" s="1567"/>
      <c r="F18" s="1568"/>
      <c r="G18" s="2383" t="s">
        <v>862</v>
      </c>
      <c r="H18" s="1545"/>
    </row>
    <row r="19" spans="1:8">
      <c r="A19" s="1558">
        <v>3</v>
      </c>
      <c r="B19" s="1548">
        <v>0.75</v>
      </c>
      <c r="C19" s="1567">
        <v>144</v>
      </c>
      <c r="D19" s="1568">
        <f t="shared" ref="D19:D39" si="0">+C19</f>
        <v>144</v>
      </c>
      <c r="E19" s="1567"/>
      <c r="F19" s="1568"/>
      <c r="G19" s="2383" t="s">
        <v>2406</v>
      </c>
      <c r="H19" s="1545"/>
    </row>
    <row r="20" spans="1:8">
      <c r="A20" s="1558">
        <v>4</v>
      </c>
      <c r="B20" s="1548">
        <v>0.75</v>
      </c>
      <c r="C20" s="1567">
        <v>0</v>
      </c>
      <c r="D20" s="1568">
        <f t="shared" si="0"/>
        <v>0</v>
      </c>
      <c r="E20" s="1567"/>
      <c r="F20" s="1568"/>
      <c r="G20" s="2383" t="s">
        <v>2407</v>
      </c>
      <c r="H20" s="1545"/>
    </row>
    <row r="21" spans="1:8">
      <c r="A21" s="1558">
        <v>5</v>
      </c>
      <c r="B21" s="1548">
        <v>0.75</v>
      </c>
      <c r="C21" s="1567">
        <v>40</v>
      </c>
      <c r="D21" s="1568">
        <f t="shared" si="0"/>
        <v>40</v>
      </c>
      <c r="E21" s="1567"/>
      <c r="F21" s="1568"/>
      <c r="G21" s="2383" t="s">
        <v>1006</v>
      </c>
      <c r="H21" s="1545"/>
    </row>
    <row r="22" spans="1:8">
      <c r="A22" s="1558">
        <v>6</v>
      </c>
      <c r="B22" s="1548">
        <v>1</v>
      </c>
      <c r="C22" s="1567">
        <v>5608</v>
      </c>
      <c r="D22" s="1568">
        <v>5608</v>
      </c>
      <c r="E22" s="1567"/>
      <c r="F22" s="1568"/>
      <c r="G22" s="2383" t="s">
        <v>862</v>
      </c>
      <c r="H22" s="1545"/>
    </row>
    <row r="23" spans="1:8">
      <c r="A23" s="1558">
        <v>7</v>
      </c>
      <c r="B23" s="1548">
        <v>1</v>
      </c>
      <c r="C23" s="1567">
        <v>39</v>
      </c>
      <c r="D23" s="1568">
        <f t="shared" si="0"/>
        <v>39</v>
      </c>
      <c r="E23" s="1567"/>
      <c r="F23" s="1568"/>
      <c r="G23" s="2383" t="s">
        <v>2406</v>
      </c>
      <c r="H23" s="1545"/>
    </row>
    <row r="24" spans="1:8">
      <c r="A24" s="1558">
        <v>8</v>
      </c>
      <c r="B24" s="1548">
        <v>1</v>
      </c>
      <c r="C24" s="1567">
        <v>417</v>
      </c>
      <c r="D24" s="1568">
        <f t="shared" si="0"/>
        <v>417</v>
      </c>
      <c r="E24" s="1567"/>
      <c r="F24" s="1568"/>
      <c r="G24" s="2383" t="s">
        <v>2408</v>
      </c>
      <c r="H24" s="1545"/>
    </row>
    <row r="25" spans="1:8">
      <c r="A25" s="1558">
        <v>9</v>
      </c>
      <c r="B25" s="1548">
        <v>1</v>
      </c>
      <c r="C25" s="1567">
        <v>3</v>
      </c>
      <c r="D25" s="1568">
        <f t="shared" si="0"/>
        <v>3</v>
      </c>
      <c r="E25" s="1567"/>
      <c r="F25" s="1568"/>
      <c r="G25" s="2383" t="s">
        <v>2409</v>
      </c>
      <c r="H25" s="1545"/>
    </row>
    <row r="26" spans="1:8">
      <c r="A26" s="1558">
        <v>10</v>
      </c>
      <c r="B26" s="1548">
        <v>1</v>
      </c>
      <c r="C26" s="1567">
        <v>11</v>
      </c>
      <c r="D26" s="1568">
        <f t="shared" si="0"/>
        <v>11</v>
      </c>
      <c r="E26" s="1567"/>
      <c r="F26" s="1568"/>
      <c r="G26" s="2383" t="s">
        <v>1006</v>
      </c>
      <c r="H26" s="1545"/>
    </row>
    <row r="27" spans="1:8">
      <c r="A27" s="1558">
        <v>11</v>
      </c>
      <c r="B27" s="1548">
        <v>1.25</v>
      </c>
      <c r="C27" s="1567">
        <v>8</v>
      </c>
      <c r="D27" s="1568">
        <f t="shared" si="0"/>
        <v>8</v>
      </c>
      <c r="E27" s="1567"/>
      <c r="F27" s="1568"/>
      <c r="G27" s="2383" t="s">
        <v>2409</v>
      </c>
      <c r="H27" s="1545"/>
    </row>
    <row r="28" spans="1:8">
      <c r="A28" s="1558">
        <v>12</v>
      </c>
      <c r="B28" s="1548">
        <v>1.25</v>
      </c>
      <c r="C28" s="1567">
        <v>1</v>
      </c>
      <c r="D28" s="1568">
        <f t="shared" si="0"/>
        <v>1</v>
      </c>
      <c r="E28" s="1567"/>
      <c r="F28" s="1568"/>
      <c r="G28" s="2383" t="s">
        <v>2410</v>
      </c>
      <c r="H28" s="1545"/>
    </row>
    <row r="29" spans="1:8">
      <c r="A29" s="1558">
        <v>13</v>
      </c>
      <c r="B29" s="1548">
        <v>1.25</v>
      </c>
      <c r="C29" s="1567">
        <v>1658</v>
      </c>
      <c r="D29" s="1568">
        <v>1658</v>
      </c>
      <c r="E29" s="1567"/>
      <c r="F29" s="1568"/>
      <c r="G29" s="2383" t="s">
        <v>862</v>
      </c>
      <c r="H29" s="1545"/>
    </row>
    <row r="30" spans="1:8">
      <c r="A30" s="1558">
        <v>14</v>
      </c>
      <c r="B30" s="1548">
        <v>1.25</v>
      </c>
      <c r="C30" s="1567">
        <v>45</v>
      </c>
      <c r="D30" s="1568">
        <f t="shared" si="0"/>
        <v>45</v>
      </c>
      <c r="E30" s="1567"/>
      <c r="F30" s="1568"/>
      <c r="G30" s="2383" t="s">
        <v>1006</v>
      </c>
      <c r="H30" s="1545"/>
    </row>
    <row r="31" spans="1:8">
      <c r="A31" s="1558">
        <v>15</v>
      </c>
      <c r="B31" s="1548">
        <v>1.5</v>
      </c>
      <c r="C31" s="1567">
        <v>6</v>
      </c>
      <c r="D31" s="1568">
        <f t="shared" si="0"/>
        <v>6</v>
      </c>
      <c r="E31" s="1567"/>
      <c r="F31" s="1568"/>
      <c r="G31" s="2383" t="s">
        <v>2409</v>
      </c>
      <c r="H31" s="1545"/>
    </row>
    <row r="32" spans="1:8">
      <c r="A32" s="1558">
        <v>16</v>
      </c>
      <c r="B32" s="1548">
        <v>2</v>
      </c>
      <c r="C32" s="1567">
        <v>1159</v>
      </c>
      <c r="D32" s="1568">
        <f t="shared" si="0"/>
        <v>1159</v>
      </c>
      <c r="E32" s="1567"/>
      <c r="F32" s="1568"/>
      <c r="G32" s="2383" t="s">
        <v>2409</v>
      </c>
      <c r="H32" s="1545"/>
    </row>
    <row r="33" spans="1:8">
      <c r="A33" s="1558">
        <v>17</v>
      </c>
      <c r="B33" s="1548">
        <v>2</v>
      </c>
      <c r="C33" s="2388">
        <v>329</v>
      </c>
      <c r="D33" s="1568">
        <v>329</v>
      </c>
      <c r="E33" s="1568"/>
      <c r="F33" s="1430"/>
      <c r="G33" s="2383" t="s">
        <v>862</v>
      </c>
      <c r="H33" s="1545"/>
    </row>
    <row r="34" spans="1:8">
      <c r="A34" s="1558">
        <v>18</v>
      </c>
      <c r="B34" s="1548">
        <v>2</v>
      </c>
      <c r="C34" s="2388">
        <v>74</v>
      </c>
      <c r="D34" s="1568">
        <f t="shared" si="0"/>
        <v>74</v>
      </c>
      <c r="E34" s="1568"/>
      <c r="F34" s="1430"/>
      <c r="G34" s="2383" t="s">
        <v>2411</v>
      </c>
      <c r="H34" s="1545"/>
    </row>
    <row r="35" spans="1:8">
      <c r="A35" s="1558">
        <v>19</v>
      </c>
      <c r="B35" s="1548">
        <v>3</v>
      </c>
      <c r="C35" s="2388">
        <v>1</v>
      </c>
      <c r="D35" s="1568">
        <f t="shared" si="0"/>
        <v>1</v>
      </c>
      <c r="E35" s="1568"/>
      <c r="F35" s="1430"/>
      <c r="G35" s="2383" t="s">
        <v>2411</v>
      </c>
      <c r="H35" s="1545"/>
    </row>
    <row r="36" spans="1:8">
      <c r="A36" s="1558">
        <v>20</v>
      </c>
      <c r="B36" s="1548">
        <v>4</v>
      </c>
      <c r="C36" s="2388">
        <v>278</v>
      </c>
      <c r="D36" s="1568">
        <v>278</v>
      </c>
      <c r="E36" s="1568"/>
      <c r="F36" s="1430"/>
      <c r="G36" s="2383" t="s">
        <v>2412</v>
      </c>
      <c r="H36" s="1545"/>
    </row>
    <row r="37" spans="1:8">
      <c r="A37" s="1558">
        <v>21</v>
      </c>
      <c r="B37" s="1548">
        <v>6</v>
      </c>
      <c r="C37" s="2388">
        <v>48</v>
      </c>
      <c r="D37" s="1568">
        <v>48</v>
      </c>
      <c r="E37" s="1568"/>
      <c r="F37" s="1430"/>
      <c r="G37" s="2383" t="s">
        <v>2412</v>
      </c>
      <c r="H37" s="1545"/>
    </row>
    <row r="38" spans="1:8">
      <c r="A38" s="1558">
        <v>22</v>
      </c>
      <c r="B38" s="1548">
        <v>8</v>
      </c>
      <c r="C38" s="2388">
        <v>18</v>
      </c>
      <c r="D38" s="1568">
        <v>18</v>
      </c>
      <c r="E38" s="1568"/>
      <c r="F38" s="1430"/>
      <c r="G38" s="2383" t="s">
        <v>2412</v>
      </c>
      <c r="H38" s="1545"/>
    </row>
    <row r="39" spans="1:8">
      <c r="A39" s="1558">
        <v>23</v>
      </c>
      <c r="B39" s="1548">
        <v>8</v>
      </c>
      <c r="C39" s="2388">
        <v>1</v>
      </c>
      <c r="D39" s="1568">
        <f t="shared" si="0"/>
        <v>1</v>
      </c>
      <c r="E39" s="1568"/>
      <c r="F39" s="1430"/>
      <c r="G39" s="2383" t="s">
        <v>860</v>
      </c>
      <c r="H39" s="1545"/>
    </row>
    <row r="40" spans="1:8">
      <c r="A40" s="1558">
        <v>24</v>
      </c>
      <c r="B40" s="1548"/>
      <c r="C40" s="1567"/>
      <c r="D40" s="1430"/>
      <c r="E40" s="1742"/>
      <c r="F40" s="1430"/>
      <c r="G40" s="2383"/>
      <c r="H40" s="1545"/>
    </row>
    <row r="41" spans="1:8">
      <c r="A41" s="1558">
        <v>25</v>
      </c>
      <c r="B41" s="1548"/>
      <c r="C41" s="2389">
        <f>SUM(C18:C40)</f>
        <v>62275</v>
      </c>
      <c r="D41" s="2389">
        <f>SUM(D18:D40)</f>
        <v>62275</v>
      </c>
      <c r="E41" s="2389">
        <f>SUM(E18:E32)</f>
        <v>0</v>
      </c>
      <c r="F41" s="2389">
        <f>SUM(F18:F32)</f>
        <v>0</v>
      </c>
      <c r="G41" s="2383"/>
      <c r="H41" s="1545"/>
    </row>
    <row r="42" spans="1:8">
      <c r="A42" s="1558">
        <v>26</v>
      </c>
      <c r="B42" s="2390" t="s">
        <v>2413</v>
      </c>
      <c r="C42" s="2391"/>
      <c r="D42" s="2392"/>
      <c r="E42" s="2391"/>
      <c r="F42" s="2392"/>
      <c r="G42" s="2386"/>
      <c r="H42" s="2387"/>
    </row>
    <row r="43" spans="1:8">
      <c r="A43" s="1558">
        <v>27</v>
      </c>
      <c r="B43" s="1548"/>
      <c r="C43" s="1567">
        <f t="shared" ref="C43:C50" si="1">SUM(D43:F43)</f>
        <v>0</v>
      </c>
      <c r="D43" s="1568"/>
      <c r="E43" s="1567"/>
      <c r="F43" s="1568"/>
      <c r="G43" s="2383"/>
      <c r="H43" s="1545"/>
    </row>
    <row r="44" spans="1:8">
      <c r="A44" s="1558">
        <v>28</v>
      </c>
      <c r="B44" s="1548"/>
      <c r="C44" s="1567">
        <f t="shared" si="1"/>
        <v>0</v>
      </c>
      <c r="D44" s="1568"/>
      <c r="E44" s="1567"/>
      <c r="F44" s="1568"/>
      <c r="G44" s="2383"/>
      <c r="H44" s="1545"/>
    </row>
    <row r="45" spans="1:8">
      <c r="A45" s="1558">
        <v>29</v>
      </c>
      <c r="B45" s="1548"/>
      <c r="C45" s="1567">
        <f t="shared" si="1"/>
        <v>0</v>
      </c>
      <c r="D45" s="1568"/>
      <c r="E45" s="1567"/>
      <c r="F45" s="1568"/>
      <c r="G45" s="2383"/>
      <c r="H45" s="1545"/>
    </row>
    <row r="46" spans="1:8">
      <c r="A46" s="1558">
        <v>30</v>
      </c>
      <c r="B46" s="1548"/>
      <c r="C46" s="1567">
        <f t="shared" si="1"/>
        <v>0</v>
      </c>
      <c r="D46" s="1568"/>
      <c r="E46" s="1567"/>
      <c r="F46" s="1568"/>
      <c r="G46" s="2383"/>
      <c r="H46" s="1545"/>
    </row>
    <row r="47" spans="1:8">
      <c r="A47" s="1558">
        <v>31</v>
      </c>
      <c r="B47" s="1548"/>
      <c r="C47" s="1567">
        <f t="shared" si="1"/>
        <v>0</v>
      </c>
      <c r="D47" s="1568"/>
      <c r="E47" s="1567"/>
      <c r="F47" s="1568"/>
      <c r="G47" s="2383"/>
      <c r="H47" s="1545"/>
    </row>
    <row r="48" spans="1:8">
      <c r="A48" s="1558">
        <v>32</v>
      </c>
      <c r="B48" s="1548"/>
      <c r="C48" s="1567">
        <f t="shared" si="1"/>
        <v>0</v>
      </c>
      <c r="D48" s="1568"/>
      <c r="E48" s="1567"/>
      <c r="F48" s="1568"/>
      <c r="G48" s="2383"/>
      <c r="H48" s="1545"/>
    </row>
    <row r="49" spans="1:8">
      <c r="A49" s="1558">
        <v>33</v>
      </c>
      <c r="B49" s="1548"/>
      <c r="C49" s="1567">
        <f t="shared" si="1"/>
        <v>0</v>
      </c>
      <c r="D49" s="1568"/>
      <c r="E49" s="1567"/>
      <c r="F49" s="1568"/>
      <c r="G49" s="2383"/>
      <c r="H49" s="1545"/>
    </row>
    <row r="50" spans="1:8">
      <c r="A50" s="1558">
        <v>34</v>
      </c>
      <c r="B50" s="1548"/>
      <c r="C50" s="1567">
        <f t="shared" si="1"/>
        <v>0</v>
      </c>
      <c r="D50" s="1568"/>
      <c r="E50" s="1567"/>
      <c r="F50" s="1568"/>
      <c r="G50" s="2383"/>
      <c r="H50" s="1545"/>
    </row>
    <row r="51" spans="1:8" ht="15.75" thickBot="1">
      <c r="A51" s="1570">
        <v>35</v>
      </c>
      <c r="B51" s="1571" t="s">
        <v>2414</v>
      </c>
      <c r="C51" s="1573">
        <f>SUM(C43:C50)</f>
        <v>0</v>
      </c>
      <c r="D51" s="1573">
        <f>SUM(D43:D50)</f>
        <v>0</v>
      </c>
      <c r="E51" s="1573">
        <f>SUM(E43:E50)</f>
        <v>0</v>
      </c>
      <c r="F51" s="1573">
        <f>SUM(F43:F50)</f>
        <v>0</v>
      </c>
      <c r="G51" s="2393"/>
      <c r="H51" s="2394"/>
    </row>
    <row r="52" spans="1:8">
      <c r="A52" s="1436" t="s">
        <v>4066</v>
      </c>
    </row>
    <row r="53" spans="1:8">
      <c r="A53" s="1541" t="s">
        <v>2415</v>
      </c>
      <c r="B53" s="1541"/>
      <c r="C53" s="1541"/>
      <c r="D53" s="1541"/>
      <c r="E53" s="1541"/>
      <c r="F53" s="1541"/>
      <c r="G53" s="1541"/>
      <c r="H53" s="1541"/>
    </row>
  </sheetData>
  <customSheetViews>
    <customSheetView guid="{1BA452AD-1A45-4D9C-9666-ADFFA6F2F567}" colorId="22" fitToPage="1" topLeftCell="A22">
      <pageMargins left="0.4" right="0.4" top="0.8" bottom="0.3" header="0.5" footer="0.5"/>
      <printOptions horizontalCentered="1" verticalCentered="1"/>
      <pageSetup scale="67" orientation="landscape" r:id="rId1"/>
      <headerFooter alignWithMargins="0"/>
    </customSheetView>
    <customSheetView guid="{EEF7ABD6-0F96-4791-B749-C06F707E7673}" scale="87" colorId="22" fitToPage="1" showRuler="0" topLeftCell="A16">
      <selection activeCell="G18" sqref="G18:G39"/>
      <pageMargins left="0.4" right="0.4" top="0.8" bottom="0.3" header="0.5" footer="0.5"/>
      <printOptions horizontalCentered="1" verticalCentered="1"/>
      <pageSetup scale="67" orientation="landscape" r:id="rId2"/>
      <headerFooter alignWithMargins="0"/>
    </customSheetView>
    <customSheetView guid="{A7D7DB3C-AFE6-468E-8C6B-9531F6711497}" scale="87" colorId="22" fitToPage="1" showRuler="0" topLeftCell="C1">
      <selection activeCell="H29" sqref="H29"/>
      <pageMargins left="0.4" right="0.4" top="0.8" bottom="0.3" header="0.5" footer="0.5"/>
      <printOptions horizontalCentered="1" verticalCentered="1"/>
      <pageSetup scale="67" orientation="landscape" r:id="rId3"/>
      <headerFooter alignWithMargins="0"/>
    </customSheetView>
    <customSheetView guid="{4436FEB5-BFEC-4348-9286-CB706802873E}" scale="87" colorId="22" fitToPage="1" showRuler="0">
      <selection activeCell="H5" sqref="H5"/>
      <pageMargins left="0.4" right="0.4" top="0.8" bottom="0.3" header="0.5" footer="0.5"/>
      <printOptions horizontalCentered="1" verticalCentered="1"/>
      <pageSetup scale="67" orientation="landscape" r:id="rId4"/>
      <headerFooter alignWithMargins="0"/>
    </customSheetView>
    <customSheetView guid="{044CF00C-469F-44B3-B2C4-9B4049CE70CB}" scale="87" colorId="22" fitToPage="1" showRuler="0">
      <selection activeCell="M22" sqref="M22"/>
      <pageMargins left="0.4" right="0.4" top="0.8" bottom="0.3" header="0.5" footer="0.5"/>
      <printOptions horizontalCentered="1" verticalCentered="1"/>
      <pageSetup scale="67" orientation="landscape" r:id="rId5"/>
      <headerFooter alignWithMargins="0"/>
    </customSheetView>
    <customSheetView guid="{4826FCC0-BDD6-4B2C-ACC6-ACE271DDF0E3}" scale="87" colorId="22" fitToPage="1" showRuler="0" topLeftCell="A16">
      <selection activeCell="G18" sqref="G18:G39"/>
      <pageMargins left="0.4" right="0.4" top="0.8" bottom="0.3" header="0.5" footer="0.5"/>
      <printOptions horizontalCentered="1" verticalCentered="1"/>
      <pageSetup scale="67" orientation="landscape" r:id="rId6"/>
      <headerFooter alignWithMargins="0"/>
    </customSheetView>
    <customSheetView guid="{EF376D10-23D6-4FE2-AB5B-4460D52CC93F}" scale="87" colorId="22" fitToPage="1" showRuler="0" topLeftCell="A16">
      <selection activeCell="G18" sqref="G18:G39"/>
      <pageMargins left="0.4" right="0.4" top="0.8" bottom="0.3" header="0.5" footer="0.5"/>
      <printOptions horizontalCentered="1" verticalCentered="1"/>
      <pageSetup scale="67" orientation="landscape" r:id="rId7"/>
      <headerFooter alignWithMargins="0"/>
    </customSheetView>
    <customSheetView guid="{1C046605-15CE-44F1-BFCD-2CA8588E7ACF}" scale="87" colorId="22" fitToPage="1" showRuler="0">
      <selection activeCell="D46" sqref="D46"/>
      <pageMargins left="0.4" right="0.4" top="0.8" bottom="0.3" header="0.5" footer="0.5"/>
      <printOptions horizontalCentered="1" verticalCentered="1"/>
      <pageSetup scale="67" orientation="landscape" r:id="rId8"/>
      <headerFooter alignWithMargins="0"/>
    </customSheetView>
    <customSheetView guid="{3911D713-188C-46A1-A299-F21DD3B7A146}" scale="87" colorId="22" fitToPage="1" showRuler="0">
      <selection activeCell="D46" sqref="D46"/>
      <pageMargins left="0.4" right="0.4" top="0.8" bottom="0.3" header="0.5" footer="0.5"/>
      <printOptions horizontalCentered="1" verticalCentered="1"/>
      <pageSetup scale="67" orientation="landscape" r:id="rId9"/>
      <headerFooter alignWithMargins="0"/>
    </customSheetView>
    <customSheetView guid="{78BB1E60-60BE-4F56-9763-075185EFEFAB}" colorId="22" fitToPage="1" topLeftCell="A22">
      <pageMargins left="0.4" right="0.4" top="0.8" bottom="0.3" header="0.5" footer="0.5"/>
      <printOptions horizontalCentered="1" verticalCentered="1"/>
      <pageSetup scale="67" orientation="landscape" r:id="rId10"/>
      <headerFooter alignWithMargins="0"/>
    </customSheetView>
    <customSheetView guid="{9C30803E-1E2D-4850-B0A5-591CA6F246A1}" colorId="22" fitToPage="1" topLeftCell="A22">
      <pageMargins left="0.4" right="0.4" top="0.8" bottom="0.3" header="0.5" footer="0.5"/>
      <printOptions horizontalCentered="1" verticalCentered="1"/>
      <pageSetup scale="67" orientation="landscape" r:id="rId11"/>
      <headerFooter alignWithMargins="0"/>
    </customSheetView>
    <customSheetView guid="{3B1006FF-A2CA-49E7-9B25-DAC8815279AF}" colorId="22" fitToPage="1" topLeftCell="A22">
      <pageMargins left="0.4" right="0.4" top="0.8" bottom="0.3" header="0.5" footer="0.5"/>
      <printOptions horizontalCentered="1" verticalCentered="1"/>
      <pageSetup scale="67" orientation="landscape" r:id="rId12"/>
      <headerFooter alignWithMargins="0"/>
    </customSheetView>
    <customSheetView guid="{FB1A60C8-E1F9-4DF0-8E0E-1C965F86027F}" colorId="22" fitToPage="1" topLeftCell="A22">
      <pageMargins left="0.4" right="0.4" top="0.8" bottom="0.3" header="0.5" footer="0.5"/>
      <printOptions horizontalCentered="1" verticalCentered="1"/>
      <pageSetup scale="67" orientation="landscape" r:id="rId13"/>
      <headerFooter alignWithMargins="0"/>
    </customSheetView>
    <customSheetView guid="{C5B6D812-CBE6-46AA-99F7-02494E9802B4}" scale="70" colorId="22" fitToPage="1">
      <selection activeCell="C10" sqref="C10"/>
      <pageMargins left="0.4" right="0.4" top="0.8" bottom="0.3" header="0.5" footer="0.5"/>
      <printOptions horizontalCentered="1" verticalCentered="1"/>
      <pageSetup scale="67" orientation="landscape" r:id="rId14"/>
      <headerFooter alignWithMargins="0"/>
    </customSheetView>
  </customSheetViews>
  <phoneticPr fontId="0" type="noConversion"/>
  <printOptions horizontalCentered="1" verticalCentered="1"/>
  <pageMargins left="0.4" right="0.4" top="0.8" bottom="0.3" header="0.5" footer="0.5"/>
  <pageSetup scale="67" orientation="landscape" r:id="rId15"/>
  <headerFooter alignWithMargins="0"/>
  <customProperties>
    <customPr name="_pios_id" r:id="rId16"/>
  </customProperties>
</worksheet>
</file>

<file path=xl/worksheets/sheet81.xml><?xml version="1.0" encoding="utf-8"?>
<worksheet xmlns="http://schemas.openxmlformats.org/spreadsheetml/2006/main" xmlns:r="http://schemas.openxmlformats.org/officeDocument/2006/relationships">
  <sheetPr transitionEvaluation="1" codeName="Sheet80" enableFormatConditionsCalculation="0">
    <pageSetUpPr fitToPage="1"/>
  </sheetPr>
  <dimension ref="A1:K56"/>
  <sheetViews>
    <sheetView defaultGridColor="0" colorId="22" zoomScale="70" zoomScaleNormal="70" workbookViewId="0"/>
  </sheetViews>
  <sheetFormatPr defaultColWidth="12.6640625" defaultRowHeight="15"/>
  <cols>
    <col min="1" max="1" width="4.77734375" style="1436" customWidth="1"/>
    <col min="2" max="2" width="30.77734375" style="1436" customWidth="1"/>
    <col min="3" max="3" width="7.77734375" style="1436" customWidth="1"/>
    <col min="4" max="6" width="13.77734375" style="1436" customWidth="1"/>
    <col min="7" max="7" width="10.77734375" style="1436" customWidth="1"/>
    <col min="8" max="8" width="13.77734375" style="1436" customWidth="1"/>
    <col min="9" max="9" width="12.6640625" style="1436"/>
    <col min="10" max="11" width="13.77734375" style="1436" customWidth="1"/>
    <col min="12" max="16384" width="12.6640625" style="1436"/>
  </cols>
  <sheetData>
    <row r="1" spans="1:11" s="2338" customFormat="1" ht="15.75" thickBot="1">
      <c r="A1" s="1633" t="str">
        <f>+'Data sheet'!A53</f>
        <v>Annual Report of New York American Water Company, Inc. (f/k/a Long Island Water Corp)                                   Year Ended  December 31, 2013</v>
      </c>
      <c r="B1" s="2679"/>
      <c r="C1" s="1635"/>
      <c r="D1" s="1635"/>
      <c r="E1" s="1635"/>
      <c r="F1" s="1635"/>
      <c r="G1" s="1635"/>
    </row>
    <row r="2" spans="1:11">
      <c r="A2" s="1536"/>
      <c r="B2" s="1537"/>
      <c r="C2" s="1537"/>
      <c r="D2" s="1537"/>
      <c r="E2" s="1537"/>
      <c r="F2" s="1537"/>
      <c r="G2" s="1537"/>
      <c r="H2" s="1537"/>
      <c r="I2" s="1537"/>
      <c r="J2" s="1537"/>
      <c r="K2" s="1538"/>
    </row>
    <row r="3" spans="1:11" ht="15.75">
      <c r="A3" s="1539" t="s">
        <v>2416</v>
      </c>
      <c r="B3" s="1540"/>
      <c r="C3" s="1540"/>
      <c r="D3" s="1540"/>
      <c r="E3" s="1540"/>
      <c r="F3" s="1540"/>
      <c r="G3" s="1540"/>
      <c r="H3" s="1540"/>
      <c r="I3" s="1541"/>
      <c r="J3" s="1541"/>
      <c r="K3" s="1542"/>
    </row>
    <row r="4" spans="1:11">
      <c r="A4" s="1543"/>
      <c r="B4" s="1544"/>
      <c r="C4" s="1544"/>
      <c r="D4" s="1544"/>
      <c r="E4" s="1544"/>
      <c r="F4" s="1544"/>
      <c r="G4" s="1544"/>
      <c r="H4" s="1544"/>
      <c r="I4" s="1544"/>
      <c r="J4" s="1544"/>
      <c r="K4" s="1545"/>
    </row>
    <row r="5" spans="1:11">
      <c r="A5" s="1543"/>
      <c r="B5" s="1544" t="s">
        <v>2417</v>
      </c>
      <c r="C5" s="1544"/>
      <c r="D5" s="1544"/>
      <c r="E5" s="1544"/>
      <c r="F5" s="1544"/>
      <c r="G5" s="1544" t="s">
        <v>3332</v>
      </c>
      <c r="H5" s="1544"/>
      <c r="I5" s="1544"/>
      <c r="J5" s="1544"/>
      <c r="K5" s="1545"/>
    </row>
    <row r="6" spans="1:11">
      <c r="A6" s="1543"/>
      <c r="B6" s="1544" t="s">
        <v>3333</v>
      </c>
      <c r="C6" s="1544"/>
      <c r="D6" s="1544"/>
      <c r="E6" s="1544"/>
      <c r="F6" s="1544"/>
      <c r="G6" s="1544" t="s">
        <v>4365</v>
      </c>
      <c r="H6" s="1544"/>
      <c r="I6" s="1544"/>
      <c r="J6" s="1544"/>
      <c r="K6" s="1545"/>
    </row>
    <row r="7" spans="1:11">
      <c r="A7" s="1543"/>
      <c r="B7" s="1544" t="s">
        <v>2490</v>
      </c>
      <c r="C7" s="1544"/>
      <c r="D7" s="1544"/>
      <c r="E7" s="1544"/>
      <c r="F7" s="1544"/>
      <c r="G7" s="1544" t="s">
        <v>2491</v>
      </c>
      <c r="H7" s="1544"/>
      <c r="I7" s="1544"/>
      <c r="J7" s="1544"/>
      <c r="K7" s="1545"/>
    </row>
    <row r="8" spans="1:11">
      <c r="A8" s="1543"/>
      <c r="B8" s="1544"/>
      <c r="C8" s="1544"/>
      <c r="D8" s="1544"/>
      <c r="E8" s="1544"/>
      <c r="F8" s="1544"/>
      <c r="G8" s="1544"/>
      <c r="H8" s="1544"/>
      <c r="I8" s="1544"/>
      <c r="J8" s="1544"/>
      <c r="K8" s="1545"/>
    </row>
    <row r="9" spans="1:11">
      <c r="A9" s="1543"/>
      <c r="B9" s="1544" t="s">
        <v>4082</v>
      </c>
      <c r="C9" s="1544"/>
      <c r="D9" s="1544"/>
      <c r="E9" s="1544"/>
      <c r="F9" s="1544"/>
      <c r="G9" s="1544"/>
      <c r="H9" s="1544"/>
      <c r="I9" s="1544"/>
      <c r="J9" s="1544"/>
      <c r="K9" s="1545"/>
    </row>
    <row r="10" spans="1:11">
      <c r="A10" s="1546"/>
      <c r="B10" s="1547"/>
      <c r="C10" s="1547"/>
      <c r="D10" s="1547"/>
      <c r="E10" s="1547"/>
      <c r="F10" s="1547"/>
      <c r="G10" s="1547"/>
      <c r="H10" s="1547"/>
      <c r="I10" s="1544"/>
      <c r="J10" s="1544"/>
      <c r="K10" s="1545"/>
    </row>
    <row r="11" spans="1:11">
      <c r="A11" s="1543"/>
      <c r="B11" s="1548"/>
      <c r="C11" s="1544"/>
      <c r="D11" s="1549" t="s">
        <v>4083</v>
      </c>
      <c r="E11" s="1541"/>
      <c r="F11" s="1541"/>
      <c r="G11" s="1541"/>
      <c r="H11" s="1550"/>
      <c r="I11" s="1551" t="s">
        <v>1697</v>
      </c>
      <c r="J11" s="1552" t="s">
        <v>2413</v>
      </c>
      <c r="K11" s="1553"/>
    </row>
    <row r="12" spans="1:11">
      <c r="A12" s="1543"/>
      <c r="B12" s="1554"/>
      <c r="C12" s="1555" t="s">
        <v>4084</v>
      </c>
      <c r="D12" s="1552" t="s">
        <v>4085</v>
      </c>
      <c r="E12" s="1556"/>
      <c r="F12" s="1552" t="s">
        <v>4086</v>
      </c>
      <c r="G12" s="1556"/>
      <c r="H12" s="1557"/>
      <c r="I12" s="1555" t="s">
        <v>4087</v>
      </c>
      <c r="J12" s="1548"/>
      <c r="K12" s="1545"/>
    </row>
    <row r="13" spans="1:11">
      <c r="A13" s="1558" t="s">
        <v>1129</v>
      </c>
      <c r="B13" s="1554" t="s">
        <v>94</v>
      </c>
      <c r="C13" s="1555" t="s">
        <v>492</v>
      </c>
      <c r="D13" s="1554" t="s">
        <v>1938</v>
      </c>
      <c r="E13" s="1555" t="s">
        <v>1031</v>
      </c>
      <c r="F13" s="1554" t="s">
        <v>1938</v>
      </c>
      <c r="G13" s="1559" t="s">
        <v>4088</v>
      </c>
      <c r="H13" s="1559" t="s">
        <v>1031</v>
      </c>
      <c r="I13" s="1555" t="s">
        <v>4089</v>
      </c>
      <c r="J13" s="1554" t="s">
        <v>1938</v>
      </c>
      <c r="K13" s="1560" t="s">
        <v>1031</v>
      </c>
    </row>
    <row r="14" spans="1:11">
      <c r="A14" s="1558" t="s">
        <v>3324</v>
      </c>
      <c r="B14" s="1554"/>
      <c r="C14" s="1555"/>
      <c r="D14" s="1554" t="s">
        <v>1940</v>
      </c>
      <c r="E14" s="1555" t="s">
        <v>1940</v>
      </c>
      <c r="F14" s="1554" t="s">
        <v>1940</v>
      </c>
      <c r="G14" s="1559" t="s">
        <v>4090</v>
      </c>
      <c r="H14" s="1559" t="s">
        <v>1940</v>
      </c>
      <c r="I14" s="1555" t="s">
        <v>4091</v>
      </c>
      <c r="J14" s="1554" t="s">
        <v>1940</v>
      </c>
      <c r="K14" s="1560" t="s">
        <v>1940</v>
      </c>
    </row>
    <row r="15" spans="1:11">
      <c r="A15" s="1546"/>
      <c r="B15" s="1561" t="s">
        <v>4032</v>
      </c>
      <c r="C15" s="1562" t="s">
        <v>4033</v>
      </c>
      <c r="D15" s="1561" t="s">
        <v>4034</v>
      </c>
      <c r="E15" s="1562" t="s">
        <v>4035</v>
      </c>
      <c r="F15" s="1561" t="s">
        <v>2277</v>
      </c>
      <c r="G15" s="1563" t="s">
        <v>2278</v>
      </c>
      <c r="H15" s="1563" t="s">
        <v>2279</v>
      </c>
      <c r="I15" s="1562" t="s">
        <v>2280</v>
      </c>
      <c r="J15" s="1561" t="s">
        <v>2281</v>
      </c>
      <c r="K15" s="1564" t="s">
        <v>2282</v>
      </c>
    </row>
    <row r="16" spans="1:11">
      <c r="A16" s="1558">
        <v>1</v>
      </c>
      <c r="B16" s="1565" t="s">
        <v>4092</v>
      </c>
      <c r="C16" s="1678">
        <v>0.63</v>
      </c>
      <c r="D16" s="1681">
        <v>67573</v>
      </c>
      <c r="E16" s="1681">
        <f>67256+209</f>
        <v>67465</v>
      </c>
      <c r="F16" s="1681"/>
      <c r="G16" s="1678"/>
      <c r="H16" s="1566"/>
      <c r="I16" s="1567"/>
      <c r="J16" s="1568"/>
      <c r="K16" s="1431"/>
    </row>
    <row r="17" spans="1:11">
      <c r="A17" s="1558">
        <v>2</v>
      </c>
      <c r="B17" s="1565" t="s">
        <v>4092</v>
      </c>
      <c r="C17" s="1679">
        <v>0.75</v>
      </c>
      <c r="D17" s="1568">
        <v>3612</v>
      </c>
      <c r="E17" s="1568">
        <f>38+3460</f>
        <v>3498</v>
      </c>
      <c r="F17" s="1568"/>
      <c r="G17" s="1679"/>
      <c r="H17" s="1430"/>
      <c r="I17" s="1567"/>
      <c r="J17" s="1568"/>
      <c r="K17" s="1431"/>
    </row>
    <row r="18" spans="1:11">
      <c r="A18" s="1558">
        <v>3</v>
      </c>
      <c r="B18" s="1565" t="s">
        <v>4092</v>
      </c>
      <c r="C18" s="1679">
        <v>1</v>
      </c>
      <c r="D18" s="1568">
        <v>2096</v>
      </c>
      <c r="E18" s="1568">
        <v>2259</v>
      </c>
      <c r="F18" s="1568"/>
      <c r="G18" s="1679"/>
      <c r="H18" s="1430"/>
      <c r="I18" s="1567"/>
      <c r="J18" s="1568"/>
      <c r="K18" s="1431"/>
    </row>
    <row r="19" spans="1:11">
      <c r="A19" s="1558">
        <v>4</v>
      </c>
      <c r="B19" s="1565" t="s">
        <v>4092</v>
      </c>
      <c r="C19" s="1679">
        <v>1.5</v>
      </c>
      <c r="D19" s="1568">
        <v>723</v>
      </c>
      <c r="E19" s="1568">
        <v>837</v>
      </c>
      <c r="F19" s="1568"/>
      <c r="G19" s="1568"/>
      <c r="H19" s="1430"/>
      <c r="I19" s="1567"/>
      <c r="J19" s="1568"/>
      <c r="K19" s="1431"/>
    </row>
    <row r="20" spans="1:11">
      <c r="A20" s="1558">
        <v>5</v>
      </c>
      <c r="B20" s="1565" t="s">
        <v>4092</v>
      </c>
      <c r="C20" s="1679">
        <v>2</v>
      </c>
      <c r="D20" s="1568">
        <v>380</v>
      </c>
      <c r="E20" s="1568">
        <f>1+483</f>
        <v>484</v>
      </c>
      <c r="F20" s="1568"/>
      <c r="G20" s="1679"/>
      <c r="H20" s="1430"/>
      <c r="I20" s="1567"/>
      <c r="J20" s="1568"/>
      <c r="K20" s="1431"/>
    </row>
    <row r="21" spans="1:11">
      <c r="A21" s="1558">
        <v>6</v>
      </c>
      <c r="B21" s="1565" t="s">
        <v>4092</v>
      </c>
      <c r="C21" s="1679">
        <v>3</v>
      </c>
      <c r="D21" s="1568">
        <v>0</v>
      </c>
      <c r="E21" s="1568">
        <v>0</v>
      </c>
      <c r="F21" s="1568"/>
      <c r="G21" s="1679"/>
      <c r="H21" s="1430"/>
      <c r="I21" s="1567"/>
      <c r="J21" s="1568"/>
      <c r="K21" s="1431"/>
    </row>
    <row r="22" spans="1:11">
      <c r="A22" s="1558">
        <v>7</v>
      </c>
      <c r="B22" s="1565" t="s">
        <v>4092</v>
      </c>
      <c r="C22" s="1679">
        <v>4</v>
      </c>
      <c r="D22" s="1568">
        <v>0</v>
      </c>
      <c r="E22" s="1568">
        <v>0</v>
      </c>
      <c r="F22" s="1568"/>
      <c r="G22" s="1679"/>
      <c r="H22" s="1430"/>
      <c r="I22" s="1567"/>
      <c r="J22" s="1568"/>
      <c r="K22" s="1431"/>
    </row>
    <row r="23" spans="1:11">
      <c r="A23" s="1558">
        <v>8</v>
      </c>
      <c r="B23" s="1732" t="s">
        <v>403</v>
      </c>
      <c r="C23" s="1733">
        <v>3</v>
      </c>
      <c r="D23" s="1734">
        <v>0</v>
      </c>
      <c r="E23" s="1734">
        <v>0</v>
      </c>
      <c r="F23" s="1734"/>
      <c r="G23" s="1733"/>
      <c r="H23" s="1735"/>
      <c r="I23" s="1567"/>
      <c r="J23" s="1568"/>
      <c r="K23" s="1431"/>
    </row>
    <row r="24" spans="1:11">
      <c r="A24" s="1558">
        <v>9</v>
      </c>
      <c r="B24" s="1732" t="s">
        <v>403</v>
      </c>
      <c r="C24" s="1733">
        <v>4</v>
      </c>
      <c r="D24" s="1734">
        <v>0</v>
      </c>
      <c r="E24" s="1734">
        <v>0</v>
      </c>
      <c r="F24" s="1734"/>
      <c r="G24" s="1733"/>
      <c r="H24" s="1735"/>
      <c r="I24" s="1567"/>
      <c r="J24" s="1568"/>
      <c r="K24" s="1431"/>
    </row>
    <row r="25" spans="1:11">
      <c r="A25" s="1558">
        <v>10</v>
      </c>
      <c r="B25" s="1732" t="s">
        <v>403</v>
      </c>
      <c r="C25" s="1733">
        <v>6</v>
      </c>
      <c r="D25" s="1734">
        <v>3</v>
      </c>
      <c r="E25" s="1734">
        <v>3</v>
      </c>
      <c r="F25" s="1734"/>
      <c r="G25" s="1733"/>
      <c r="H25" s="1735"/>
      <c r="I25" s="1567"/>
      <c r="J25" s="1568"/>
      <c r="K25" s="1431"/>
    </row>
    <row r="26" spans="1:11">
      <c r="A26" s="1558">
        <v>11</v>
      </c>
      <c r="B26" s="1732" t="s">
        <v>403</v>
      </c>
      <c r="C26" s="1733">
        <v>8</v>
      </c>
      <c r="D26" s="1734">
        <v>4</v>
      </c>
      <c r="E26" s="1734">
        <v>3</v>
      </c>
      <c r="F26" s="1734"/>
      <c r="G26" s="1733"/>
      <c r="H26" s="1735"/>
      <c r="I26" s="1567"/>
      <c r="J26" s="1568"/>
      <c r="K26" s="1431"/>
    </row>
    <row r="27" spans="1:11">
      <c r="A27" s="1558">
        <v>12</v>
      </c>
      <c r="B27" s="1732" t="s">
        <v>403</v>
      </c>
      <c r="C27" s="1733">
        <v>10</v>
      </c>
      <c r="D27" s="1734">
        <v>0</v>
      </c>
      <c r="E27" s="1734">
        <v>0</v>
      </c>
      <c r="F27" s="1734"/>
      <c r="G27" s="1733"/>
      <c r="H27" s="1735"/>
      <c r="I27" s="1567"/>
      <c r="J27" s="1568"/>
      <c r="K27" s="1431"/>
    </row>
    <row r="28" spans="1:11">
      <c r="A28" s="1558">
        <v>13</v>
      </c>
      <c r="B28" s="1732" t="s">
        <v>1822</v>
      </c>
      <c r="C28" s="1733">
        <v>3</v>
      </c>
      <c r="D28" s="1734">
        <v>67</v>
      </c>
      <c r="E28" s="1734">
        <f>9+63</f>
        <v>72</v>
      </c>
      <c r="F28" s="1734"/>
      <c r="G28" s="1733"/>
      <c r="H28" s="1735"/>
      <c r="I28" s="1567"/>
      <c r="J28" s="1568"/>
      <c r="K28" s="1431"/>
    </row>
    <row r="29" spans="1:11">
      <c r="A29" s="1558">
        <v>14</v>
      </c>
      <c r="B29" s="1732" t="s">
        <v>1822</v>
      </c>
      <c r="C29" s="1733">
        <v>4</v>
      </c>
      <c r="D29" s="1734">
        <v>16</v>
      </c>
      <c r="E29" s="1734">
        <v>18</v>
      </c>
      <c r="F29" s="1734"/>
      <c r="G29" s="1733"/>
      <c r="H29" s="1735"/>
      <c r="I29" s="1567"/>
      <c r="J29" s="1568"/>
      <c r="K29" s="1431"/>
    </row>
    <row r="30" spans="1:11">
      <c r="A30" s="1558">
        <v>15</v>
      </c>
      <c r="B30" s="1732" t="s">
        <v>1822</v>
      </c>
      <c r="C30" s="1733">
        <v>6</v>
      </c>
      <c r="D30" s="1734">
        <v>0</v>
      </c>
      <c r="E30" s="1734">
        <v>0</v>
      </c>
      <c r="F30" s="1734"/>
      <c r="G30" s="1733"/>
      <c r="H30" s="1735"/>
      <c r="I30" s="1567"/>
      <c r="J30" s="1568"/>
      <c r="K30" s="1431"/>
    </row>
    <row r="31" spans="1:11">
      <c r="A31" s="1558">
        <v>16</v>
      </c>
      <c r="B31" s="1732" t="s">
        <v>1822</v>
      </c>
      <c r="C31" s="1733">
        <v>8</v>
      </c>
      <c r="D31" s="1734">
        <v>0</v>
      </c>
      <c r="E31" s="1734">
        <v>0</v>
      </c>
      <c r="F31" s="1734"/>
      <c r="G31" s="1733"/>
      <c r="H31" s="1735"/>
      <c r="I31" s="1567"/>
      <c r="J31" s="1568"/>
      <c r="K31" s="1431"/>
    </row>
    <row r="32" spans="1:11">
      <c r="A32" s="1558">
        <v>17</v>
      </c>
      <c r="B32" s="1736" t="s">
        <v>1823</v>
      </c>
      <c r="C32" s="1733">
        <v>4</v>
      </c>
      <c r="D32" s="1734">
        <v>0</v>
      </c>
      <c r="E32" s="1734">
        <v>0</v>
      </c>
      <c r="F32" s="1734"/>
      <c r="G32" s="1733"/>
      <c r="H32" s="1735"/>
      <c r="I32" s="1567"/>
      <c r="J32" s="1568"/>
      <c r="K32" s="1431"/>
    </row>
    <row r="33" spans="1:11">
      <c r="A33" s="1558">
        <v>18</v>
      </c>
      <c r="B33" s="1736" t="s">
        <v>1823</v>
      </c>
      <c r="C33" s="1733">
        <v>6</v>
      </c>
      <c r="D33" s="1734">
        <v>0</v>
      </c>
      <c r="E33" s="1734">
        <v>0</v>
      </c>
      <c r="F33" s="1734"/>
      <c r="G33" s="1733"/>
      <c r="H33" s="1735"/>
      <c r="I33" s="1567"/>
      <c r="J33" s="1568"/>
      <c r="K33" s="1431"/>
    </row>
    <row r="34" spans="1:11">
      <c r="A34" s="1558">
        <v>19</v>
      </c>
      <c r="B34" s="1736" t="s">
        <v>1823</v>
      </c>
      <c r="C34" s="1733">
        <v>8</v>
      </c>
      <c r="D34" s="1734">
        <v>0</v>
      </c>
      <c r="E34" s="1734">
        <v>0</v>
      </c>
      <c r="F34" s="1734"/>
      <c r="G34" s="1733"/>
      <c r="H34" s="1735"/>
      <c r="I34" s="1567"/>
      <c r="J34" s="1568"/>
      <c r="K34" s="1431"/>
    </row>
    <row r="35" spans="1:11">
      <c r="A35" s="1558">
        <v>20</v>
      </c>
      <c r="B35" s="1548"/>
      <c r="C35" s="1679"/>
      <c r="D35" s="1734"/>
      <c r="F35" s="1568"/>
      <c r="G35" s="1679"/>
      <c r="H35" s="1430"/>
      <c r="I35" s="1567"/>
      <c r="J35" s="1568"/>
      <c r="K35" s="1431"/>
    </row>
    <row r="36" spans="1:11">
      <c r="A36" s="1558">
        <v>21</v>
      </c>
      <c r="B36" s="1548"/>
      <c r="C36" s="1679"/>
      <c r="D36" s="1568"/>
      <c r="E36" s="1568"/>
      <c r="F36" s="1568"/>
      <c r="G36" s="1569"/>
      <c r="H36" s="1430"/>
      <c r="I36" s="1567"/>
      <c r="J36" s="1568"/>
      <c r="K36" s="1431"/>
    </row>
    <row r="37" spans="1:11" ht="15.75">
      <c r="A37" s="1558">
        <v>22</v>
      </c>
      <c r="B37" s="1737"/>
      <c r="C37" s="1738"/>
      <c r="D37" s="1739"/>
      <c r="E37" s="1739"/>
      <c r="F37" s="1739"/>
      <c r="G37" s="1740"/>
      <c r="H37" s="1430"/>
      <c r="I37" s="1567"/>
      <c r="J37" s="1568"/>
      <c r="K37" s="1431"/>
    </row>
    <row r="38" spans="1:11" ht="15.75">
      <c r="A38" s="1558">
        <v>23</v>
      </c>
      <c r="B38" s="1737"/>
      <c r="C38" s="1738"/>
      <c r="D38" s="1739"/>
      <c r="E38" s="1739"/>
      <c r="F38" s="1739"/>
      <c r="G38" s="1740"/>
      <c r="H38" s="1430"/>
      <c r="I38" s="1567"/>
      <c r="J38" s="1568"/>
      <c r="K38" s="1431"/>
    </row>
    <row r="39" spans="1:11" ht="15.75">
      <c r="A39" s="1558">
        <v>24</v>
      </c>
      <c r="B39" s="1737"/>
      <c r="C39" s="1738"/>
      <c r="D39" s="1739"/>
      <c r="E39" s="1739"/>
      <c r="F39" s="1739"/>
      <c r="G39" s="1740"/>
      <c r="H39" s="1430"/>
      <c r="I39" s="1567"/>
      <c r="J39" s="1568"/>
      <c r="K39" s="1431"/>
    </row>
    <row r="40" spans="1:11" ht="15.75">
      <c r="A40" s="1558">
        <v>25</v>
      </c>
      <c r="B40" s="1737"/>
      <c r="C40" s="1679"/>
      <c r="D40" s="1568"/>
      <c r="E40" s="1568"/>
      <c r="F40" s="1568"/>
      <c r="G40" s="1569"/>
      <c r="H40" s="1430"/>
      <c r="I40" s="1567"/>
      <c r="J40" s="1568"/>
      <c r="K40" s="1431"/>
    </row>
    <row r="41" spans="1:11" ht="15.75">
      <c r="A41" s="1558">
        <v>26</v>
      </c>
      <c r="B41" s="1741"/>
      <c r="C41" s="1679"/>
      <c r="D41" s="1568"/>
      <c r="E41" s="1568"/>
      <c r="F41" s="1568"/>
      <c r="G41" s="1569"/>
      <c r="H41" s="1430"/>
      <c r="I41" s="1567"/>
      <c r="J41" s="1568"/>
      <c r="K41" s="1431"/>
    </row>
    <row r="42" spans="1:11">
      <c r="A42" s="1558">
        <v>27</v>
      </c>
      <c r="B42" s="1548"/>
      <c r="C42" s="1679"/>
      <c r="D42" s="1568"/>
      <c r="E42" s="1568"/>
      <c r="F42" s="1568"/>
      <c r="G42" s="1569"/>
      <c r="H42" s="1430"/>
      <c r="I42" s="1567"/>
      <c r="J42" s="1568"/>
      <c r="K42" s="1431"/>
    </row>
    <row r="43" spans="1:11">
      <c r="A43" s="1558">
        <v>28</v>
      </c>
      <c r="B43" s="1548"/>
      <c r="C43" s="1679"/>
      <c r="D43" s="1568"/>
      <c r="E43" s="1568"/>
      <c r="F43" s="1568"/>
      <c r="G43" s="1569"/>
      <c r="H43" s="1430"/>
      <c r="I43" s="1567"/>
      <c r="J43" s="1568"/>
      <c r="K43" s="1431"/>
    </row>
    <row r="44" spans="1:11">
      <c r="A44" s="1558">
        <v>29</v>
      </c>
      <c r="B44" s="1548"/>
      <c r="C44" s="1679"/>
      <c r="D44" s="1568"/>
      <c r="E44" s="1568"/>
      <c r="F44" s="1568"/>
      <c r="G44" s="1569"/>
      <c r="H44" s="1430"/>
      <c r="I44" s="1567"/>
      <c r="J44" s="1568"/>
      <c r="K44" s="1431"/>
    </row>
    <row r="45" spans="1:11">
      <c r="A45" s="1558">
        <v>30</v>
      </c>
      <c r="B45" s="1548"/>
      <c r="C45" s="1679"/>
      <c r="D45" s="1568"/>
      <c r="E45" s="1568"/>
      <c r="F45" s="1568"/>
      <c r="G45" s="1569"/>
      <c r="H45" s="1430"/>
      <c r="I45" s="1567"/>
      <c r="J45" s="1568"/>
      <c r="K45" s="1431"/>
    </row>
    <row r="46" spans="1:11">
      <c r="A46" s="1558">
        <v>31</v>
      </c>
      <c r="B46" s="1548"/>
      <c r="C46" s="1679"/>
      <c r="D46" s="1568"/>
      <c r="E46" s="1568"/>
      <c r="F46" s="1568"/>
      <c r="G46" s="1569"/>
      <c r="H46" s="1430"/>
      <c r="I46" s="1567"/>
      <c r="J46" s="1568"/>
      <c r="K46" s="1431"/>
    </row>
    <row r="47" spans="1:11">
      <c r="A47" s="1558">
        <v>32</v>
      </c>
      <c r="B47" s="1548"/>
      <c r="C47" s="1679"/>
      <c r="D47" s="1568"/>
      <c r="E47" s="1568"/>
      <c r="F47" s="1568"/>
      <c r="G47" s="1569"/>
      <c r="H47" s="1430"/>
      <c r="I47" s="1567"/>
      <c r="J47" s="1568"/>
      <c r="K47" s="1431"/>
    </row>
    <row r="48" spans="1:11">
      <c r="A48" s="1558">
        <v>33</v>
      </c>
      <c r="B48" s="1548"/>
      <c r="C48" s="1680"/>
      <c r="D48" s="1742"/>
      <c r="E48" s="1742"/>
      <c r="F48" s="1568"/>
      <c r="G48" s="1569"/>
      <c r="H48" s="1430"/>
      <c r="I48" s="1567"/>
      <c r="J48" s="1568"/>
      <c r="K48" s="1431"/>
    </row>
    <row r="49" spans="1:11" ht="15.75" thickBot="1">
      <c r="A49" s="1570">
        <v>34</v>
      </c>
      <c r="B49" s="1571" t="s">
        <v>2414</v>
      </c>
      <c r="C49" s="1572"/>
      <c r="D49" s="1573">
        <f>SUM(D16:D48)</f>
        <v>74474</v>
      </c>
      <c r="E49" s="1573">
        <f>SUM(E16:E48)</f>
        <v>74639</v>
      </c>
      <c r="F49" s="1573">
        <f>SUM(F16:F48)</f>
        <v>0</v>
      </c>
      <c r="G49" s="1572"/>
      <c r="H49" s="1573">
        <f>SUM(H16:H48)</f>
        <v>0</v>
      </c>
      <c r="I49" s="1573">
        <f>SUM(I16:I48)</f>
        <v>0</v>
      </c>
      <c r="J49" s="1573">
        <f>SUM(J16:J48)</f>
        <v>0</v>
      </c>
      <c r="K49" s="1574">
        <f>SUM(K16:K48)</f>
        <v>0</v>
      </c>
    </row>
    <row r="50" spans="1:11">
      <c r="K50" s="1436" t="s">
        <v>4066</v>
      </c>
    </row>
    <row r="51" spans="1:11">
      <c r="A51" s="1541" t="s">
        <v>1824</v>
      </c>
      <c r="B51" s="1541"/>
      <c r="C51" s="1541"/>
      <c r="D51" s="1541"/>
      <c r="E51" s="1541"/>
      <c r="F51" s="1541"/>
      <c r="G51" s="1541"/>
      <c r="H51" s="1541"/>
      <c r="I51" s="1541"/>
      <c r="J51" s="1541"/>
      <c r="K51" s="1541"/>
    </row>
    <row r="56" spans="1:11">
      <c r="A56" s="1436" t="s">
        <v>2640</v>
      </c>
    </row>
  </sheetData>
  <customSheetViews>
    <customSheetView guid="{1BA452AD-1A45-4D9C-9666-ADFFA6F2F567}" scale="60" colorId="22" showPageBreaks="1" fitToPage="1" view="pageBreakPreview">
      <pageMargins left="0.4" right="0.4" top="0.8" bottom="0.3" header="0.5" footer="0.5"/>
      <printOptions horizontalCentered="1" verticalCentered="1"/>
      <pageSetup scale="63" orientation="landscape" r:id="rId1"/>
      <headerFooter alignWithMargins="0"/>
    </customSheetView>
    <customSheetView guid="{EEF7ABD6-0F96-4791-B749-C06F707E7673}" scale="75" colorId="22" fitToPage="1" showRuler="0">
      <selection activeCell="D40" sqref="D40"/>
      <pageMargins left="0.4" right="0.4" top="0.8" bottom="0.3" header="0.5" footer="0.5"/>
      <printOptions horizontalCentered="1" verticalCentered="1"/>
      <pageSetup scale="70" orientation="landscape" r:id="rId2"/>
      <headerFooter alignWithMargins="0"/>
    </customSheetView>
    <customSheetView guid="{A7D7DB3C-AFE6-468E-8C6B-9531F6711497}" scale="75" colorId="22" fitToPage="1" showRuler="0">
      <selection activeCell="E81" sqref="E81"/>
      <pageMargins left="0.4" right="0.4" top="0.8" bottom="0.3" header="0.5" footer="0.5"/>
      <printOptions horizontalCentered="1" verticalCentered="1"/>
      <pageSetup scale="70" orientation="landscape" r:id="rId3"/>
      <headerFooter alignWithMargins="0"/>
    </customSheetView>
    <customSheetView guid="{4436FEB5-BFEC-4348-9286-CB706802873E}" scale="75" colorId="22" fitToPage="1" showRuler="0">
      <selection activeCell="H5" sqref="H5"/>
      <pageMargins left="0.4" right="0.4" top="0.8" bottom="0.3" header="0.5" footer="0.5"/>
      <printOptions horizontalCentered="1" verticalCentered="1"/>
      <pageSetup scale="70" orientation="landscape" r:id="rId4"/>
      <headerFooter alignWithMargins="0"/>
    </customSheetView>
    <customSheetView guid="{044CF00C-469F-44B3-B2C4-9B4049CE70CB}" scale="75" colorId="22" fitToPage="1" showRuler="0">
      <selection activeCell="M22" sqref="M22"/>
      <pageMargins left="0.4" right="0.4" top="0.8" bottom="0.3" header="0.5" footer="0.5"/>
      <printOptions horizontalCentered="1" verticalCentered="1"/>
      <pageSetup scale="70" orientation="landscape" r:id="rId5"/>
      <headerFooter alignWithMargins="0"/>
    </customSheetView>
    <customSheetView guid="{4826FCC0-BDD6-4B2C-ACC6-ACE271DDF0E3}" scale="75" colorId="22" fitToPage="1" showRuler="0">
      <selection activeCell="D40" sqref="D40"/>
      <pageMargins left="0.4" right="0.4" top="0.8" bottom="0.3" header="0.5" footer="0.5"/>
      <printOptions horizontalCentered="1" verticalCentered="1"/>
      <pageSetup scale="70" orientation="landscape" r:id="rId6"/>
      <headerFooter alignWithMargins="0"/>
    </customSheetView>
    <customSheetView guid="{EF376D10-23D6-4FE2-AB5B-4460D52CC93F}" scale="75" colorId="22" fitToPage="1" showRuler="0">
      <selection activeCell="D40" sqref="D40"/>
      <pageMargins left="0.4" right="0.4" top="0.8" bottom="0.3" header="0.5" footer="0.5"/>
      <printOptions horizontalCentered="1" verticalCentered="1"/>
      <pageSetup scale="70" orientation="landscape" r:id="rId7"/>
      <headerFooter alignWithMargins="0"/>
    </customSheetView>
    <customSheetView guid="{1C046605-15CE-44F1-BFCD-2CA8588E7ACF}" scale="75" colorId="22" fitToPage="1" showRuler="0">
      <selection activeCell="N25" sqref="N25"/>
      <pageMargins left="0.4" right="0.4" top="0.8" bottom="0.3" header="0.5" footer="0.5"/>
      <printOptions horizontalCentered="1" verticalCentered="1"/>
      <pageSetup scale="70" orientation="landscape" r:id="rId8"/>
      <headerFooter alignWithMargins="0"/>
    </customSheetView>
    <customSheetView guid="{3911D713-188C-46A1-A299-F21DD3B7A146}" scale="75" colorId="22" fitToPage="1" showRuler="0">
      <selection activeCell="N25" sqref="N25"/>
      <pageMargins left="0.4" right="0.4" top="0.8" bottom="0.3" header="0.5" footer="0.5"/>
      <printOptions horizontalCentered="1" verticalCentered="1"/>
      <pageSetup scale="70" orientation="landscape" r:id="rId9"/>
      <headerFooter alignWithMargins="0"/>
    </customSheetView>
    <customSheetView guid="{78BB1E60-60BE-4F56-9763-075185EFEFAB}" colorId="22" fitToPage="1" topLeftCell="A22">
      <selection activeCell="A2" sqref="A2"/>
      <pageMargins left="0.4" right="0.4" top="0.8" bottom="0.3" header="0.5" footer="0.5"/>
      <printOptions horizontalCentered="1" verticalCentered="1"/>
      <pageSetup scale="63" orientation="landscape" r:id="rId10"/>
      <headerFooter alignWithMargins="0"/>
    </customSheetView>
    <customSheetView guid="{9C30803E-1E2D-4850-B0A5-591CA6F246A1}" colorId="22" fitToPage="1" topLeftCell="A22">
      <selection activeCell="A2" sqref="A2"/>
      <pageMargins left="0.4" right="0.4" top="0.8" bottom="0.3" header="0.5" footer="0.5"/>
      <printOptions horizontalCentered="1" verticalCentered="1"/>
      <pageSetup scale="63" orientation="landscape" r:id="rId11"/>
      <headerFooter alignWithMargins="0"/>
    </customSheetView>
    <customSheetView guid="{3B1006FF-A2CA-49E7-9B25-DAC8815279AF}" colorId="22" fitToPage="1" topLeftCell="A22">
      <selection activeCell="A2" sqref="A2"/>
      <pageMargins left="0.4" right="0.4" top="0.8" bottom="0.3" header="0.5" footer="0.5"/>
      <printOptions horizontalCentered="1" verticalCentered="1"/>
      <pageSetup scale="63" orientation="landscape" r:id="rId12"/>
      <headerFooter alignWithMargins="0"/>
    </customSheetView>
    <customSheetView guid="{FB1A60C8-E1F9-4DF0-8E0E-1C965F86027F}" colorId="22" fitToPage="1" topLeftCell="A22">
      <selection activeCell="A2" sqref="A2"/>
      <pageMargins left="0.4" right="0.4" top="0.8" bottom="0.3" header="0.5" footer="0.5"/>
      <printOptions horizontalCentered="1" verticalCentered="1"/>
      <pageSetup scale="63" orientation="landscape" r:id="rId13"/>
      <headerFooter alignWithMargins="0"/>
    </customSheetView>
    <customSheetView guid="{C5B6D812-CBE6-46AA-99F7-02494E9802B4}" scale="70" colorId="22" fitToPage="1">
      <selection activeCell="C10" sqref="C10"/>
      <pageMargins left="0.4" right="0.4" top="0.8" bottom="0.3" header="0.5" footer="0.5"/>
      <printOptions horizontalCentered="1" verticalCentered="1"/>
      <pageSetup scale="63" orientation="landscape" r:id="rId14"/>
      <headerFooter alignWithMargins="0"/>
    </customSheetView>
  </customSheetViews>
  <phoneticPr fontId="0" type="noConversion"/>
  <printOptions horizontalCentered="1" verticalCentered="1"/>
  <pageMargins left="0.4" right="0.4" top="0.8" bottom="0.3" header="0.5" footer="0.5"/>
  <pageSetup scale="63" orientation="landscape" r:id="rId15"/>
  <headerFooter alignWithMargins="0"/>
  <customProperties>
    <customPr name="_pios_id" r:id="rId16"/>
  </customProperties>
</worksheet>
</file>

<file path=xl/worksheets/sheet82.xml><?xml version="1.0" encoding="utf-8"?>
<worksheet xmlns="http://schemas.openxmlformats.org/spreadsheetml/2006/main" xmlns:r="http://schemas.openxmlformats.org/officeDocument/2006/relationships">
  <sheetPr transitionEvaluation="1" codeName="Sheet81" enableFormatConditionsCalculation="0"/>
  <dimension ref="A1:L113"/>
  <sheetViews>
    <sheetView defaultGridColor="0" colorId="22" zoomScale="87" zoomScaleNormal="87" zoomScaleSheetLayoutView="70" workbookViewId="0"/>
  </sheetViews>
  <sheetFormatPr defaultColWidth="9.77734375" defaultRowHeight="15"/>
  <cols>
    <col min="1" max="1" width="4.77734375" style="1436" customWidth="1"/>
    <col min="2" max="2" width="25.77734375" style="1436" customWidth="1"/>
    <col min="3" max="3" width="13.77734375" style="1436" customWidth="1"/>
    <col min="4" max="7" width="9.77734375" style="1436"/>
    <col min="8" max="8" width="17.77734375" style="1436" customWidth="1"/>
    <col min="9" max="12" width="10.77734375" style="1436" customWidth="1"/>
    <col min="13" max="16384" width="9.77734375" style="1436"/>
  </cols>
  <sheetData>
    <row r="1" spans="1:12" ht="15.75" thickBot="1">
      <c r="A1" s="186" t="str">
        <f>+'Data sheet'!A53</f>
        <v>Annual Report of New York American Water Company, Inc. (f/k/a Long Island Water Corp)                                   Year Ended  December 31, 2013</v>
      </c>
      <c r="B1" s="2395"/>
    </row>
    <row r="2" spans="1:12">
      <c r="A2" s="1536"/>
      <c r="B2" s="1537"/>
      <c r="C2" s="1537"/>
      <c r="D2" s="1537"/>
      <c r="E2" s="1537"/>
      <c r="F2" s="1537"/>
      <c r="G2" s="1537"/>
      <c r="H2" s="1537"/>
      <c r="I2" s="1537"/>
      <c r="J2" s="1537"/>
      <c r="K2" s="1537"/>
      <c r="L2" s="1538"/>
    </row>
    <row r="3" spans="1:12" ht="15.75">
      <c r="A3" s="1533" t="s">
        <v>1825</v>
      </c>
      <c r="B3" s="1534"/>
      <c r="C3" s="1534"/>
      <c r="D3" s="1534"/>
      <c r="E3" s="1534"/>
      <c r="F3" s="1534"/>
      <c r="G3" s="1534"/>
      <c r="H3" s="1534"/>
      <c r="I3" s="1534"/>
      <c r="J3" s="1534"/>
      <c r="K3" s="1534"/>
      <c r="L3" s="1535"/>
    </row>
    <row r="4" spans="1:12">
      <c r="A4" s="1543"/>
      <c r="B4" s="1544"/>
      <c r="C4" s="1544"/>
      <c r="D4" s="1544"/>
      <c r="E4" s="1544"/>
      <c r="F4" s="1544"/>
      <c r="G4" s="1544"/>
      <c r="H4" s="1544"/>
      <c r="I4" s="1544"/>
      <c r="J4" s="1544"/>
      <c r="K4" s="1544"/>
      <c r="L4" s="1545"/>
    </row>
    <row r="5" spans="1:12">
      <c r="A5" s="1543"/>
      <c r="B5" s="1544"/>
      <c r="C5" s="1544"/>
      <c r="D5" s="1544"/>
      <c r="E5" s="1544"/>
      <c r="F5" s="1544"/>
      <c r="G5" s="1544"/>
      <c r="H5" s="1544"/>
      <c r="I5" s="1544"/>
      <c r="J5" s="1544"/>
      <c r="K5" s="1544"/>
      <c r="L5" s="1545"/>
    </row>
    <row r="6" spans="1:12">
      <c r="A6" s="1543"/>
      <c r="B6" s="1544" t="s">
        <v>1826</v>
      </c>
      <c r="C6" s="1544"/>
      <c r="D6" s="1544"/>
      <c r="E6" s="1544"/>
      <c r="F6" s="1544"/>
      <c r="G6" s="1544" t="s">
        <v>401</v>
      </c>
      <c r="H6" s="1544"/>
      <c r="I6" s="1544"/>
      <c r="J6" s="1544"/>
      <c r="K6" s="1544"/>
      <c r="L6" s="1545"/>
    </row>
    <row r="7" spans="1:12">
      <c r="A7" s="1543"/>
      <c r="B7" s="1544" t="s">
        <v>2921</v>
      </c>
      <c r="C7" s="1544"/>
      <c r="D7" s="1544"/>
      <c r="E7" s="1544"/>
      <c r="F7" s="1544"/>
      <c r="G7" s="1544" t="s">
        <v>2350</v>
      </c>
      <c r="H7" s="1544"/>
      <c r="I7" s="1544"/>
      <c r="J7" s="1544"/>
      <c r="K7" s="1544"/>
      <c r="L7" s="1545"/>
    </row>
    <row r="8" spans="1:12">
      <c r="A8" s="1543"/>
      <c r="B8" s="1544"/>
      <c r="C8" s="1544"/>
      <c r="D8" s="1544"/>
      <c r="E8" s="1544"/>
      <c r="F8" s="1544"/>
      <c r="G8" s="1544" t="s">
        <v>348</v>
      </c>
      <c r="H8" s="1544"/>
      <c r="I8" s="1544"/>
      <c r="J8" s="1544"/>
      <c r="K8" s="1544"/>
      <c r="L8" s="1545"/>
    </row>
    <row r="9" spans="1:12">
      <c r="A9" s="1543"/>
      <c r="B9" s="1544" t="s">
        <v>3720</v>
      </c>
      <c r="C9" s="1544"/>
      <c r="D9" s="1544"/>
      <c r="E9" s="1544"/>
      <c r="F9" s="1544"/>
      <c r="G9" s="1544"/>
      <c r="H9" s="1544"/>
      <c r="I9" s="1544"/>
      <c r="J9" s="1544"/>
      <c r="K9" s="1544"/>
      <c r="L9" s="1545"/>
    </row>
    <row r="10" spans="1:12">
      <c r="A10" s="1543"/>
      <c r="B10" s="1544" t="s">
        <v>3092</v>
      </c>
      <c r="C10" s="1544"/>
      <c r="D10" s="1544"/>
      <c r="E10" s="1544"/>
      <c r="F10" s="1544"/>
      <c r="G10" s="1544"/>
      <c r="H10" s="1544"/>
      <c r="I10" s="1544"/>
      <c r="J10" s="1544"/>
      <c r="K10" s="1544"/>
      <c r="L10" s="1545"/>
    </row>
    <row r="11" spans="1:12">
      <c r="A11" s="1546"/>
      <c r="B11" s="1547"/>
      <c r="C11" s="1547"/>
      <c r="D11" s="1547"/>
      <c r="E11" s="1547"/>
      <c r="F11" s="1547"/>
      <c r="G11" s="1547"/>
      <c r="H11" s="1547"/>
      <c r="I11" s="1547"/>
      <c r="J11" s="1547"/>
      <c r="K11" s="1547"/>
      <c r="L11" s="2380"/>
    </row>
    <row r="12" spans="1:12">
      <c r="A12" s="1543"/>
      <c r="B12" s="1548"/>
      <c r="C12" s="1555" t="s">
        <v>3093</v>
      </c>
      <c r="D12" s="2396" t="s">
        <v>3094</v>
      </c>
      <c r="E12" s="2381"/>
      <c r="F12" s="2396" t="s">
        <v>4319</v>
      </c>
      <c r="G12" s="2381"/>
      <c r="H12" s="1554" t="s">
        <v>3033</v>
      </c>
      <c r="I12" s="2381" t="s">
        <v>4320</v>
      </c>
      <c r="J12" s="2381"/>
      <c r="K12" s="2381"/>
      <c r="L12" s="2397"/>
    </row>
    <row r="13" spans="1:12">
      <c r="A13" s="1558" t="s">
        <v>1129</v>
      </c>
      <c r="B13" s="1554" t="s">
        <v>3026</v>
      </c>
      <c r="C13" s="1555" t="s">
        <v>97</v>
      </c>
      <c r="D13" s="2398" t="s">
        <v>1697</v>
      </c>
      <c r="E13" s="2399"/>
      <c r="F13" s="2398" t="s">
        <v>1697</v>
      </c>
      <c r="G13" s="2399"/>
      <c r="H13" s="1554" t="s">
        <v>1666</v>
      </c>
      <c r="I13" s="2381" t="s">
        <v>98</v>
      </c>
      <c r="J13" s="2381"/>
      <c r="K13" s="2396" t="s">
        <v>99</v>
      </c>
      <c r="L13" s="2397"/>
    </row>
    <row r="14" spans="1:12">
      <c r="A14" s="1558" t="s">
        <v>3324</v>
      </c>
      <c r="B14" s="1554" t="s">
        <v>4226</v>
      </c>
      <c r="C14" s="1555" t="s">
        <v>100</v>
      </c>
      <c r="D14" s="2398" t="s">
        <v>101</v>
      </c>
      <c r="E14" s="2398" t="s">
        <v>4084</v>
      </c>
      <c r="F14" s="2398" t="s">
        <v>101</v>
      </c>
      <c r="G14" s="2398" t="s">
        <v>4084</v>
      </c>
      <c r="H14" s="1554" t="s">
        <v>102</v>
      </c>
      <c r="I14" s="1555" t="s">
        <v>103</v>
      </c>
      <c r="J14" s="2398" t="s">
        <v>104</v>
      </c>
      <c r="K14" s="2398" t="s">
        <v>103</v>
      </c>
      <c r="L14" s="2400" t="s">
        <v>104</v>
      </c>
    </row>
    <row r="15" spans="1:12">
      <c r="A15" s="1543"/>
      <c r="B15" s="1548"/>
      <c r="C15" s="1555" t="s">
        <v>1748</v>
      </c>
      <c r="D15" s="2398" t="s">
        <v>105</v>
      </c>
      <c r="E15" s="2398" t="s">
        <v>1748</v>
      </c>
      <c r="F15" s="2398" t="s">
        <v>105</v>
      </c>
      <c r="G15" s="2398" t="s">
        <v>1748</v>
      </c>
      <c r="H15" s="1554" t="s">
        <v>1748</v>
      </c>
      <c r="I15" s="1555" t="s">
        <v>3260</v>
      </c>
      <c r="J15" s="2398" t="s">
        <v>106</v>
      </c>
      <c r="K15" s="2398" t="s">
        <v>3260</v>
      </c>
      <c r="L15" s="2400" t="s">
        <v>106</v>
      </c>
    </row>
    <row r="16" spans="1:12">
      <c r="A16" s="1546"/>
      <c r="B16" s="1561" t="s">
        <v>4032</v>
      </c>
      <c r="C16" s="1562" t="s">
        <v>4033</v>
      </c>
      <c r="D16" s="2401" t="s">
        <v>4034</v>
      </c>
      <c r="E16" s="2401" t="s">
        <v>4035</v>
      </c>
      <c r="F16" s="2401" t="s">
        <v>2277</v>
      </c>
      <c r="G16" s="2401" t="s">
        <v>2278</v>
      </c>
      <c r="H16" s="1561" t="s">
        <v>2279</v>
      </c>
      <c r="I16" s="1562" t="s">
        <v>2280</v>
      </c>
      <c r="J16" s="2401" t="s">
        <v>2281</v>
      </c>
      <c r="K16" s="2401" t="s">
        <v>2282</v>
      </c>
      <c r="L16" s="2402" t="s">
        <v>2283</v>
      </c>
    </row>
    <row r="17" spans="1:12">
      <c r="A17" s="1558">
        <v>1</v>
      </c>
      <c r="B17" s="1565" t="s">
        <v>107</v>
      </c>
      <c r="C17" s="2384"/>
      <c r="D17" s="2403"/>
      <c r="E17" s="2403"/>
      <c r="F17" s="2403"/>
      <c r="G17" s="2403"/>
      <c r="H17" s="2385"/>
      <c r="I17" s="2384"/>
      <c r="J17" s="2403"/>
      <c r="K17" s="2403"/>
      <c r="L17" s="2404"/>
    </row>
    <row r="18" spans="1:12">
      <c r="A18" s="1558">
        <v>2</v>
      </c>
      <c r="B18" s="1548" t="s">
        <v>108</v>
      </c>
      <c r="C18" s="1544"/>
      <c r="D18" s="2405"/>
      <c r="E18" s="2399"/>
      <c r="F18" s="2405"/>
      <c r="G18" s="2399"/>
      <c r="H18" s="1548">
        <v>4</v>
      </c>
      <c r="I18" s="2408">
        <v>55</v>
      </c>
      <c r="J18" s="2407"/>
      <c r="K18" s="2408">
        <v>55</v>
      </c>
      <c r="L18" s="2409"/>
    </row>
    <row r="19" spans="1:12">
      <c r="A19" s="1558">
        <v>3</v>
      </c>
      <c r="B19" s="1548" t="s">
        <v>108</v>
      </c>
      <c r="C19" s="1544"/>
      <c r="D19" s="2405"/>
      <c r="E19" s="2399"/>
      <c r="F19" s="2405"/>
      <c r="G19" s="2399"/>
      <c r="H19" s="1548">
        <v>6</v>
      </c>
      <c r="I19" s="2408">
        <v>36</v>
      </c>
      <c r="J19" s="2405"/>
      <c r="K19" s="2408">
        <v>36</v>
      </c>
      <c r="L19" s="2410"/>
    </row>
    <row r="20" spans="1:12">
      <c r="A20" s="1558">
        <v>4</v>
      </c>
      <c r="B20" s="1548" t="s">
        <v>109</v>
      </c>
      <c r="C20" s="1544"/>
      <c r="D20" s="2405"/>
      <c r="E20" s="2399"/>
      <c r="F20" s="2405"/>
      <c r="G20" s="2399"/>
      <c r="H20" s="1548">
        <v>4</v>
      </c>
      <c r="I20" s="2406">
        <v>76</v>
      </c>
      <c r="J20" s="2405"/>
      <c r="K20" s="2406">
        <v>76</v>
      </c>
      <c r="L20" s="2410"/>
    </row>
    <row r="21" spans="1:12">
      <c r="A21" s="1558">
        <v>5</v>
      </c>
      <c r="B21" s="1548" t="s">
        <v>109</v>
      </c>
      <c r="C21" s="1544"/>
      <c r="D21" s="2405"/>
      <c r="E21" s="2399"/>
      <c r="F21" s="2405"/>
      <c r="G21" s="2399"/>
      <c r="H21" s="1548">
        <v>6</v>
      </c>
      <c r="I21" s="2406">
        <v>27</v>
      </c>
      <c r="J21" s="2405"/>
      <c r="K21" s="2406">
        <v>27</v>
      </c>
      <c r="L21" s="2410"/>
    </row>
    <row r="22" spans="1:12">
      <c r="A22" s="1558">
        <v>6</v>
      </c>
      <c r="B22" s="1548" t="s">
        <v>110</v>
      </c>
      <c r="C22" s="1544"/>
      <c r="D22" s="2405"/>
      <c r="E22" s="2399"/>
      <c r="F22" s="2405"/>
      <c r="G22" s="2399"/>
      <c r="H22" s="1548">
        <v>4</v>
      </c>
      <c r="I22" s="2408">
        <v>122</v>
      </c>
      <c r="J22" s="2405"/>
      <c r="K22" s="2408">
        <v>118</v>
      </c>
      <c r="L22" s="2410"/>
    </row>
    <row r="23" spans="1:12">
      <c r="A23" s="1558">
        <v>7</v>
      </c>
      <c r="B23" s="1548" t="s">
        <v>110</v>
      </c>
      <c r="C23" s="1544"/>
      <c r="D23" s="2405"/>
      <c r="E23" s="2399"/>
      <c r="F23" s="2405"/>
      <c r="G23" s="2399"/>
      <c r="H23" s="1548">
        <v>6</v>
      </c>
      <c r="I23" s="2408">
        <v>38</v>
      </c>
      <c r="J23" s="2405"/>
      <c r="K23" s="2408">
        <v>42</v>
      </c>
      <c r="L23" s="2410"/>
    </row>
    <row r="24" spans="1:12">
      <c r="A24" s="1558">
        <v>8</v>
      </c>
      <c r="B24" s="1548" t="s">
        <v>111</v>
      </c>
      <c r="C24" s="1544"/>
      <c r="D24" s="2405"/>
      <c r="E24" s="2399"/>
      <c r="F24" s="2405"/>
      <c r="G24" s="2399"/>
      <c r="H24" s="1548">
        <v>4</v>
      </c>
      <c r="I24" s="2406">
        <v>13</v>
      </c>
      <c r="J24" s="2405"/>
      <c r="K24" s="2406">
        <v>13</v>
      </c>
      <c r="L24" s="2410"/>
    </row>
    <row r="25" spans="1:12">
      <c r="A25" s="1558">
        <v>9</v>
      </c>
      <c r="B25" s="1548" t="s">
        <v>111</v>
      </c>
      <c r="C25" s="1544"/>
      <c r="D25" s="2405"/>
      <c r="E25" s="2399"/>
      <c r="F25" s="2405"/>
      <c r="G25" s="2399"/>
      <c r="H25" s="1548">
        <v>6</v>
      </c>
      <c r="I25" s="2406">
        <v>9</v>
      </c>
      <c r="J25" s="2405"/>
      <c r="K25" s="2406">
        <v>9</v>
      </c>
      <c r="L25" s="2410"/>
    </row>
    <row r="26" spans="1:12">
      <c r="A26" s="1558">
        <v>10</v>
      </c>
      <c r="B26" s="1548" t="s">
        <v>112</v>
      </c>
      <c r="C26" s="1544"/>
      <c r="D26" s="2405"/>
      <c r="E26" s="2399"/>
      <c r="F26" s="2405"/>
      <c r="G26" s="2399"/>
      <c r="H26" s="1548">
        <v>4</v>
      </c>
      <c r="I26" s="2406">
        <v>0</v>
      </c>
      <c r="J26" s="2405"/>
      <c r="K26" s="2406">
        <v>0</v>
      </c>
      <c r="L26" s="2410"/>
    </row>
    <row r="27" spans="1:12">
      <c r="A27" s="1558">
        <v>11</v>
      </c>
      <c r="B27" s="1548" t="s">
        <v>112</v>
      </c>
      <c r="C27" s="1544"/>
      <c r="D27" s="2405"/>
      <c r="E27" s="2399"/>
      <c r="F27" s="2405"/>
      <c r="G27" s="2399"/>
      <c r="H27" s="1548">
        <v>6</v>
      </c>
      <c r="I27" s="2406">
        <v>0</v>
      </c>
      <c r="J27" s="2405"/>
      <c r="K27" s="2406">
        <v>0</v>
      </c>
      <c r="L27" s="2410"/>
    </row>
    <row r="28" spans="1:12">
      <c r="A28" s="1558">
        <v>12</v>
      </c>
      <c r="B28" s="1548" t="s">
        <v>113</v>
      </c>
      <c r="C28" s="1544"/>
      <c r="D28" s="2405"/>
      <c r="E28" s="2399"/>
      <c r="F28" s="2405"/>
      <c r="G28" s="2399"/>
      <c r="H28" s="1548">
        <v>4</v>
      </c>
      <c r="I28" s="2406">
        <v>0</v>
      </c>
      <c r="J28" s="2405"/>
      <c r="K28" s="2406">
        <v>0</v>
      </c>
      <c r="L28" s="2410"/>
    </row>
    <row r="29" spans="1:12">
      <c r="A29" s="1558">
        <v>13</v>
      </c>
      <c r="B29" s="1548" t="s">
        <v>113</v>
      </c>
      <c r="C29" s="1544"/>
      <c r="D29" s="2405"/>
      <c r="E29" s="2399"/>
      <c r="F29" s="2405"/>
      <c r="G29" s="2399"/>
      <c r="H29" s="1548">
        <v>6</v>
      </c>
      <c r="I29" s="2406">
        <v>0</v>
      </c>
      <c r="J29" s="2405"/>
      <c r="K29" s="2406">
        <v>0</v>
      </c>
      <c r="L29" s="2410"/>
    </row>
    <row r="30" spans="1:12">
      <c r="A30" s="1558">
        <v>14</v>
      </c>
      <c r="B30" s="1548" t="s">
        <v>114</v>
      </c>
      <c r="C30" s="1544"/>
      <c r="D30" s="2405"/>
      <c r="E30" s="2399"/>
      <c r="F30" s="2405"/>
      <c r="G30" s="2399"/>
      <c r="H30" s="1548">
        <v>4</v>
      </c>
      <c r="I30" s="2406">
        <v>51</v>
      </c>
      <c r="J30" s="2405"/>
      <c r="K30" s="2406">
        <v>47</v>
      </c>
      <c r="L30" s="2410"/>
    </row>
    <row r="31" spans="1:12">
      <c r="A31" s="1558">
        <v>15</v>
      </c>
      <c r="B31" s="1548" t="s">
        <v>114</v>
      </c>
      <c r="C31" s="1544"/>
      <c r="D31" s="2405"/>
      <c r="E31" s="2399"/>
      <c r="F31" s="2405"/>
      <c r="G31" s="2399"/>
      <c r="H31" s="1548">
        <v>6</v>
      </c>
      <c r="I31" s="2408">
        <v>33</v>
      </c>
      <c r="J31" s="2405"/>
      <c r="K31" s="2408">
        <v>37</v>
      </c>
      <c r="L31" s="2410"/>
    </row>
    <row r="32" spans="1:12">
      <c r="A32" s="1558">
        <v>16</v>
      </c>
      <c r="B32" s="1548" t="s">
        <v>115</v>
      </c>
      <c r="C32" s="1544"/>
      <c r="D32" s="2405"/>
      <c r="E32" s="2399"/>
      <c r="F32" s="2405"/>
      <c r="G32" s="2399"/>
      <c r="H32" s="1548">
        <v>4</v>
      </c>
      <c r="I32" s="2408">
        <v>140</v>
      </c>
      <c r="J32" s="2405"/>
      <c r="K32" s="2408">
        <v>130</v>
      </c>
      <c r="L32" s="2410"/>
    </row>
    <row r="33" spans="1:12">
      <c r="A33" s="1558">
        <v>17</v>
      </c>
      <c r="B33" s="1548" t="s">
        <v>115</v>
      </c>
      <c r="C33" s="1544"/>
      <c r="D33" s="2405"/>
      <c r="E33" s="2399"/>
      <c r="F33" s="2405"/>
      <c r="G33" s="2399"/>
      <c r="H33" s="1548">
        <v>6</v>
      </c>
      <c r="I33" s="2408">
        <v>83</v>
      </c>
      <c r="J33" s="2405"/>
      <c r="K33" s="2408">
        <v>96</v>
      </c>
      <c r="L33" s="2410"/>
    </row>
    <row r="34" spans="1:12">
      <c r="A34" s="1558">
        <v>18</v>
      </c>
      <c r="B34" s="1548" t="s">
        <v>116</v>
      </c>
      <c r="C34" s="1544"/>
      <c r="D34" s="2405"/>
      <c r="E34" s="2399"/>
      <c r="F34" s="2405"/>
      <c r="G34" s="2399"/>
      <c r="H34" s="1548">
        <v>4</v>
      </c>
      <c r="I34" s="2408">
        <v>288</v>
      </c>
      <c r="J34" s="2405"/>
      <c r="K34" s="2408">
        <v>284</v>
      </c>
      <c r="L34" s="2410"/>
    </row>
    <row r="35" spans="1:12">
      <c r="A35" s="1558">
        <v>19</v>
      </c>
      <c r="B35" s="1548" t="s">
        <v>116</v>
      </c>
      <c r="C35" s="1544"/>
      <c r="D35" s="2405"/>
      <c r="E35" s="2399"/>
      <c r="F35" s="2405"/>
      <c r="G35" s="2399"/>
      <c r="H35" s="1548">
        <v>6</v>
      </c>
      <c r="I35" s="2408">
        <v>107</v>
      </c>
      <c r="J35" s="2405"/>
      <c r="K35" s="2408">
        <v>111</v>
      </c>
      <c r="L35" s="2410"/>
    </row>
    <row r="36" spans="1:12">
      <c r="A36" s="1558">
        <v>20</v>
      </c>
      <c r="B36" s="1548" t="s">
        <v>117</v>
      </c>
      <c r="C36" s="1544"/>
      <c r="D36" s="2405"/>
      <c r="E36" s="2399"/>
      <c r="F36" s="2405"/>
      <c r="G36" s="2399"/>
      <c r="H36" s="1548">
        <v>4</v>
      </c>
      <c r="I36" s="2406">
        <v>0</v>
      </c>
      <c r="J36" s="2405"/>
      <c r="K36" s="2406">
        <v>0</v>
      </c>
      <c r="L36" s="2410"/>
    </row>
    <row r="37" spans="1:12">
      <c r="A37" s="1558">
        <v>21</v>
      </c>
      <c r="B37" s="1548" t="s">
        <v>117</v>
      </c>
      <c r="C37" s="1544"/>
      <c r="D37" s="2405"/>
      <c r="E37" s="2399"/>
      <c r="F37" s="2405"/>
      <c r="G37" s="2399"/>
      <c r="H37" s="1548">
        <v>6</v>
      </c>
      <c r="I37" s="2408">
        <v>3</v>
      </c>
      <c r="J37" s="2405"/>
      <c r="K37" s="2408">
        <v>15</v>
      </c>
      <c r="L37" s="2410"/>
    </row>
    <row r="38" spans="1:12">
      <c r="A38" s="1558">
        <v>22</v>
      </c>
      <c r="B38" s="1548" t="s">
        <v>118</v>
      </c>
      <c r="C38" s="1544"/>
      <c r="D38" s="2405"/>
      <c r="E38" s="2399"/>
      <c r="F38" s="2405"/>
      <c r="G38" s="2399"/>
      <c r="H38" s="1548">
        <v>4</v>
      </c>
      <c r="I38" s="2408">
        <v>408</v>
      </c>
      <c r="J38" s="2405"/>
      <c r="K38" s="2408">
        <v>388</v>
      </c>
      <c r="L38" s="2410"/>
    </row>
    <row r="39" spans="1:12">
      <c r="A39" s="1558">
        <v>23</v>
      </c>
      <c r="B39" s="1548" t="s">
        <v>118</v>
      </c>
      <c r="C39" s="1544"/>
      <c r="D39" s="2405"/>
      <c r="E39" s="2399"/>
      <c r="F39" s="2405"/>
      <c r="G39" s="2399"/>
      <c r="H39" s="1548">
        <v>6</v>
      </c>
      <c r="I39" s="2408">
        <v>127</v>
      </c>
      <c r="J39" s="2405"/>
      <c r="K39" s="2408">
        <v>152</v>
      </c>
      <c r="L39" s="2410"/>
    </row>
    <row r="40" spans="1:12">
      <c r="A40" s="1558">
        <v>24</v>
      </c>
      <c r="B40" s="1548" t="s">
        <v>119</v>
      </c>
      <c r="C40" s="1544"/>
      <c r="D40" s="2405"/>
      <c r="E40" s="2399"/>
      <c r="F40" s="2405"/>
      <c r="G40" s="2399"/>
      <c r="H40" s="1548">
        <v>4</v>
      </c>
      <c r="I40" s="2406">
        <v>21</v>
      </c>
      <c r="J40" s="2405"/>
      <c r="K40" s="2406">
        <v>21</v>
      </c>
      <c r="L40" s="2410"/>
    </row>
    <row r="41" spans="1:12">
      <c r="A41" s="1558">
        <v>25</v>
      </c>
      <c r="B41" s="1548" t="s">
        <v>119</v>
      </c>
      <c r="C41" s="1544"/>
      <c r="D41" s="2405"/>
      <c r="E41" s="2399"/>
      <c r="F41" s="2405"/>
      <c r="G41" s="2399"/>
      <c r="H41" s="1548">
        <v>6</v>
      </c>
      <c r="I41" s="2406">
        <v>10</v>
      </c>
      <c r="J41" s="2405"/>
      <c r="K41" s="2406">
        <v>10</v>
      </c>
      <c r="L41" s="2410"/>
    </row>
    <row r="42" spans="1:12">
      <c r="A42" s="1558">
        <v>26</v>
      </c>
      <c r="B42" s="1548" t="s">
        <v>1018</v>
      </c>
      <c r="C42" s="1544"/>
      <c r="D42" s="2405"/>
      <c r="E42" s="2399"/>
      <c r="F42" s="2405"/>
      <c r="G42" s="2399"/>
      <c r="H42" s="1548">
        <v>4</v>
      </c>
      <c r="I42" s="2408">
        <v>1590</v>
      </c>
      <c r="J42" s="2405"/>
      <c r="K42" s="2408">
        <v>1569</v>
      </c>
      <c r="L42" s="2410"/>
    </row>
    <row r="43" spans="1:12">
      <c r="A43" s="1558">
        <v>27</v>
      </c>
      <c r="B43" s="1548" t="s">
        <v>1018</v>
      </c>
      <c r="C43" s="1544"/>
      <c r="D43" s="2405"/>
      <c r="E43" s="2399"/>
      <c r="F43" s="2405"/>
      <c r="G43" s="2399"/>
      <c r="H43" s="1548">
        <v>6</v>
      </c>
      <c r="I43" s="2408">
        <v>1262</v>
      </c>
      <c r="J43" s="2405"/>
      <c r="K43" s="2408">
        <v>1285</v>
      </c>
      <c r="L43" s="2410"/>
    </row>
    <row r="44" spans="1:12">
      <c r="A44" s="1558">
        <v>28</v>
      </c>
      <c r="B44" s="1548"/>
      <c r="C44" s="1544"/>
      <c r="D44" s="2405"/>
      <c r="E44" s="2399"/>
      <c r="F44" s="2405"/>
      <c r="G44" s="2399"/>
      <c r="H44" s="1548"/>
      <c r="I44" s="2405"/>
      <c r="J44" s="2405"/>
      <c r="K44" s="2405"/>
      <c r="L44" s="2410"/>
    </row>
    <row r="45" spans="1:12">
      <c r="A45" s="1558">
        <v>29</v>
      </c>
      <c r="B45" s="1548"/>
      <c r="C45" s="1544"/>
      <c r="D45" s="2405"/>
      <c r="E45" s="2399"/>
      <c r="F45" s="2405"/>
      <c r="G45" s="2399"/>
      <c r="H45" s="1548"/>
      <c r="I45" s="2405"/>
      <c r="J45" s="2405"/>
      <c r="K45" s="2405"/>
      <c r="L45" s="2410"/>
    </row>
    <row r="46" spans="1:12">
      <c r="A46" s="1558">
        <v>30</v>
      </c>
      <c r="B46" s="1548"/>
      <c r="C46" s="1544"/>
      <c r="D46" s="2405"/>
      <c r="E46" s="2399"/>
      <c r="F46" s="2405"/>
      <c r="G46" s="2399"/>
      <c r="H46" s="1548"/>
      <c r="I46" s="2405"/>
      <c r="J46" s="2405"/>
      <c r="K46" s="2405"/>
      <c r="L46" s="2410"/>
    </row>
    <row r="47" spans="1:12">
      <c r="A47" s="1558">
        <v>31</v>
      </c>
      <c r="B47" s="1548"/>
      <c r="C47" s="1544"/>
      <c r="D47" s="2405"/>
      <c r="E47" s="2399"/>
      <c r="F47" s="2405"/>
      <c r="G47" s="2399"/>
      <c r="H47" s="1548"/>
      <c r="I47" s="2405"/>
      <c r="J47" s="2405"/>
      <c r="K47" s="2405"/>
      <c r="L47" s="2410"/>
    </row>
    <row r="48" spans="1:12">
      <c r="A48" s="1558">
        <v>32</v>
      </c>
      <c r="B48" s="1548"/>
      <c r="C48" s="1544"/>
      <c r="D48" s="2405"/>
      <c r="E48" s="2399"/>
      <c r="F48" s="2405"/>
      <c r="G48" s="2399"/>
      <c r="H48" s="1548"/>
      <c r="I48" s="2405"/>
      <c r="J48" s="2405"/>
      <c r="K48" s="2405"/>
      <c r="L48" s="2410"/>
    </row>
    <row r="49" spans="1:12">
      <c r="A49" s="1558">
        <v>33</v>
      </c>
      <c r="B49" s="1548"/>
      <c r="C49" s="1544"/>
      <c r="D49" s="2405"/>
      <c r="E49" s="2399"/>
      <c r="F49" s="2405"/>
      <c r="G49" s="2399"/>
      <c r="H49" s="1548"/>
      <c r="I49" s="2405"/>
      <c r="J49" s="2405"/>
      <c r="K49" s="2405"/>
      <c r="L49" s="2410"/>
    </row>
    <row r="50" spans="1:12" ht="15.75" thickBot="1">
      <c r="A50" s="1570">
        <v>34</v>
      </c>
      <c r="B50" s="1571"/>
      <c r="C50" s="2411"/>
      <c r="D50" s="2412"/>
      <c r="E50" s="2413"/>
      <c r="F50" s="2412"/>
      <c r="G50" s="2413"/>
      <c r="H50" s="2414" t="s">
        <v>1050</v>
      </c>
      <c r="I50" s="2415">
        <f>SUM(I18:I49)</f>
        <v>4499</v>
      </c>
      <c r="J50" s="2416"/>
      <c r="K50" s="2415">
        <f>SUM(K18:K49)</f>
        <v>4521</v>
      </c>
      <c r="L50" s="2417"/>
    </row>
    <row r="51" spans="1:12">
      <c r="A51" s="1436" t="s">
        <v>4066</v>
      </c>
    </row>
    <row r="52" spans="1:12">
      <c r="A52" s="1541" t="s">
        <v>120</v>
      </c>
      <c r="B52" s="1541"/>
      <c r="C52" s="1541"/>
      <c r="D52" s="1541"/>
      <c r="E52" s="1541"/>
      <c r="F52" s="1541"/>
      <c r="G52" s="1541"/>
      <c r="H52" s="1541"/>
      <c r="I52" s="1541"/>
      <c r="J52" s="1541"/>
      <c r="K52" s="1541"/>
      <c r="L52" s="1541"/>
    </row>
    <row r="53" spans="1:12" ht="15.75" thickBot="1">
      <c r="A53" s="186" t="str">
        <f>+'Data sheet'!A53</f>
        <v>Annual Report of New York American Water Company, Inc. (f/k/a Long Island Water Corp)                                   Year Ended  December 31, 2013</v>
      </c>
      <c r="B53" s="2395"/>
    </row>
    <row r="54" spans="1:12">
      <c r="A54" s="1536"/>
      <c r="B54" s="1537"/>
      <c r="C54" s="1537"/>
      <c r="D54" s="1537"/>
      <c r="E54" s="1537"/>
      <c r="F54" s="1537"/>
      <c r="G54" s="1537"/>
      <c r="H54" s="1537"/>
      <c r="I54" s="1537"/>
      <c r="J54" s="1537"/>
      <c r="K54" s="1537"/>
      <c r="L54" s="1538"/>
    </row>
    <row r="55" spans="1:12" ht="15.75">
      <c r="A55" s="1533" t="s">
        <v>121</v>
      </c>
      <c r="B55" s="1534"/>
      <c r="C55" s="1534"/>
      <c r="D55" s="1534"/>
      <c r="E55" s="1534"/>
      <c r="F55" s="1534"/>
      <c r="G55" s="1534"/>
      <c r="H55" s="1534"/>
      <c r="I55" s="1534"/>
      <c r="J55" s="1534"/>
      <c r="K55" s="1534"/>
      <c r="L55" s="1535"/>
    </row>
    <row r="56" spans="1:12">
      <c r="A56" s="1543"/>
      <c r="B56" s="1544"/>
      <c r="C56" s="1544"/>
      <c r="D56" s="1544"/>
      <c r="E56" s="1544"/>
      <c r="F56" s="1544"/>
      <c r="G56" s="1544"/>
      <c r="H56" s="1544"/>
      <c r="I56" s="1544"/>
      <c r="J56" s="1544"/>
      <c r="K56" s="1544"/>
      <c r="L56" s="1545"/>
    </row>
    <row r="57" spans="1:12">
      <c r="A57" s="1543"/>
      <c r="B57" s="1544"/>
      <c r="C57" s="1544"/>
      <c r="D57" s="1544"/>
      <c r="E57" s="1544"/>
      <c r="F57" s="1544"/>
      <c r="G57" s="1544"/>
      <c r="H57" s="1544"/>
      <c r="I57" s="1544"/>
      <c r="J57" s="1544"/>
      <c r="K57" s="1544"/>
      <c r="L57" s="1545"/>
    </row>
    <row r="58" spans="1:12">
      <c r="A58" s="1543"/>
      <c r="B58" s="1544" t="s">
        <v>1826</v>
      </c>
      <c r="C58" s="1544"/>
      <c r="D58" s="1544"/>
      <c r="E58" s="1544"/>
      <c r="F58" s="1544"/>
      <c r="G58" s="1544" t="s">
        <v>401</v>
      </c>
      <c r="H58" s="1544"/>
      <c r="I58" s="1544"/>
      <c r="J58" s="1544"/>
      <c r="K58" s="1544"/>
      <c r="L58" s="1545"/>
    </row>
    <row r="59" spans="1:12">
      <c r="A59" s="1543"/>
      <c r="B59" s="1544" t="s">
        <v>2921</v>
      </c>
      <c r="C59" s="1544"/>
      <c r="D59" s="1544"/>
      <c r="E59" s="1544"/>
      <c r="F59" s="1544"/>
      <c r="G59" s="1544" t="s">
        <v>2350</v>
      </c>
      <c r="H59" s="1544"/>
      <c r="I59" s="1544"/>
      <c r="J59" s="1544"/>
      <c r="K59" s="1544"/>
      <c r="L59" s="1545"/>
    </row>
    <row r="60" spans="1:12">
      <c r="A60" s="1543"/>
      <c r="B60" s="1544"/>
      <c r="C60" s="1544"/>
      <c r="D60" s="1544"/>
      <c r="E60" s="1544"/>
      <c r="F60" s="1544"/>
      <c r="G60" s="1544" t="s">
        <v>348</v>
      </c>
      <c r="H60" s="1544"/>
      <c r="I60" s="1544"/>
      <c r="J60" s="1544"/>
      <c r="K60" s="1544"/>
      <c r="L60" s="1545"/>
    </row>
    <row r="61" spans="1:12">
      <c r="A61" s="1543"/>
      <c r="B61" s="1544" t="s">
        <v>3720</v>
      </c>
      <c r="C61" s="1544"/>
      <c r="D61" s="1544"/>
      <c r="E61" s="1544"/>
      <c r="F61" s="1544"/>
      <c r="G61" s="1544"/>
      <c r="H61" s="1544"/>
      <c r="I61" s="1544"/>
      <c r="J61" s="1544"/>
      <c r="K61" s="1544"/>
      <c r="L61" s="1545"/>
    </row>
    <row r="62" spans="1:12">
      <c r="A62" s="1543"/>
      <c r="B62" s="1544" t="s">
        <v>3092</v>
      </c>
      <c r="C62" s="1544"/>
      <c r="D62" s="1544"/>
      <c r="E62" s="1544"/>
      <c r="F62" s="1544"/>
      <c r="G62" s="1544"/>
      <c r="H62" s="1544"/>
      <c r="I62" s="1544"/>
      <c r="J62" s="1544"/>
      <c r="K62" s="1544"/>
      <c r="L62" s="1545"/>
    </row>
    <row r="63" spans="1:12">
      <c r="A63" s="1546"/>
      <c r="B63" s="1547"/>
      <c r="C63" s="1547"/>
      <c r="D63" s="1547"/>
      <c r="E63" s="1547"/>
      <c r="F63" s="1547"/>
      <c r="G63" s="1547"/>
      <c r="H63" s="1547"/>
      <c r="I63" s="1547"/>
      <c r="J63" s="1547"/>
      <c r="K63" s="1547"/>
      <c r="L63" s="2380"/>
    </row>
    <row r="64" spans="1:12">
      <c r="A64" s="1543"/>
      <c r="B64" s="1548"/>
      <c r="C64" s="1555" t="s">
        <v>3093</v>
      </c>
      <c r="D64" s="2396" t="s">
        <v>3094</v>
      </c>
      <c r="E64" s="2381"/>
      <c r="F64" s="2396" t="s">
        <v>4319</v>
      </c>
      <c r="G64" s="2381"/>
      <c r="H64" s="1554" t="s">
        <v>3033</v>
      </c>
      <c r="I64" s="2381" t="s">
        <v>4320</v>
      </c>
      <c r="J64" s="2381"/>
      <c r="K64" s="2381"/>
      <c r="L64" s="2397"/>
    </row>
    <row r="65" spans="1:12">
      <c r="A65" s="1558" t="s">
        <v>1129</v>
      </c>
      <c r="B65" s="1554" t="s">
        <v>3026</v>
      </c>
      <c r="C65" s="1555" t="s">
        <v>97</v>
      </c>
      <c r="D65" s="2398" t="s">
        <v>1697</v>
      </c>
      <c r="E65" s="2399"/>
      <c r="F65" s="2398" t="s">
        <v>1697</v>
      </c>
      <c r="G65" s="2399"/>
      <c r="H65" s="1554" t="s">
        <v>1666</v>
      </c>
      <c r="I65" s="2381" t="s">
        <v>98</v>
      </c>
      <c r="J65" s="2381"/>
      <c r="K65" s="2396" t="s">
        <v>99</v>
      </c>
      <c r="L65" s="2397"/>
    </row>
    <row r="66" spans="1:12">
      <c r="A66" s="1558" t="s">
        <v>3324</v>
      </c>
      <c r="B66" s="1554" t="s">
        <v>4226</v>
      </c>
      <c r="C66" s="1555" t="s">
        <v>100</v>
      </c>
      <c r="D66" s="2398" t="s">
        <v>101</v>
      </c>
      <c r="E66" s="2398" t="s">
        <v>4084</v>
      </c>
      <c r="F66" s="2398" t="s">
        <v>101</v>
      </c>
      <c r="G66" s="2398" t="s">
        <v>4084</v>
      </c>
      <c r="H66" s="1554" t="s">
        <v>102</v>
      </c>
      <c r="I66" s="1555" t="s">
        <v>103</v>
      </c>
      <c r="J66" s="2398" t="s">
        <v>104</v>
      </c>
      <c r="K66" s="2398" t="s">
        <v>103</v>
      </c>
      <c r="L66" s="2400" t="s">
        <v>104</v>
      </c>
    </row>
    <row r="67" spans="1:12">
      <c r="A67" s="1543"/>
      <c r="B67" s="1548"/>
      <c r="C67" s="1555" t="s">
        <v>1748</v>
      </c>
      <c r="D67" s="2398" t="s">
        <v>105</v>
      </c>
      <c r="E67" s="2398" t="s">
        <v>1748</v>
      </c>
      <c r="F67" s="2398" t="s">
        <v>105</v>
      </c>
      <c r="G67" s="2398" t="s">
        <v>1748</v>
      </c>
      <c r="H67" s="1554" t="s">
        <v>1748</v>
      </c>
      <c r="I67" s="1555" t="s">
        <v>3260</v>
      </c>
      <c r="J67" s="2398" t="s">
        <v>106</v>
      </c>
      <c r="K67" s="2398" t="s">
        <v>3260</v>
      </c>
      <c r="L67" s="2400" t="s">
        <v>106</v>
      </c>
    </row>
    <row r="68" spans="1:12">
      <c r="A68" s="1546"/>
      <c r="B68" s="1561" t="s">
        <v>4032</v>
      </c>
      <c r="C68" s="1562" t="s">
        <v>4033</v>
      </c>
      <c r="D68" s="2401" t="s">
        <v>4034</v>
      </c>
      <c r="E68" s="2401" t="s">
        <v>4035</v>
      </c>
      <c r="F68" s="2401" t="s">
        <v>2277</v>
      </c>
      <c r="G68" s="2401" t="s">
        <v>2278</v>
      </c>
      <c r="H68" s="1561" t="s">
        <v>2279</v>
      </c>
      <c r="I68" s="1562" t="s">
        <v>2280</v>
      </c>
      <c r="J68" s="2401" t="s">
        <v>2281</v>
      </c>
      <c r="K68" s="2401" t="s">
        <v>2282</v>
      </c>
      <c r="L68" s="2402" t="s">
        <v>2283</v>
      </c>
    </row>
    <row r="69" spans="1:12">
      <c r="A69" s="1558">
        <v>1</v>
      </c>
      <c r="B69" s="1565" t="s">
        <v>122</v>
      </c>
      <c r="C69" s="2384"/>
      <c r="D69" s="2403"/>
      <c r="E69" s="2403"/>
      <c r="F69" s="2403"/>
      <c r="G69" s="2403"/>
      <c r="H69" s="2385"/>
      <c r="I69" s="2384"/>
      <c r="J69" s="2403"/>
      <c r="K69" s="2403"/>
      <c r="L69" s="2404"/>
    </row>
    <row r="70" spans="1:12">
      <c r="A70" s="1558">
        <v>2</v>
      </c>
      <c r="B70" s="1548" t="s">
        <v>108</v>
      </c>
      <c r="C70" s="1544"/>
      <c r="D70" s="2405"/>
      <c r="E70" s="2399"/>
      <c r="F70" s="2405"/>
      <c r="G70" s="2399"/>
      <c r="H70" s="2418" t="s">
        <v>123</v>
      </c>
      <c r="I70" s="2419">
        <v>2</v>
      </c>
      <c r="J70" s="2407"/>
      <c r="K70" s="2419">
        <v>2</v>
      </c>
      <c r="L70" s="2409"/>
    </row>
    <row r="71" spans="1:12">
      <c r="A71" s="1558">
        <v>3</v>
      </c>
      <c r="B71" s="1548" t="s">
        <v>108</v>
      </c>
      <c r="C71" s="1544"/>
      <c r="D71" s="2405"/>
      <c r="E71" s="2399"/>
      <c r="F71" s="2405"/>
      <c r="G71" s="2399"/>
      <c r="H71" s="1548">
        <v>2</v>
      </c>
      <c r="I71" s="2405">
        <v>1</v>
      </c>
      <c r="J71" s="2405"/>
      <c r="K71" s="2405">
        <v>1</v>
      </c>
      <c r="L71" s="2410"/>
    </row>
    <row r="72" spans="1:12">
      <c r="A72" s="1558">
        <v>4</v>
      </c>
      <c r="B72" s="1548" t="s">
        <v>108</v>
      </c>
      <c r="C72" s="1544"/>
      <c r="D72" s="2405"/>
      <c r="E72" s="2399"/>
      <c r="F72" s="2405"/>
      <c r="G72" s="2399"/>
      <c r="H72" s="1548">
        <v>4</v>
      </c>
      <c r="I72" s="2405">
        <v>0</v>
      </c>
      <c r="J72" s="2405"/>
      <c r="K72" s="2405">
        <v>0</v>
      </c>
      <c r="L72" s="2410"/>
    </row>
    <row r="73" spans="1:12">
      <c r="A73" s="1558">
        <v>5</v>
      </c>
      <c r="B73" s="1548" t="s">
        <v>108</v>
      </c>
      <c r="C73" s="1544"/>
      <c r="D73" s="2405"/>
      <c r="E73" s="2399"/>
      <c r="F73" s="2405"/>
      <c r="G73" s="2399"/>
      <c r="H73" s="1548">
        <v>8</v>
      </c>
      <c r="I73" s="2405">
        <v>2</v>
      </c>
      <c r="J73" s="2405"/>
      <c r="K73" s="2405">
        <v>2</v>
      </c>
      <c r="L73" s="2410"/>
    </row>
    <row r="74" spans="1:12">
      <c r="A74" s="1558">
        <v>6</v>
      </c>
      <c r="B74" s="1548" t="s">
        <v>109</v>
      </c>
      <c r="C74" s="1544"/>
      <c r="D74" s="2405"/>
      <c r="E74" s="2399"/>
      <c r="F74" s="2405"/>
      <c r="G74" s="2399"/>
      <c r="H74" s="1548">
        <v>2</v>
      </c>
      <c r="I74" s="2405">
        <v>1</v>
      </c>
      <c r="J74" s="2405"/>
      <c r="K74" s="2405">
        <v>1</v>
      </c>
      <c r="L74" s="2410"/>
    </row>
    <row r="75" spans="1:12">
      <c r="A75" s="1558">
        <v>7</v>
      </c>
      <c r="B75" s="1548" t="s">
        <v>109</v>
      </c>
      <c r="C75" s="1544"/>
      <c r="D75" s="2405"/>
      <c r="E75" s="2399"/>
      <c r="F75" s="2405"/>
      <c r="G75" s="2399"/>
      <c r="H75" s="1548">
        <v>4</v>
      </c>
      <c r="I75" s="2405">
        <v>38</v>
      </c>
      <c r="J75" s="2405"/>
      <c r="K75" s="2405">
        <v>38</v>
      </c>
      <c r="L75" s="2410"/>
    </row>
    <row r="76" spans="1:12">
      <c r="A76" s="1558">
        <v>8</v>
      </c>
      <c r="B76" s="1548" t="s">
        <v>109</v>
      </c>
      <c r="C76" s="1544"/>
      <c r="D76" s="2405"/>
      <c r="E76" s="2399"/>
      <c r="F76" s="2405"/>
      <c r="G76" s="2399"/>
      <c r="H76" s="1548">
        <v>6</v>
      </c>
      <c r="I76" s="2405">
        <v>8</v>
      </c>
      <c r="J76" s="2405"/>
      <c r="K76" s="2405">
        <v>8</v>
      </c>
      <c r="L76" s="2410"/>
    </row>
    <row r="77" spans="1:12">
      <c r="A77" s="1558">
        <v>9</v>
      </c>
      <c r="B77" s="1548" t="s">
        <v>110</v>
      </c>
      <c r="C77" s="1544"/>
      <c r="D77" s="2405"/>
      <c r="E77" s="2399"/>
      <c r="F77" s="2405"/>
      <c r="G77" s="2399"/>
      <c r="H77" s="1548">
        <v>2</v>
      </c>
      <c r="I77" s="2405">
        <v>1</v>
      </c>
      <c r="J77" s="2405"/>
      <c r="K77" s="2405">
        <v>1</v>
      </c>
      <c r="L77" s="2410"/>
    </row>
    <row r="78" spans="1:12">
      <c r="A78" s="1558">
        <v>10</v>
      </c>
      <c r="B78" s="1548" t="s">
        <v>110</v>
      </c>
      <c r="C78" s="1544"/>
      <c r="D78" s="2405"/>
      <c r="E78" s="2399"/>
      <c r="F78" s="2405"/>
      <c r="G78" s="2399"/>
      <c r="H78" s="1548">
        <v>4</v>
      </c>
      <c r="I78" s="2405">
        <v>6</v>
      </c>
      <c r="J78" s="2405"/>
      <c r="K78" s="2405">
        <v>6</v>
      </c>
      <c r="L78" s="2410"/>
    </row>
    <row r="79" spans="1:12">
      <c r="A79" s="1558">
        <v>11</v>
      </c>
      <c r="B79" s="1548" t="s">
        <v>110</v>
      </c>
      <c r="C79" s="1544"/>
      <c r="D79" s="2405"/>
      <c r="E79" s="2399"/>
      <c r="F79" s="2405"/>
      <c r="G79" s="2399"/>
      <c r="H79" s="1548">
        <v>6</v>
      </c>
      <c r="I79" s="2405">
        <v>8</v>
      </c>
      <c r="J79" s="2405"/>
      <c r="K79" s="2405">
        <f>7+1</f>
        <v>8</v>
      </c>
      <c r="L79" s="2410"/>
    </row>
    <row r="80" spans="1:12">
      <c r="A80" s="1558">
        <v>12</v>
      </c>
      <c r="B80" s="1548" t="s">
        <v>112</v>
      </c>
      <c r="C80" s="1544"/>
      <c r="D80" s="2405"/>
      <c r="E80" s="2399"/>
      <c r="F80" s="2405"/>
      <c r="G80" s="2399"/>
      <c r="H80" s="1548">
        <v>6</v>
      </c>
      <c r="I80" s="2405">
        <v>1</v>
      </c>
      <c r="J80" s="2405"/>
      <c r="K80" s="2405">
        <v>1</v>
      </c>
      <c r="L80" s="2410"/>
    </row>
    <row r="81" spans="1:12">
      <c r="A81" s="1558">
        <v>13</v>
      </c>
      <c r="B81" s="1548" t="s">
        <v>112</v>
      </c>
      <c r="C81" s="1544"/>
      <c r="D81" s="2405"/>
      <c r="E81" s="2399"/>
      <c r="F81" s="2405"/>
      <c r="G81" s="2399"/>
      <c r="H81" s="1548">
        <v>4</v>
      </c>
      <c r="I81" s="2405">
        <v>2</v>
      </c>
      <c r="J81" s="2405"/>
      <c r="K81" s="2405">
        <v>2</v>
      </c>
      <c r="L81" s="2410"/>
    </row>
    <row r="82" spans="1:12">
      <c r="A82" s="1558">
        <v>14</v>
      </c>
      <c r="B82" s="1548" t="s">
        <v>111</v>
      </c>
      <c r="C82" s="1544"/>
      <c r="D82" s="2405"/>
      <c r="E82" s="2399"/>
      <c r="F82" s="2405"/>
      <c r="G82" s="2399"/>
      <c r="H82" s="1548">
        <v>4</v>
      </c>
      <c r="I82" s="2405">
        <v>10</v>
      </c>
      <c r="J82" s="2405"/>
      <c r="K82" s="2405">
        <v>10</v>
      </c>
      <c r="L82" s="2410"/>
    </row>
    <row r="83" spans="1:12">
      <c r="A83" s="1558">
        <v>15</v>
      </c>
      <c r="B83" s="1548" t="s">
        <v>114</v>
      </c>
      <c r="C83" s="1544"/>
      <c r="D83" s="2405"/>
      <c r="E83" s="2399"/>
      <c r="F83" s="2405"/>
      <c r="G83" s="2399"/>
      <c r="H83" s="1548">
        <v>4</v>
      </c>
      <c r="I83" s="2405">
        <v>11</v>
      </c>
      <c r="J83" s="2405"/>
      <c r="K83" s="2405">
        <v>11</v>
      </c>
      <c r="L83" s="2410"/>
    </row>
    <row r="84" spans="1:12">
      <c r="A84" s="1558">
        <v>16</v>
      </c>
      <c r="B84" s="1548" t="s">
        <v>114</v>
      </c>
      <c r="C84" s="1544"/>
      <c r="D84" s="2405"/>
      <c r="E84" s="2399"/>
      <c r="F84" s="2405"/>
      <c r="G84" s="2399"/>
      <c r="H84" s="1548">
        <v>6</v>
      </c>
      <c r="I84" s="2405">
        <v>1</v>
      </c>
      <c r="J84" s="2405"/>
      <c r="K84" s="2405">
        <v>1</v>
      </c>
      <c r="L84" s="2410"/>
    </row>
    <row r="85" spans="1:12">
      <c r="A85" s="1558">
        <v>17</v>
      </c>
      <c r="B85" s="1548" t="s">
        <v>114</v>
      </c>
      <c r="C85" s="1544"/>
      <c r="D85" s="2405"/>
      <c r="E85" s="2399"/>
      <c r="F85" s="2405"/>
      <c r="G85" s="2399"/>
      <c r="H85" s="1548">
        <v>8</v>
      </c>
      <c r="I85" s="2405">
        <v>1</v>
      </c>
      <c r="J85" s="2405"/>
      <c r="K85" s="2405">
        <v>1</v>
      </c>
      <c r="L85" s="2410"/>
    </row>
    <row r="86" spans="1:12">
      <c r="A86" s="1558">
        <f t="shared" ref="A86:A109" si="0">A85+1</f>
        <v>18</v>
      </c>
      <c r="B86" s="1548" t="s">
        <v>115</v>
      </c>
      <c r="C86" s="1544"/>
      <c r="D86" s="2405"/>
      <c r="E86" s="2399"/>
      <c r="F86" s="2405"/>
      <c r="G86" s="2399"/>
      <c r="H86" s="1548">
        <v>6</v>
      </c>
      <c r="I86" s="2405">
        <v>11</v>
      </c>
      <c r="J86" s="2405"/>
      <c r="K86" s="2405">
        <v>11</v>
      </c>
      <c r="L86" s="2410"/>
    </row>
    <row r="87" spans="1:12">
      <c r="A87" s="1558">
        <f t="shared" si="0"/>
        <v>19</v>
      </c>
      <c r="B87" s="1548" t="s">
        <v>115</v>
      </c>
      <c r="C87" s="1544"/>
      <c r="D87" s="2405"/>
      <c r="E87" s="2399"/>
      <c r="F87" s="2405"/>
      <c r="G87" s="2399"/>
      <c r="H87" s="1548">
        <v>8</v>
      </c>
      <c r="I87" s="2405">
        <v>2</v>
      </c>
      <c r="J87" s="2405"/>
      <c r="K87" s="2405">
        <v>2</v>
      </c>
      <c r="L87" s="2410"/>
    </row>
    <row r="88" spans="1:12">
      <c r="A88" s="1558">
        <f t="shared" si="0"/>
        <v>20</v>
      </c>
      <c r="B88" s="1548" t="s">
        <v>115</v>
      </c>
      <c r="C88" s="1544"/>
      <c r="D88" s="2405"/>
      <c r="E88" s="2399"/>
      <c r="F88" s="2405"/>
      <c r="G88" s="2399"/>
      <c r="H88" s="2418" t="s">
        <v>124</v>
      </c>
      <c r="I88" s="2405">
        <v>1</v>
      </c>
      <c r="J88" s="2405"/>
      <c r="K88" s="2405">
        <v>1</v>
      </c>
      <c r="L88" s="2410"/>
    </row>
    <row r="89" spans="1:12">
      <c r="A89" s="1558">
        <f t="shared" si="0"/>
        <v>21</v>
      </c>
      <c r="B89" s="1548" t="s">
        <v>115</v>
      </c>
      <c r="C89" s="1544"/>
      <c r="D89" s="2405"/>
      <c r="E89" s="2399"/>
      <c r="F89" s="2405"/>
      <c r="G89" s="2399"/>
      <c r="H89" s="1548">
        <v>4</v>
      </c>
      <c r="I89" s="2405">
        <v>4</v>
      </c>
      <c r="J89" s="2405"/>
      <c r="K89" s="2405">
        <v>4</v>
      </c>
      <c r="L89" s="2410"/>
    </row>
    <row r="90" spans="1:12">
      <c r="A90" s="1558">
        <f t="shared" si="0"/>
        <v>22</v>
      </c>
      <c r="B90" s="1548" t="s">
        <v>116</v>
      </c>
      <c r="C90" s="1544"/>
      <c r="D90" s="2405"/>
      <c r="E90" s="2399"/>
      <c r="F90" s="2405"/>
      <c r="G90" s="2399"/>
      <c r="H90" s="1548">
        <v>2</v>
      </c>
      <c r="I90" s="2405">
        <v>3</v>
      </c>
      <c r="J90" s="2405"/>
      <c r="K90" s="2405">
        <v>3</v>
      </c>
      <c r="L90" s="2410"/>
    </row>
    <row r="91" spans="1:12">
      <c r="A91" s="1558">
        <f t="shared" si="0"/>
        <v>23</v>
      </c>
      <c r="B91" s="1548" t="s">
        <v>116</v>
      </c>
      <c r="C91" s="1544"/>
      <c r="D91" s="2405"/>
      <c r="E91" s="2399"/>
      <c r="F91" s="2405"/>
      <c r="G91" s="2399"/>
      <c r="H91" s="1548">
        <v>4</v>
      </c>
      <c r="I91" s="2405">
        <v>53</v>
      </c>
      <c r="J91" s="2405"/>
      <c r="K91" s="2405">
        <v>53</v>
      </c>
      <c r="L91" s="2410"/>
    </row>
    <row r="92" spans="1:12">
      <c r="A92" s="1558">
        <f t="shared" si="0"/>
        <v>24</v>
      </c>
      <c r="B92" s="1548" t="s">
        <v>116</v>
      </c>
      <c r="C92" s="1544"/>
      <c r="D92" s="2405"/>
      <c r="E92" s="2399"/>
      <c r="F92" s="2405"/>
      <c r="G92" s="2399"/>
      <c r="H92" s="1548">
        <v>6</v>
      </c>
      <c r="I92" s="2405">
        <v>35</v>
      </c>
      <c r="J92" s="2405"/>
      <c r="K92" s="2405">
        <v>35</v>
      </c>
      <c r="L92" s="2410"/>
    </row>
    <row r="93" spans="1:12">
      <c r="A93" s="1558">
        <f t="shared" si="0"/>
        <v>25</v>
      </c>
      <c r="B93" s="1548" t="s">
        <v>116</v>
      </c>
      <c r="C93" s="1544"/>
      <c r="D93" s="2405"/>
      <c r="E93" s="2399"/>
      <c r="F93" s="2405"/>
      <c r="G93" s="2399"/>
      <c r="H93" s="1548">
        <v>8</v>
      </c>
      <c r="I93" s="2405">
        <v>3</v>
      </c>
      <c r="J93" s="2405"/>
      <c r="K93" s="2405">
        <v>3</v>
      </c>
      <c r="L93" s="2410"/>
    </row>
    <row r="94" spans="1:12">
      <c r="A94" s="1558">
        <f t="shared" si="0"/>
        <v>26</v>
      </c>
      <c r="B94" s="1548" t="s">
        <v>117</v>
      </c>
      <c r="C94" s="1544"/>
      <c r="D94" s="2405"/>
      <c r="E94" s="2399"/>
      <c r="F94" s="2405"/>
      <c r="G94" s="2399"/>
      <c r="H94" s="1548">
        <v>4</v>
      </c>
      <c r="I94" s="2405">
        <v>4</v>
      </c>
      <c r="J94" s="2405"/>
      <c r="K94" s="2405">
        <v>4</v>
      </c>
      <c r="L94" s="2410"/>
    </row>
    <row r="95" spans="1:12">
      <c r="A95" s="1558">
        <f t="shared" si="0"/>
        <v>27</v>
      </c>
      <c r="B95" s="1548" t="s">
        <v>117</v>
      </c>
      <c r="C95" s="1544"/>
      <c r="D95" s="2405"/>
      <c r="E95" s="2399"/>
      <c r="F95" s="2405"/>
      <c r="G95" s="2399"/>
      <c r="H95" s="1548">
        <v>6</v>
      </c>
      <c r="I95" s="2405">
        <v>1</v>
      </c>
      <c r="J95" s="2405"/>
      <c r="K95" s="2405">
        <v>1</v>
      </c>
      <c r="L95" s="2410"/>
    </row>
    <row r="96" spans="1:12">
      <c r="A96" s="1558">
        <f t="shared" si="0"/>
        <v>28</v>
      </c>
      <c r="B96" s="1548" t="s">
        <v>117</v>
      </c>
      <c r="C96" s="1544"/>
      <c r="D96" s="2405"/>
      <c r="E96" s="2399"/>
      <c r="F96" s="2405"/>
      <c r="G96" s="2399"/>
      <c r="H96" s="1548">
        <v>2</v>
      </c>
      <c r="I96" s="2405">
        <v>1</v>
      </c>
      <c r="J96" s="2405"/>
      <c r="K96" s="2405">
        <v>1</v>
      </c>
      <c r="L96" s="2410"/>
    </row>
    <row r="97" spans="1:12">
      <c r="A97" s="1558">
        <f t="shared" si="0"/>
        <v>29</v>
      </c>
      <c r="B97" s="1548" t="s">
        <v>118</v>
      </c>
      <c r="C97" s="1544"/>
      <c r="D97" s="2405"/>
      <c r="E97" s="2399"/>
      <c r="F97" s="2405"/>
      <c r="G97" s="2399"/>
      <c r="H97" s="1548">
        <v>2</v>
      </c>
      <c r="I97" s="2405">
        <v>3</v>
      </c>
      <c r="J97" s="2405"/>
      <c r="K97" s="2405">
        <v>3</v>
      </c>
      <c r="L97" s="2410"/>
    </row>
    <row r="98" spans="1:12">
      <c r="A98" s="1558">
        <f t="shared" si="0"/>
        <v>30</v>
      </c>
      <c r="B98" s="1548" t="s">
        <v>118</v>
      </c>
      <c r="C98" s="1544"/>
      <c r="D98" s="2405"/>
      <c r="E98" s="2399"/>
      <c r="F98" s="2405"/>
      <c r="G98" s="2399"/>
      <c r="H98" s="1548">
        <v>4</v>
      </c>
      <c r="I98" s="2405">
        <v>49</v>
      </c>
      <c r="J98" s="2405"/>
      <c r="K98" s="2405">
        <v>49</v>
      </c>
      <c r="L98" s="2410"/>
    </row>
    <row r="99" spans="1:12">
      <c r="A99" s="1558">
        <f t="shared" si="0"/>
        <v>31</v>
      </c>
      <c r="B99" s="1548" t="s">
        <v>118</v>
      </c>
      <c r="C99" s="1544"/>
      <c r="D99" s="2405"/>
      <c r="E99" s="2399"/>
      <c r="F99" s="2405"/>
      <c r="G99" s="2399"/>
      <c r="H99" s="1548">
        <v>6</v>
      </c>
      <c r="I99" s="2405">
        <v>30</v>
      </c>
      <c r="J99" s="2405"/>
      <c r="K99" s="2405">
        <v>30</v>
      </c>
      <c r="L99" s="2410"/>
    </row>
    <row r="100" spans="1:12">
      <c r="A100" s="1558">
        <f t="shared" si="0"/>
        <v>32</v>
      </c>
      <c r="B100" s="1548" t="s">
        <v>118</v>
      </c>
      <c r="C100" s="1544"/>
      <c r="D100" s="2405"/>
      <c r="E100" s="2399"/>
      <c r="F100" s="2405"/>
      <c r="G100" s="2399"/>
      <c r="H100" s="1548">
        <v>8</v>
      </c>
      <c r="I100" s="2405">
        <v>14</v>
      </c>
      <c r="J100" s="2405"/>
      <c r="K100" s="2405">
        <v>14</v>
      </c>
      <c r="L100" s="2410"/>
    </row>
    <row r="101" spans="1:12">
      <c r="A101" s="1558">
        <f t="shared" si="0"/>
        <v>33</v>
      </c>
      <c r="B101" s="1548" t="s">
        <v>119</v>
      </c>
      <c r="C101" s="1544"/>
      <c r="D101" s="2405"/>
      <c r="E101" s="2399"/>
      <c r="F101" s="2405"/>
      <c r="G101" s="2399"/>
      <c r="H101" s="1548">
        <v>2</v>
      </c>
      <c r="I101" s="2405">
        <v>1</v>
      </c>
      <c r="J101" s="2405"/>
      <c r="K101" s="2405">
        <v>1</v>
      </c>
      <c r="L101" s="2410"/>
    </row>
    <row r="102" spans="1:12">
      <c r="A102" s="1558">
        <f t="shared" si="0"/>
        <v>34</v>
      </c>
      <c r="B102" s="1548" t="s">
        <v>119</v>
      </c>
      <c r="C102" s="1544"/>
      <c r="D102" s="2405"/>
      <c r="E102" s="2399"/>
      <c r="F102" s="2405"/>
      <c r="G102" s="2399"/>
      <c r="H102" s="1548">
        <v>4</v>
      </c>
      <c r="I102" s="1568">
        <v>1</v>
      </c>
      <c r="J102" s="1568"/>
      <c r="K102" s="1568">
        <v>1</v>
      </c>
      <c r="L102" s="2410"/>
    </row>
    <row r="103" spans="1:12">
      <c r="A103" s="1558">
        <f t="shared" si="0"/>
        <v>35</v>
      </c>
      <c r="B103" s="1548" t="s">
        <v>1018</v>
      </c>
      <c r="C103" s="1544"/>
      <c r="D103" s="2405"/>
      <c r="E103" s="2399"/>
      <c r="F103" s="2405"/>
      <c r="G103" s="2399"/>
      <c r="H103" s="2418" t="s">
        <v>125</v>
      </c>
      <c r="I103" s="1568">
        <v>4</v>
      </c>
      <c r="J103" s="1568"/>
      <c r="K103" s="1568">
        <v>4</v>
      </c>
      <c r="L103" s="2410"/>
    </row>
    <row r="104" spans="1:12">
      <c r="A104" s="1558">
        <f t="shared" si="0"/>
        <v>36</v>
      </c>
      <c r="B104" s="1548" t="s">
        <v>1018</v>
      </c>
      <c r="C104" s="1544"/>
      <c r="D104" s="2405"/>
      <c r="E104" s="2399"/>
      <c r="F104" s="2405"/>
      <c r="G104" s="2399"/>
      <c r="H104" s="1548">
        <v>1.25</v>
      </c>
      <c r="I104" s="1568">
        <v>2</v>
      </c>
      <c r="J104" s="1568"/>
      <c r="K104" s="1568">
        <v>2</v>
      </c>
      <c r="L104" s="2410"/>
    </row>
    <row r="105" spans="1:12">
      <c r="A105" s="1558">
        <f t="shared" si="0"/>
        <v>37</v>
      </c>
      <c r="B105" s="1548" t="s">
        <v>1018</v>
      </c>
      <c r="C105" s="1544"/>
      <c r="D105" s="2405"/>
      <c r="E105" s="2399"/>
      <c r="F105" s="2405"/>
      <c r="G105" s="2399"/>
      <c r="H105" s="1548">
        <v>2</v>
      </c>
      <c r="I105" s="1568">
        <v>19</v>
      </c>
      <c r="J105" s="1568"/>
      <c r="K105" s="1568">
        <v>19</v>
      </c>
      <c r="L105" s="2410"/>
    </row>
    <row r="106" spans="1:12">
      <c r="A106" s="1558">
        <f t="shared" si="0"/>
        <v>38</v>
      </c>
      <c r="B106" s="1548" t="s">
        <v>1018</v>
      </c>
      <c r="C106" s="1544"/>
      <c r="D106" s="2405"/>
      <c r="E106" s="2399"/>
      <c r="F106" s="2405"/>
      <c r="G106" s="2399"/>
      <c r="H106" s="1548">
        <v>4</v>
      </c>
      <c r="I106" s="1568">
        <v>128</v>
      </c>
      <c r="J106" s="1568"/>
      <c r="K106" s="1568">
        <v>128</v>
      </c>
      <c r="L106" s="2410"/>
    </row>
    <row r="107" spans="1:12">
      <c r="A107" s="1558">
        <f t="shared" si="0"/>
        <v>39</v>
      </c>
      <c r="B107" s="1548" t="s">
        <v>1018</v>
      </c>
      <c r="C107" s="1544"/>
      <c r="D107" s="2405"/>
      <c r="E107" s="2399"/>
      <c r="F107" s="2405"/>
      <c r="G107" s="2399"/>
      <c r="H107" s="1548">
        <v>6</v>
      </c>
      <c r="I107" s="1568">
        <v>153</v>
      </c>
      <c r="J107" s="1568"/>
      <c r="K107" s="1568">
        <v>153</v>
      </c>
      <c r="L107" s="2410"/>
    </row>
    <row r="108" spans="1:12">
      <c r="A108" s="1558">
        <f t="shared" si="0"/>
        <v>40</v>
      </c>
      <c r="B108" s="1548" t="s">
        <v>1018</v>
      </c>
      <c r="C108" s="1544"/>
      <c r="D108" s="2405"/>
      <c r="E108" s="2399"/>
      <c r="F108" s="2405"/>
      <c r="G108" s="2399"/>
      <c r="H108" s="1548">
        <v>8</v>
      </c>
      <c r="I108" s="1742">
        <v>49</v>
      </c>
      <c r="J108" s="1742"/>
      <c r="K108" s="1742">
        <v>49</v>
      </c>
      <c r="L108" s="2410"/>
    </row>
    <row r="109" spans="1:12" ht="15.75" thickBot="1">
      <c r="A109" s="1570">
        <f t="shared" si="0"/>
        <v>41</v>
      </c>
      <c r="B109" s="1571"/>
      <c r="C109" s="2411"/>
      <c r="D109" s="2412"/>
      <c r="E109" s="2413"/>
      <c r="F109" s="2412"/>
      <c r="G109" s="2413"/>
      <c r="H109" s="2414" t="s">
        <v>1050</v>
      </c>
      <c r="I109" s="2420">
        <f>SUM(I70:I108)</f>
        <v>664</v>
      </c>
      <c r="J109" s="2420"/>
      <c r="K109" s="2420">
        <f>SUM(K70:K108)</f>
        <v>664</v>
      </c>
      <c r="L109" s="2421"/>
    </row>
    <row r="110" spans="1:12">
      <c r="K110" s="1477" t="s">
        <v>4066</v>
      </c>
    </row>
    <row r="111" spans="1:12">
      <c r="A111" s="1541" t="s">
        <v>126</v>
      </c>
      <c r="B111" s="1541"/>
      <c r="C111" s="1541"/>
      <c r="D111" s="1541"/>
      <c r="E111" s="1541"/>
      <c r="F111" s="1541"/>
      <c r="G111" s="1541"/>
      <c r="H111" s="1541"/>
      <c r="I111" s="1541"/>
      <c r="J111" s="1541"/>
      <c r="K111" s="1541"/>
      <c r="L111" s="1541"/>
    </row>
    <row r="113" spans="1:2">
      <c r="A113" s="2422" t="s">
        <v>2785</v>
      </c>
      <c r="B113" s="2422"/>
    </row>
  </sheetData>
  <customSheetViews>
    <customSheetView guid="{1BA452AD-1A45-4D9C-9666-ADFFA6F2F567}" scale="87" colorId="22" showPageBreaks="1" printArea="1" view="pageBreakPreview">
      <selection activeCell="P19" sqref="P19"/>
      <rowBreaks count="1" manualBreakCount="1">
        <brk id="52" max="16383" man="1"/>
      </rowBreaks>
      <pageMargins left="0.4" right="0.4" top="0.8" bottom="0.3" header="0.5" footer="0.5"/>
      <printOptions horizontalCentered="1" verticalCentered="1"/>
      <pageSetup scale="60" fitToWidth="2" orientation="landscape" r:id="rId1"/>
      <headerFooter alignWithMargins="0"/>
    </customSheetView>
    <customSheetView guid="{EEF7ABD6-0F96-4791-B749-C06F707E7673}" scale="87" colorId="22" showPageBreaks="1" view="pageBreakPreview" showRuler="0" topLeftCell="A16">
      <selection activeCell="E93" sqref="E93"/>
      <rowBreaks count="1" manualBreakCount="1">
        <brk id="52" max="16383" man="1"/>
      </rowBreaks>
      <pageMargins left="0.4" right="0.4" top="0.8" bottom="0.3" header="0.5" footer="0.5"/>
      <printOptions horizontalCentered="1" verticalCentered="1"/>
      <pageSetup scale="60" fitToWidth="2" orientation="landscape" r:id="rId2"/>
      <headerFooter alignWithMargins="0"/>
    </customSheetView>
    <customSheetView guid="{A7D7DB3C-AFE6-468E-8C6B-9531F6711497}" scale="87" colorId="22" showRuler="0">
      <selection activeCell="E81" sqref="E81"/>
      <rowBreaks count="1" manualBreakCount="1">
        <brk id="52" max="16383" man="1"/>
      </rowBreaks>
      <pageMargins left="0.4" right="0.4" top="0.8" bottom="0.3" header="0.5" footer="0.5"/>
      <printOptions horizontalCentered="1" verticalCentered="1"/>
      <pageSetup scale="60" fitToWidth="2" orientation="landscape" r:id="rId3"/>
      <headerFooter alignWithMargins="0"/>
    </customSheetView>
    <customSheetView guid="{4436FEB5-BFEC-4348-9286-CB706802873E}" scale="87" colorId="22" showRuler="0">
      <selection activeCell="H5" sqref="H5"/>
      <rowBreaks count="1" manualBreakCount="1">
        <brk id="52" max="16383" man="1"/>
      </rowBreaks>
      <pageMargins left="0.4" right="0.4" top="0.8" bottom="0.3" header="0.5" footer="0.5"/>
      <printOptions horizontalCentered="1" verticalCentered="1"/>
      <pageSetup scale="60" fitToWidth="2" orientation="landscape" r:id="rId4"/>
      <headerFooter alignWithMargins="0"/>
    </customSheetView>
    <customSheetView guid="{044CF00C-469F-44B3-B2C4-9B4049CE70CB}" scale="87" colorId="22" showRuler="0" topLeftCell="C28">
      <selection activeCell="M106" sqref="M106"/>
      <rowBreaks count="1" manualBreakCount="1">
        <brk id="52" max="16383" man="1"/>
      </rowBreaks>
      <pageMargins left="0.4" right="0.4" top="0.8" bottom="0.3" header="0.5" footer="0.5"/>
      <printOptions horizontalCentered="1" verticalCentered="1"/>
      <pageSetup scale="60" fitToWidth="2" orientation="landscape" r:id="rId5"/>
      <headerFooter alignWithMargins="0"/>
    </customSheetView>
    <customSheetView guid="{4826FCC0-BDD6-4B2C-ACC6-ACE271DDF0E3}" scale="87" colorId="22" showPageBreaks="1" view="pageBreakPreview" showRuler="0" topLeftCell="A16">
      <selection activeCell="E93" sqref="E93"/>
      <rowBreaks count="1" manualBreakCount="1">
        <brk id="52" max="16383" man="1"/>
      </rowBreaks>
      <pageMargins left="0.4" right="0.4" top="0.8" bottom="0.3" header="0.5" footer="0.5"/>
      <printOptions horizontalCentered="1" verticalCentered="1"/>
      <pageSetup scale="60" fitToWidth="2" orientation="landscape" r:id="rId6"/>
      <headerFooter alignWithMargins="0"/>
    </customSheetView>
    <customSheetView guid="{EF376D10-23D6-4FE2-AB5B-4460D52CC93F}" scale="87" colorId="22" showPageBreaks="1" view="pageBreakPreview" showRuler="0" topLeftCell="A16">
      <selection activeCell="E93" sqref="E93"/>
      <rowBreaks count="1" manualBreakCount="1">
        <brk id="52" max="16383" man="1"/>
      </rowBreaks>
      <pageMargins left="0.4" right="0.4" top="0.8" bottom="0.3" header="0.5" footer="0.5"/>
      <printOptions horizontalCentered="1" verticalCentered="1"/>
      <pageSetup scale="60" fitToWidth="2" orientation="landscape" r:id="rId7"/>
      <headerFooter alignWithMargins="0"/>
    </customSheetView>
    <customSheetView guid="{1C046605-15CE-44F1-BFCD-2CA8588E7ACF}" scale="87" colorId="22" showPageBreaks="1" view="pageBreakPreview" showRuler="0">
      <selection activeCell="C101" sqref="C101"/>
      <rowBreaks count="1" manualBreakCount="1">
        <brk id="52" max="16383" man="1"/>
      </rowBreaks>
      <pageMargins left="0.4" right="0.4" top="0.8" bottom="0.3" header="0.5" footer="0.5"/>
      <printOptions horizontalCentered="1" verticalCentered="1"/>
      <pageSetup scale="60" fitToWidth="2" orientation="landscape" r:id="rId8"/>
      <headerFooter alignWithMargins="0"/>
    </customSheetView>
    <customSheetView guid="{3911D713-188C-46A1-A299-F21DD3B7A146}" scale="87" colorId="22" showPageBreaks="1" view="pageBreakPreview" showRuler="0">
      <selection activeCell="C101" sqref="C101"/>
      <rowBreaks count="1" manualBreakCount="1">
        <brk id="52" max="16383" man="1"/>
      </rowBreaks>
      <pageMargins left="0.4" right="0.4" top="0.8" bottom="0.3" header="0.5" footer="0.5"/>
      <printOptions horizontalCentered="1" verticalCentered="1"/>
      <pageSetup scale="60" fitToWidth="2" orientation="landscape" r:id="rId9"/>
      <headerFooter alignWithMargins="0"/>
    </customSheetView>
    <customSheetView guid="{78BB1E60-60BE-4F56-9763-075185EFEFAB}" scale="87" colorId="22" showPageBreaks="1" printArea="1" view="pageBreakPreview">
      <selection activeCell="P19" sqref="P19"/>
      <rowBreaks count="1" manualBreakCount="1">
        <brk id="52" max="16383" man="1"/>
      </rowBreaks>
      <pageMargins left="0.4" right="0.4" top="0.8" bottom="0.3" header="0.5" footer="0.5"/>
      <printOptions horizontalCentered="1" verticalCentered="1"/>
      <pageSetup scale="60" fitToWidth="2" orientation="landscape" r:id="rId10"/>
      <headerFooter alignWithMargins="0"/>
    </customSheetView>
    <customSheetView guid="{9C30803E-1E2D-4850-B0A5-591CA6F246A1}" scale="87" colorId="22" showPageBreaks="1" printArea="1" view="pageBreakPreview">
      <selection activeCell="P19" sqref="P19"/>
      <rowBreaks count="1" manualBreakCount="1">
        <brk id="52" max="16383" man="1"/>
      </rowBreaks>
      <pageMargins left="0.4" right="0.4" top="0.8" bottom="0.3" header="0.5" footer="0.5"/>
      <printOptions horizontalCentered="1" verticalCentered="1"/>
      <pageSetup scale="60" fitToWidth="2" orientation="landscape" r:id="rId11"/>
      <headerFooter alignWithMargins="0"/>
    </customSheetView>
    <customSheetView guid="{3B1006FF-A2CA-49E7-9B25-DAC8815279AF}" scale="87" colorId="22" showPageBreaks="1" printArea="1" view="pageBreakPreview">
      <selection activeCell="P19" sqref="P19"/>
      <rowBreaks count="1" manualBreakCount="1">
        <brk id="52" max="16383" man="1"/>
      </rowBreaks>
      <pageMargins left="0.4" right="0.4" top="0.8" bottom="0.3" header="0.5" footer="0.5"/>
      <printOptions horizontalCentered="1" verticalCentered="1"/>
      <pageSetup scale="60" fitToWidth="2" orientation="landscape" r:id="rId12"/>
      <headerFooter alignWithMargins="0"/>
    </customSheetView>
    <customSheetView guid="{FB1A60C8-E1F9-4DF0-8E0E-1C965F86027F}" scale="87" colorId="22" showPageBreaks="1" printArea="1" view="pageBreakPreview">
      <selection activeCell="P19" sqref="P19"/>
      <rowBreaks count="1" manualBreakCount="1">
        <brk id="52" max="16383" man="1"/>
      </rowBreaks>
      <pageMargins left="0.4" right="0.4" top="0.8" bottom="0.3" header="0.5" footer="0.5"/>
      <printOptions horizontalCentered="1" verticalCentered="1"/>
      <pageSetup scale="60" fitToWidth="2" orientation="landscape" r:id="rId13"/>
      <headerFooter alignWithMargins="0"/>
    </customSheetView>
    <customSheetView guid="{C5B6D812-CBE6-46AA-99F7-02494E9802B4}" scale="87" colorId="22" topLeftCell="A64">
      <selection activeCell="K70" sqref="K70"/>
      <rowBreaks count="1" manualBreakCount="1">
        <brk id="52" max="16383" man="1"/>
      </rowBreaks>
      <pageMargins left="0.4" right="0.4" top="0.8" bottom="0.3" header="0.5" footer="0.5"/>
      <printOptions horizontalCentered="1" verticalCentered="1"/>
      <pageSetup scale="60" fitToWidth="2" orientation="landscape" r:id="rId14"/>
      <headerFooter alignWithMargins="0"/>
    </customSheetView>
  </customSheetViews>
  <phoneticPr fontId="0" type="noConversion"/>
  <printOptions horizontalCentered="1" verticalCentered="1"/>
  <pageMargins left="0.4" right="0.4" top="0.8" bottom="0.3" header="0.5" footer="0.5"/>
  <pageSetup scale="60" fitToWidth="2" orientation="landscape" r:id="rId15"/>
  <headerFooter alignWithMargins="0"/>
  <rowBreaks count="1" manualBreakCount="1">
    <brk id="52" max="16383" man="1"/>
  </rowBreaks>
  <customProperties>
    <customPr name="_pios_id" r:id="rId16"/>
  </customProperties>
</worksheet>
</file>

<file path=xl/worksheets/sheet83.xml><?xml version="1.0" encoding="utf-8"?>
<worksheet xmlns="http://schemas.openxmlformats.org/spreadsheetml/2006/main" xmlns:r="http://schemas.openxmlformats.org/officeDocument/2006/relationships">
  <sheetPr transitionEvaluation="1" enableFormatConditionsCalculation="0"/>
  <dimension ref="A1:E441"/>
  <sheetViews>
    <sheetView defaultGridColor="0" view="pageBreakPreview" colorId="22" zoomScale="70" zoomScaleNormal="87" zoomScaleSheetLayoutView="70" workbookViewId="0"/>
  </sheetViews>
  <sheetFormatPr defaultColWidth="9.77734375" defaultRowHeight="15"/>
  <cols>
    <col min="1" max="1" width="45.77734375" customWidth="1"/>
    <col min="2" max="2" width="30.77734375" customWidth="1"/>
    <col min="3" max="3" width="18" bestFit="1" customWidth="1"/>
  </cols>
  <sheetData>
    <row r="1" spans="1:3" ht="15.75">
      <c r="A1" s="94" t="s">
        <v>1097</v>
      </c>
      <c r="B1" s="94"/>
      <c r="C1" s="94"/>
    </row>
    <row r="2" spans="1:3" ht="15.75">
      <c r="A2" s="94"/>
      <c r="B2" s="94"/>
      <c r="C2" s="94"/>
    </row>
    <row r="3" spans="1:3" ht="15.75">
      <c r="A3" s="94" t="s">
        <v>2164</v>
      </c>
      <c r="B3" s="131"/>
      <c r="C3" s="94"/>
    </row>
    <row r="4" spans="1:3" ht="15.75">
      <c r="A4" s="94" t="s">
        <v>127</v>
      </c>
      <c r="B4" s="131"/>
      <c r="C4" s="94"/>
    </row>
    <row r="5" spans="1:3" ht="15.75">
      <c r="A5" s="94" t="s">
        <v>128</v>
      </c>
      <c r="B5" s="131"/>
      <c r="C5" s="94"/>
    </row>
    <row r="6" spans="1:3" ht="15.75">
      <c r="A6" s="484"/>
      <c r="B6" s="11"/>
      <c r="C6" s="484"/>
    </row>
    <row r="7" spans="1:3" ht="20.25">
      <c r="A7" s="1995" t="e">
        <f>#REF!</f>
        <v>#REF!</v>
      </c>
      <c r="B7" s="131"/>
      <c r="C7" s="94"/>
    </row>
    <row r="8" spans="1:3">
      <c r="A8" s="11"/>
      <c r="B8" s="1996"/>
      <c r="C8" s="1996"/>
    </row>
    <row r="9" spans="1:3" ht="18">
      <c r="A9" s="1387" t="s">
        <v>129</v>
      </c>
      <c r="B9" s="1997"/>
      <c r="C9" s="1997"/>
    </row>
    <row r="10" spans="1:3" ht="15.75">
      <c r="A10" s="1998"/>
      <c r="B10" s="1996"/>
      <c r="C10" s="1996"/>
    </row>
    <row r="12" spans="1:3" ht="15.75">
      <c r="A12" s="1999"/>
      <c r="B12" s="2000" t="s">
        <v>130</v>
      </c>
    </row>
    <row r="13" spans="1:3" ht="15.75">
      <c r="A13" s="11"/>
      <c r="B13" s="2000" t="s">
        <v>131</v>
      </c>
      <c r="C13" s="1999"/>
    </row>
    <row r="14" spans="1:3" ht="15.75">
      <c r="A14" s="11"/>
      <c r="B14" s="2000"/>
      <c r="C14" s="2014" t="str">
        <f>'Data sheet'!$D$35</f>
        <v>December 31, 2013</v>
      </c>
    </row>
    <row r="15" spans="1:3" ht="15.75">
      <c r="A15" s="2000" t="s">
        <v>2425</v>
      </c>
      <c r="B15" s="1999"/>
    </row>
    <row r="16" spans="1:3">
      <c r="A16" s="11" t="s">
        <v>132</v>
      </c>
      <c r="B16" s="11" t="s">
        <v>133</v>
      </c>
      <c r="C16" s="149">
        <f>'114115'!F11</f>
        <v>171719875.60956475</v>
      </c>
    </row>
    <row r="17" spans="1:3">
      <c r="A17" s="11"/>
      <c r="B17" s="11"/>
      <c r="C17" s="158"/>
    </row>
    <row r="18" spans="1:3" ht="15.75">
      <c r="A18" s="2000" t="s">
        <v>2923</v>
      </c>
      <c r="B18" s="11"/>
      <c r="C18" s="158"/>
    </row>
    <row r="19" spans="1:3">
      <c r="A19" s="11" t="s">
        <v>3232</v>
      </c>
      <c r="B19" s="11" t="s">
        <v>200</v>
      </c>
      <c r="C19" s="158">
        <f>'114115'!F13-'114115'!F14</f>
        <v>63368.44</v>
      </c>
    </row>
    <row r="20" spans="1:3">
      <c r="A20" s="11" t="s">
        <v>2603</v>
      </c>
      <c r="B20" s="11" t="s">
        <v>2604</v>
      </c>
      <c r="C20" s="158">
        <f>SUM('114115'!F15:F17)</f>
        <v>0</v>
      </c>
    </row>
    <row r="21" spans="1:3">
      <c r="A21" s="11" t="s">
        <v>47</v>
      </c>
      <c r="B21" s="11" t="s">
        <v>48</v>
      </c>
      <c r="C21" s="158">
        <f>SUM('114115'!F18:F20)</f>
        <v>0</v>
      </c>
    </row>
    <row r="22" spans="1:3">
      <c r="A22" s="11" t="s">
        <v>49</v>
      </c>
      <c r="B22" s="11" t="s">
        <v>50</v>
      </c>
      <c r="C22" s="158">
        <f>SUM(C19:C21)</f>
        <v>63368.44</v>
      </c>
    </row>
    <row r="23" spans="1:3">
      <c r="A23" s="11"/>
      <c r="B23" s="11"/>
      <c r="C23" s="158"/>
    </row>
    <row r="24" spans="1:3" ht="15.75">
      <c r="A24" s="2000" t="s">
        <v>1047</v>
      </c>
      <c r="B24" s="11"/>
      <c r="C24" s="158"/>
    </row>
    <row r="25" spans="1:3">
      <c r="A25" s="11" t="s">
        <v>51</v>
      </c>
      <c r="B25" s="11" t="s">
        <v>52</v>
      </c>
      <c r="C25" s="158">
        <f>SUM('114115'!F23:F28)</f>
        <v>141426.38131266568</v>
      </c>
    </row>
    <row r="26" spans="1:3">
      <c r="A26" s="11" t="s">
        <v>53</v>
      </c>
      <c r="B26" s="11" t="s">
        <v>54</v>
      </c>
      <c r="C26" s="158">
        <f>SUM('114115'!F29:F31)-'114115'!F32</f>
        <v>3990184.745778834</v>
      </c>
    </row>
    <row r="27" spans="1:3">
      <c r="A27" s="11" t="s">
        <v>2073</v>
      </c>
      <c r="B27" s="11" t="s">
        <v>3425</v>
      </c>
      <c r="C27" s="158">
        <f>SUM('114115'!F33:F34)</f>
        <v>139668.34699511612</v>
      </c>
    </row>
    <row r="28" spans="1:3">
      <c r="A28" s="11" t="s">
        <v>3426</v>
      </c>
      <c r="B28" s="11" t="s">
        <v>2835</v>
      </c>
      <c r="C28" s="158">
        <f>'114115'!F35</f>
        <v>466070.59</v>
      </c>
    </row>
    <row r="29" spans="1:3">
      <c r="A29" s="11" t="s">
        <v>2078</v>
      </c>
      <c r="B29" s="11" t="s">
        <v>2836</v>
      </c>
      <c r="C29" s="158">
        <f>'114115'!F36</f>
        <v>1108248.33</v>
      </c>
    </row>
    <row r="30" spans="1:3">
      <c r="A30" s="11" t="s">
        <v>2837</v>
      </c>
      <c r="B30" s="11" t="s">
        <v>2838</v>
      </c>
      <c r="C30" s="158">
        <f>'114115'!F39</f>
        <v>2528532.1100001335</v>
      </c>
    </row>
    <row r="31" spans="1:3">
      <c r="A31" s="11" t="s">
        <v>2839</v>
      </c>
      <c r="B31" s="11" t="s">
        <v>1585</v>
      </c>
      <c r="C31" s="158">
        <f>SUM('114115'!F37,'114115'!F38,'114115'!F40)</f>
        <v>134384.95278187466</v>
      </c>
    </row>
    <row r="32" spans="1:3">
      <c r="A32" s="11" t="s">
        <v>2337</v>
      </c>
      <c r="B32" s="11" t="s">
        <v>50</v>
      </c>
      <c r="C32" s="158">
        <f>SUM(C25:C31)</f>
        <v>8508515.4568686225</v>
      </c>
    </row>
    <row r="33" spans="1:3">
      <c r="A33" s="11"/>
      <c r="B33" s="11"/>
      <c r="C33" s="158"/>
    </row>
    <row r="34" spans="1:3" ht="15.75">
      <c r="A34" s="2000" t="s">
        <v>583</v>
      </c>
      <c r="B34" s="11"/>
      <c r="C34" s="158"/>
    </row>
    <row r="35" spans="1:3">
      <c r="A35" s="11" t="s">
        <v>81</v>
      </c>
      <c r="B35" s="11" t="s">
        <v>82</v>
      </c>
      <c r="C35" s="158">
        <f>'114115'!F43</f>
        <v>2417818.67</v>
      </c>
    </row>
    <row r="36" spans="1:3">
      <c r="A36" s="11" t="s">
        <v>2001</v>
      </c>
      <c r="B36" s="11" t="s">
        <v>800</v>
      </c>
      <c r="C36" s="158">
        <f>SUM('114115'!F44:F50)</f>
        <v>7199778.2599999998</v>
      </c>
    </row>
    <row r="37" spans="1:3">
      <c r="A37" s="11" t="s">
        <v>877</v>
      </c>
      <c r="B37" s="11" t="s">
        <v>801</v>
      </c>
      <c r="C37" s="158">
        <f>'114115'!F51</f>
        <v>5801602.32399185</v>
      </c>
    </row>
    <row r="38" spans="1:3">
      <c r="A38" s="11" t="s">
        <v>802</v>
      </c>
      <c r="B38" s="11" t="s">
        <v>50</v>
      </c>
      <c r="C38" s="158">
        <f>SUM(C35:C37)</f>
        <v>15419199.25399185</v>
      </c>
    </row>
    <row r="39" spans="1:3">
      <c r="A39" s="11"/>
      <c r="B39" s="11"/>
      <c r="C39" s="158"/>
    </row>
    <row r="40" spans="1:3" ht="15.75">
      <c r="A40" s="1999" t="s">
        <v>803</v>
      </c>
      <c r="B40" s="2160" t="s">
        <v>50</v>
      </c>
      <c r="C40" s="2161">
        <f>C16+C22+C32+C38</f>
        <v>195710958.76042521</v>
      </c>
    </row>
    <row r="41" spans="1:3" ht="15.75">
      <c r="A41" s="1999"/>
      <c r="B41" s="1999"/>
    </row>
    <row r="42" spans="1:3">
      <c r="A42" s="11"/>
      <c r="B42" s="11"/>
      <c r="C42" s="158"/>
    </row>
    <row r="43" spans="1:3" ht="15.75">
      <c r="A43" s="2000" t="s">
        <v>4243</v>
      </c>
      <c r="B43" s="11"/>
      <c r="C43" s="158"/>
    </row>
    <row r="44" spans="1:3">
      <c r="A44" s="11" t="s">
        <v>804</v>
      </c>
      <c r="B44" s="11" t="s">
        <v>805</v>
      </c>
      <c r="C44" s="158">
        <f>'114115'!F66</f>
        <v>10000000</v>
      </c>
    </row>
    <row r="45" spans="1:3">
      <c r="A45" s="11" t="s">
        <v>806</v>
      </c>
      <c r="B45" s="11" t="s">
        <v>807</v>
      </c>
      <c r="C45" s="2157">
        <f>'114115'!F67</f>
        <v>1125000</v>
      </c>
    </row>
    <row r="46" spans="1:3">
      <c r="A46" s="11" t="s">
        <v>808</v>
      </c>
      <c r="B46" s="11" t="s">
        <v>809</v>
      </c>
      <c r="C46" s="2157">
        <f>SUM('114115'!F68:F72)-SUM('114115'!F73:F74)</f>
        <v>30510410.349999998</v>
      </c>
    </row>
    <row r="47" spans="1:3">
      <c r="A47" s="11" t="s">
        <v>1321</v>
      </c>
      <c r="B47" s="11" t="s">
        <v>4044</v>
      </c>
      <c r="C47" s="2157">
        <f>'114115'!F75</f>
        <v>22575638.949999534</v>
      </c>
    </row>
    <row r="48" spans="1:3">
      <c r="A48" s="11" t="s">
        <v>4045</v>
      </c>
      <c r="B48" s="11" t="s">
        <v>4046</v>
      </c>
      <c r="C48" s="2157">
        <f>-'114115'!F76</f>
        <v>0</v>
      </c>
    </row>
    <row r="49" spans="1:3">
      <c r="A49" s="730" t="s">
        <v>4047</v>
      </c>
      <c r="B49" s="11" t="s">
        <v>50</v>
      </c>
      <c r="C49" s="2157">
        <f>SUM(C44:C48)</f>
        <v>64211049.299999528</v>
      </c>
    </row>
    <row r="50" spans="1:3">
      <c r="A50" s="11"/>
      <c r="B50" s="11"/>
      <c r="C50" s="2157"/>
    </row>
    <row r="51" spans="1:3" ht="15.75">
      <c r="A51" s="2000" t="s">
        <v>1549</v>
      </c>
      <c r="B51" s="11"/>
      <c r="C51" s="2157"/>
    </row>
    <row r="52" spans="1:3">
      <c r="A52" s="2001" t="s">
        <v>1042</v>
      </c>
      <c r="B52" s="11" t="s">
        <v>4048</v>
      </c>
      <c r="C52" s="2157">
        <f>'114115'!F85</f>
        <v>70611060.640000001</v>
      </c>
    </row>
    <row r="53" spans="1:3">
      <c r="A53" s="11"/>
      <c r="B53" s="11"/>
      <c r="C53" s="2157"/>
    </row>
    <row r="54" spans="1:3" ht="15.75">
      <c r="A54" s="2000" t="s">
        <v>1317</v>
      </c>
      <c r="B54" s="11"/>
      <c r="C54" s="2157"/>
    </row>
    <row r="55" spans="1:3">
      <c r="A55" s="11" t="s">
        <v>461</v>
      </c>
      <c r="B55" s="11" t="s">
        <v>4049</v>
      </c>
      <c r="C55" s="2157">
        <f>'114115'!F94</f>
        <v>0</v>
      </c>
    </row>
    <row r="56" spans="1:3">
      <c r="A56" s="11" t="s">
        <v>40</v>
      </c>
      <c r="B56" s="11" t="s">
        <v>41</v>
      </c>
      <c r="C56" s="2157">
        <f>'114115'!F95</f>
        <v>2020292.1921243288</v>
      </c>
    </row>
    <row r="57" spans="1:3">
      <c r="A57" s="11" t="s">
        <v>42</v>
      </c>
      <c r="B57" s="11" t="s">
        <v>530</v>
      </c>
      <c r="C57" s="2157">
        <f>SUM('114115'!F96:F97)</f>
        <v>12947170.925034119</v>
      </c>
    </row>
    <row r="58" spans="1:3">
      <c r="A58" s="11" t="s">
        <v>1967</v>
      </c>
      <c r="B58" s="11" t="s">
        <v>531</v>
      </c>
      <c r="C58" s="2157">
        <f>'114115'!F98</f>
        <v>0</v>
      </c>
    </row>
    <row r="59" spans="1:3">
      <c r="A59" s="11" t="s">
        <v>1711</v>
      </c>
      <c r="B59" s="11" t="s">
        <v>532</v>
      </c>
      <c r="C59" s="2157">
        <f>'114115'!F99</f>
        <v>3735709.7406486231</v>
      </c>
    </row>
    <row r="60" spans="1:3">
      <c r="A60" s="11" t="s">
        <v>533</v>
      </c>
      <c r="B60" s="11" t="s">
        <v>534</v>
      </c>
      <c r="C60" s="2157">
        <f>'114115'!F100</f>
        <v>532187.34000000125</v>
      </c>
    </row>
    <row r="61" spans="1:3">
      <c r="A61" s="11" t="s">
        <v>535</v>
      </c>
      <c r="B61" s="11" t="s">
        <v>536</v>
      </c>
      <c r="C61" s="2157">
        <f>'114115'!F102</f>
        <v>0</v>
      </c>
    </row>
    <row r="62" spans="1:3">
      <c r="A62" s="11" t="s">
        <v>686</v>
      </c>
      <c r="B62" s="11" t="s">
        <v>687</v>
      </c>
      <c r="C62" s="2157">
        <f>'114115'!F101+SUM('114115'!F103:F106)</f>
        <v>1695263.0324285207</v>
      </c>
    </row>
    <row r="63" spans="1:3">
      <c r="A63" s="730" t="s">
        <v>688</v>
      </c>
      <c r="B63" t="s">
        <v>50</v>
      </c>
      <c r="C63" s="2158">
        <f>SUM(C55:C62)</f>
        <v>20930623.230235592</v>
      </c>
    </row>
    <row r="64" spans="1:3" ht="15.75">
      <c r="A64" s="11"/>
      <c r="B64" s="1999"/>
      <c r="C64" s="2158"/>
    </row>
    <row r="65" spans="1:3" ht="15.75">
      <c r="A65" s="2000" t="s">
        <v>160</v>
      </c>
      <c r="B65" s="11"/>
      <c r="C65" s="2157"/>
    </row>
    <row r="66" spans="1:3">
      <c r="A66" s="11" t="s">
        <v>689</v>
      </c>
      <c r="B66" s="11" t="s">
        <v>690</v>
      </c>
      <c r="C66" s="2157">
        <f>'114115'!F109</f>
        <v>0</v>
      </c>
    </row>
    <row r="67" spans="1:3">
      <c r="A67" s="11" t="s">
        <v>3287</v>
      </c>
      <c r="B67" s="11" t="s">
        <v>691</v>
      </c>
      <c r="C67" s="2157">
        <f>'114115'!F110</f>
        <v>-217078.23999999982</v>
      </c>
    </row>
    <row r="68" spans="1:3">
      <c r="A68" s="11" t="s">
        <v>3603</v>
      </c>
      <c r="B68" s="11" t="s">
        <v>692</v>
      </c>
      <c r="C68" s="2157">
        <f>'114115'!F111</f>
        <v>223822.15</v>
      </c>
    </row>
    <row r="69" spans="1:3">
      <c r="A69" s="11" t="s">
        <v>877</v>
      </c>
      <c r="B69" s="11" t="s">
        <v>693</v>
      </c>
      <c r="C69" s="2157">
        <f>'114115'!F114</f>
        <v>38685690.217735305</v>
      </c>
    </row>
    <row r="70" spans="1:3">
      <c r="A70" s="730" t="s">
        <v>694</v>
      </c>
      <c r="B70" s="11" t="s">
        <v>50</v>
      </c>
      <c r="C70" s="2157">
        <f>SUM(C66:C69)</f>
        <v>38692434.127735309</v>
      </c>
    </row>
    <row r="71" spans="1:3">
      <c r="A71" s="11"/>
      <c r="B71" s="11"/>
      <c r="C71" s="2157"/>
    </row>
    <row r="72" spans="1:3" ht="15.75">
      <c r="A72" s="2000" t="s">
        <v>3591</v>
      </c>
      <c r="B72" s="11"/>
      <c r="C72" s="2157"/>
    </row>
    <row r="73" spans="1:3">
      <c r="A73" s="2001" t="s">
        <v>4156</v>
      </c>
      <c r="B73" s="11" t="s">
        <v>1486</v>
      </c>
      <c r="C73" s="2157">
        <f>'114115'!F92</f>
        <v>1265791.2124542333</v>
      </c>
    </row>
    <row r="74" spans="1:3">
      <c r="A74" s="11"/>
      <c r="B74" s="11"/>
      <c r="C74" s="158"/>
    </row>
    <row r="75" spans="1:3" ht="15.75">
      <c r="A75" s="1999" t="s">
        <v>2679</v>
      </c>
      <c r="B75" s="730" t="s">
        <v>1584</v>
      </c>
      <c r="C75" s="2159">
        <f>C49+C52+C63+C70+C73</f>
        <v>195710958.51042464</v>
      </c>
    </row>
    <row r="76" spans="1:3" ht="15.75">
      <c r="A76" s="11"/>
      <c r="B76" s="1999"/>
      <c r="C76" s="1999"/>
    </row>
    <row r="78" spans="1:3" ht="18">
      <c r="A78" s="1387" t="s">
        <v>501</v>
      </c>
      <c r="B78" s="1387"/>
      <c r="C78" s="1387"/>
    </row>
    <row r="79" spans="1:3" ht="18">
      <c r="A79" s="1387" t="s">
        <v>502</v>
      </c>
      <c r="B79" s="1387"/>
      <c r="C79" s="1387"/>
    </row>
    <row r="82" spans="1:5" ht="15.75">
      <c r="A82" s="11"/>
      <c r="B82" s="2000" t="s">
        <v>130</v>
      </c>
    </row>
    <row r="83" spans="1:5" ht="15.75">
      <c r="A83" s="11"/>
      <c r="B83" s="2000" t="s">
        <v>131</v>
      </c>
      <c r="C83" s="2014" t="str">
        <f>'Data sheet'!$D$35</f>
        <v>December 31, 2013</v>
      </c>
    </row>
    <row r="84" spans="1:5" ht="15.75">
      <c r="A84" s="2000" t="s">
        <v>3076</v>
      </c>
      <c r="B84" s="1999"/>
      <c r="C84" s="1999"/>
    </row>
    <row r="85" spans="1:5">
      <c r="A85" s="11" t="s">
        <v>3365</v>
      </c>
      <c r="B85" s="11" t="s">
        <v>503</v>
      </c>
      <c r="C85" s="149">
        <f>'116119'!G23</f>
        <v>56884180.889999866</v>
      </c>
    </row>
    <row r="86" spans="1:5">
      <c r="A86" t="s">
        <v>504</v>
      </c>
    </row>
    <row r="87" spans="1:5">
      <c r="A87" s="11" t="s">
        <v>505</v>
      </c>
      <c r="B87" s="11" t="s">
        <v>506</v>
      </c>
      <c r="C87" s="158">
        <f>'116119'!G25+1</f>
        <v>20804577.280000009</v>
      </c>
    </row>
    <row r="88" spans="1:5">
      <c r="A88" s="11" t="s">
        <v>507</v>
      </c>
      <c r="B88" s="11" t="s">
        <v>508</v>
      </c>
      <c r="C88" s="158">
        <f>'116119'!G26</f>
        <v>2021310.0700000003</v>
      </c>
    </row>
    <row r="89" spans="1:5">
      <c r="A89" s="11" t="s">
        <v>2256</v>
      </c>
      <c r="B89" s="11" t="s">
        <v>2257</v>
      </c>
      <c r="C89" s="158">
        <f>SUM('116119'!G27:G33)-SUM('116119'!G34)+1</f>
        <v>4456426.46</v>
      </c>
    </row>
    <row r="90" spans="1:5">
      <c r="A90" s="11" t="s">
        <v>1450</v>
      </c>
      <c r="B90" s="11" t="s">
        <v>1451</v>
      </c>
      <c r="C90" s="158">
        <f>'116119'!G35</f>
        <v>16041982.200000001</v>
      </c>
    </row>
    <row r="91" spans="1:5">
      <c r="A91" s="11" t="s">
        <v>1452</v>
      </c>
      <c r="B91" s="11" t="s">
        <v>1453</v>
      </c>
      <c r="C91" s="158">
        <f>SUM('116119'!G36:G38)+SUM('116119'!G40,'116119'!G41)-'116119'!G39</f>
        <v>5241489.3599999994</v>
      </c>
    </row>
    <row r="92" spans="1:5" ht="15.75">
      <c r="A92" s="11" t="s">
        <v>1454</v>
      </c>
      <c r="B92" s="11" t="s">
        <v>50</v>
      </c>
      <c r="C92" s="158">
        <f>SUM(C87:C91)+D92-1</f>
        <v>48565784.370000012</v>
      </c>
      <c r="D92" s="261"/>
      <c r="E92" s="261"/>
    </row>
    <row r="93" spans="1:5">
      <c r="A93" s="11" t="s">
        <v>1455</v>
      </c>
      <c r="B93" s="11" t="s">
        <v>50</v>
      </c>
      <c r="C93" s="158">
        <f>C85-C92-1</f>
        <v>8318395.5199998543</v>
      </c>
    </row>
    <row r="94" spans="1:5">
      <c r="A94" s="11"/>
      <c r="B94" s="11"/>
      <c r="C94" s="158"/>
    </row>
    <row r="95" spans="1:5">
      <c r="A95" s="11" t="s">
        <v>1456</v>
      </c>
      <c r="B95" s="11" t="s">
        <v>1457</v>
      </c>
      <c r="C95" s="158">
        <f>'116119'!L46+'116119'!N46</f>
        <v>0</v>
      </c>
    </row>
    <row r="96" spans="1:5">
      <c r="A96" s="11"/>
      <c r="B96" s="11"/>
      <c r="C96" s="158"/>
    </row>
    <row r="97" spans="1:3" ht="15.75">
      <c r="A97" s="1999" t="s">
        <v>1458</v>
      </c>
      <c r="B97" s="11" t="s">
        <v>50</v>
      </c>
      <c r="C97" s="158">
        <f>C93+C95</f>
        <v>8318395.5199998543</v>
      </c>
    </row>
    <row r="98" spans="1:3">
      <c r="A98" s="11"/>
      <c r="B98" s="11"/>
      <c r="C98" s="158"/>
    </row>
    <row r="99" spans="1:3" ht="15.75">
      <c r="A99" s="2000" t="s">
        <v>1459</v>
      </c>
      <c r="B99" s="11"/>
      <c r="C99" s="158"/>
    </row>
    <row r="100" spans="1:3">
      <c r="A100" s="11" t="s">
        <v>1460</v>
      </c>
      <c r="B100" s="11" t="s">
        <v>755</v>
      </c>
      <c r="C100" s="158">
        <f>'116119'!G77</f>
        <v>875.56</v>
      </c>
    </row>
    <row r="101" spans="1:3">
      <c r="A101" s="11" t="s">
        <v>756</v>
      </c>
      <c r="B101" s="11" t="s">
        <v>757</v>
      </c>
      <c r="C101" s="158">
        <f>'116119'!G78</f>
        <v>1314574.02</v>
      </c>
    </row>
    <row r="102" spans="1:3">
      <c r="A102" s="11" t="s">
        <v>758</v>
      </c>
      <c r="B102" s="11" t="s">
        <v>83</v>
      </c>
      <c r="C102" s="158">
        <f>'116119'!G79</f>
        <v>0</v>
      </c>
    </row>
    <row r="103" spans="1:3">
      <c r="A103" s="11" t="s">
        <v>84</v>
      </c>
      <c r="B103" s="11" t="s">
        <v>85</v>
      </c>
      <c r="C103" s="158">
        <f>SUM('116119'!G71,'116119'!G73,'116119'!G75,'116119'!G77,'116119'!G80)-SUM('116119'!G72,'116119'!G74)</f>
        <v>1906.4099999999999</v>
      </c>
    </row>
    <row r="104" spans="1:3">
      <c r="A104" s="11" t="s">
        <v>86</v>
      </c>
      <c r="B104" s="11" t="s">
        <v>50</v>
      </c>
      <c r="C104" s="158">
        <f>SUM(C100:C103)</f>
        <v>1317355.99</v>
      </c>
    </row>
    <row r="106" spans="1:3">
      <c r="A106" s="11" t="s">
        <v>866</v>
      </c>
      <c r="B106" s="11" t="s">
        <v>1961</v>
      </c>
      <c r="C106" s="158">
        <f>'116119'!G85</f>
        <v>1950.84</v>
      </c>
    </row>
    <row r="107" spans="1:3" ht="15.75">
      <c r="A107" s="11"/>
      <c r="B107" s="1999"/>
    </row>
    <row r="108" spans="1:3">
      <c r="A108" s="11" t="s">
        <v>1962</v>
      </c>
      <c r="B108" s="11" t="s">
        <v>1963</v>
      </c>
      <c r="C108" s="158">
        <f>'116119'!G94</f>
        <v>0</v>
      </c>
    </row>
    <row r="110" spans="1:3" ht="15.75">
      <c r="A110" s="1999" t="s">
        <v>1964</v>
      </c>
      <c r="B110" s="11" t="s">
        <v>50</v>
      </c>
      <c r="C110" s="158">
        <f>C97+C104-C106-C108</f>
        <v>9633800.6699998546</v>
      </c>
    </row>
    <row r="111" spans="1:3">
      <c r="A111" s="11"/>
      <c r="B111" s="11"/>
      <c r="C111" s="158"/>
    </row>
    <row r="112" spans="1:3" ht="15.75">
      <c r="A112" s="2000" t="s">
        <v>1965</v>
      </c>
      <c r="B112" s="11"/>
      <c r="C112" s="158"/>
    </row>
    <row r="113" spans="1:3">
      <c r="A113" s="11" t="s">
        <v>1524</v>
      </c>
      <c r="B113" s="11" t="s">
        <v>397</v>
      </c>
      <c r="C113" s="158">
        <f>SUM('116119'!G97:G99)-SUM('116119'!G100:G101)</f>
        <v>3739052.81</v>
      </c>
    </row>
    <row r="114" spans="1:3">
      <c r="A114" s="11" t="s">
        <v>398</v>
      </c>
      <c r="B114" s="11" t="s">
        <v>399</v>
      </c>
      <c r="C114" s="158">
        <f>'116119'!G102</f>
        <v>0</v>
      </c>
    </row>
    <row r="115" spans="1:3">
      <c r="A115" s="11" t="s">
        <v>1241</v>
      </c>
      <c r="B115" s="11" t="s">
        <v>1242</v>
      </c>
      <c r="C115" s="158">
        <f>'116119'!G103+'116119'!G104</f>
        <v>211687.81</v>
      </c>
    </row>
    <row r="116" spans="1:3">
      <c r="A116" s="730" t="s">
        <v>2449</v>
      </c>
      <c r="B116" s="11" t="s">
        <v>50</v>
      </c>
      <c r="C116" s="158">
        <f>SUM(C113:C115)</f>
        <v>3950740.62</v>
      </c>
    </row>
    <row r="117" spans="1:3">
      <c r="A117" s="11"/>
      <c r="B117" s="11"/>
      <c r="C117" s="158"/>
    </row>
    <row r="118" spans="1:3">
      <c r="A118" s="730" t="s">
        <v>1415</v>
      </c>
      <c r="B118" s="11" t="s">
        <v>50</v>
      </c>
      <c r="C118" s="158">
        <f>C110-C116</f>
        <v>5683060.0499998545</v>
      </c>
    </row>
    <row r="119" spans="1:3">
      <c r="A119" s="11"/>
      <c r="B119" s="11"/>
      <c r="C119" s="158"/>
    </row>
    <row r="120" spans="1:3">
      <c r="A120" s="730" t="s">
        <v>3070</v>
      </c>
      <c r="B120" s="11" t="s">
        <v>1243</v>
      </c>
      <c r="C120" s="158">
        <f>'116119'!G112</f>
        <v>0</v>
      </c>
    </row>
    <row r="121" spans="1:3">
      <c r="A121" s="11"/>
      <c r="B121" s="11"/>
      <c r="C121" s="158"/>
    </row>
    <row r="122" spans="1:3" ht="15.75">
      <c r="A122" s="1999" t="s">
        <v>3758</v>
      </c>
      <c r="B122" s="11" t="s">
        <v>50</v>
      </c>
      <c r="C122" s="149">
        <f>C118-C120</f>
        <v>5683060.0499998545</v>
      </c>
    </row>
    <row r="123" spans="1:3" ht="15.75" thickBot="1">
      <c r="A123" s="138"/>
      <c r="B123" s="138"/>
      <c r="C123" s="138"/>
    </row>
    <row r="125" spans="1:3" ht="15.75">
      <c r="A125" s="2000" t="s">
        <v>1244</v>
      </c>
      <c r="B125" s="11"/>
      <c r="C125" s="158"/>
    </row>
    <row r="126" spans="1:3" ht="15.75">
      <c r="A126" s="1999"/>
      <c r="B126" s="11"/>
      <c r="C126" s="158"/>
    </row>
    <row r="127" spans="1:3">
      <c r="A127" s="11" t="s">
        <v>1101</v>
      </c>
      <c r="B127" s="11" t="s">
        <v>1102</v>
      </c>
      <c r="C127" s="149">
        <f>'120121'!H23</f>
        <v>21030345.669999667</v>
      </c>
    </row>
    <row r="129" spans="1:5" ht="15.75">
      <c r="A129" t="s">
        <v>1103</v>
      </c>
      <c r="B129" t="s">
        <v>1104</v>
      </c>
      <c r="C129" s="2158">
        <f>C122</f>
        <v>5683060.0499998545</v>
      </c>
      <c r="D129" s="2150"/>
      <c r="E129" s="261"/>
    </row>
    <row r="130" spans="1:5">
      <c r="A130" s="11" t="s">
        <v>1105</v>
      </c>
      <c r="B130" s="11" t="s">
        <v>1106</v>
      </c>
      <c r="C130" s="2157">
        <f>-'120121'!H44</f>
        <v>0</v>
      </c>
    </row>
    <row r="131" spans="1:5">
      <c r="A131" s="11" t="s">
        <v>1107</v>
      </c>
      <c r="B131" s="11" t="s">
        <v>1108</v>
      </c>
      <c r="C131" s="2157">
        <f>-'120121'!H51</f>
        <v>37969</v>
      </c>
    </row>
    <row r="132" spans="1:5">
      <c r="A132" s="11" t="s">
        <v>1109</v>
      </c>
      <c r="B132" s="730" t="s">
        <v>1110</v>
      </c>
      <c r="C132" s="2157">
        <f>-'120121'!H58</f>
        <v>4098621</v>
      </c>
    </row>
    <row r="133" spans="1:5">
      <c r="A133" s="11" t="s">
        <v>1111</v>
      </c>
      <c r="B133" s="730" t="s">
        <v>1112</v>
      </c>
      <c r="C133" s="2157">
        <f>-'120121'!H31+'120121'!H37-'120121'!H59</f>
        <v>0</v>
      </c>
    </row>
    <row r="134" spans="1:5">
      <c r="A134" s="11" t="s">
        <v>1113</v>
      </c>
      <c r="B134" s="11" t="s">
        <v>50</v>
      </c>
      <c r="C134" s="2157">
        <f>C129-C130-C131-C132+C133</f>
        <v>1546470.0499998545</v>
      </c>
    </row>
    <row r="135" spans="1:5" ht="18">
      <c r="A135" s="11"/>
      <c r="B135" s="1387"/>
      <c r="C135" s="2162"/>
    </row>
    <row r="136" spans="1:5">
      <c r="A136" s="730" t="s">
        <v>1114</v>
      </c>
      <c r="B136" s="11" t="s">
        <v>50</v>
      </c>
      <c r="C136" s="2163">
        <f>C127+C134</f>
        <v>22576815.719999522</v>
      </c>
    </row>
    <row r="137" spans="1:5">
      <c r="A137" s="97"/>
      <c r="B137" s="97"/>
    </row>
    <row r="138" spans="1:5">
      <c r="A138" s="97" t="s">
        <v>2107</v>
      </c>
      <c r="B138" s="686" t="s">
        <v>926</v>
      </c>
      <c r="C138" s="158">
        <f>'120121'!H80</f>
        <v>0</v>
      </c>
    </row>
    <row r="139" spans="1:5">
      <c r="A139" s="97"/>
      <c r="B139" s="97"/>
    </row>
    <row r="140" spans="1:5" ht="15.75">
      <c r="A140" s="1999" t="s">
        <v>3251</v>
      </c>
      <c r="B140" s="11" t="s">
        <v>50</v>
      </c>
      <c r="C140" s="149">
        <f>C136+C138</f>
        <v>22576815.719999522</v>
      </c>
    </row>
    <row r="141" spans="1:5" ht="15.75">
      <c r="A141" s="11"/>
      <c r="B141" s="2000"/>
      <c r="C141" s="2000"/>
    </row>
    <row r="142" spans="1:5" ht="15.75">
      <c r="A142" s="1999"/>
      <c r="B142" s="1999"/>
      <c r="C142" s="1999"/>
    </row>
    <row r="143" spans="1:5" ht="18">
      <c r="A143" s="1387" t="s">
        <v>3252</v>
      </c>
      <c r="B143" s="1387"/>
      <c r="C143" s="1387"/>
    </row>
    <row r="144" spans="1:5" ht="18">
      <c r="A144" s="1387"/>
      <c r="B144" s="1387"/>
      <c r="C144" s="1387"/>
    </row>
    <row r="145" spans="1:3" ht="18">
      <c r="A145" s="1387"/>
      <c r="B145" s="1387"/>
      <c r="C145" s="1387"/>
    </row>
    <row r="146" spans="1:3" ht="18">
      <c r="A146" s="1387"/>
      <c r="B146" s="1387"/>
      <c r="C146" s="1387"/>
    </row>
    <row r="147" spans="1:3" ht="15.75">
      <c r="A147" s="11"/>
      <c r="B147" s="2000" t="s">
        <v>130</v>
      </c>
    </row>
    <row r="148" spans="1:3" ht="15.75">
      <c r="A148" s="11"/>
      <c r="B148" s="2000" t="s">
        <v>131</v>
      </c>
      <c r="C148" s="2014" t="str">
        <f>'Data sheet'!$D$35</f>
        <v>December 31, 2013</v>
      </c>
    </row>
    <row r="149" spans="1:3" ht="15.75">
      <c r="A149" s="1999" t="s">
        <v>3253</v>
      </c>
      <c r="B149" s="1999"/>
      <c r="C149" s="1999"/>
    </row>
    <row r="150" spans="1:3">
      <c r="A150" s="793" t="s">
        <v>3758</v>
      </c>
      <c r="B150" s="11" t="s">
        <v>3864</v>
      </c>
      <c r="C150" s="149">
        <f>'122123'!E18</f>
        <v>5681882</v>
      </c>
    </row>
    <row r="151" spans="1:3">
      <c r="A151" s="793" t="s">
        <v>3865</v>
      </c>
      <c r="B151" s="11"/>
      <c r="C151" s="158"/>
    </row>
    <row r="152" spans="1:3">
      <c r="A152" s="793" t="s">
        <v>3866</v>
      </c>
      <c r="B152" s="11"/>
      <c r="C152" s="158"/>
    </row>
    <row r="153" spans="1:3">
      <c r="A153" s="793" t="s">
        <v>3867</v>
      </c>
      <c r="B153" s="11" t="s">
        <v>3868</v>
      </c>
      <c r="C153" s="158">
        <f>SUM('122123'!E20:E23)</f>
        <v>4672281</v>
      </c>
    </row>
    <row r="154" spans="1:3">
      <c r="A154" s="793" t="s">
        <v>3869</v>
      </c>
      <c r="B154" s="11" t="s">
        <v>3870</v>
      </c>
      <c r="C154" s="158">
        <f>SUM('122123'!E24:E25)</f>
        <v>7184127</v>
      </c>
    </row>
    <row r="155" spans="1:3">
      <c r="A155" s="793" t="s">
        <v>1262</v>
      </c>
      <c r="B155" s="11" t="s">
        <v>1263</v>
      </c>
      <c r="C155" s="158">
        <f>SUM('122123'!E26:E27)</f>
        <v>-680499</v>
      </c>
    </row>
    <row r="156" spans="1:3">
      <c r="A156" s="793" t="s">
        <v>1264</v>
      </c>
      <c r="B156" s="11" t="s">
        <v>1265</v>
      </c>
      <c r="C156" s="158">
        <f>'122123'!E28</f>
        <v>-1326218</v>
      </c>
    </row>
    <row r="157" spans="1:3">
      <c r="A157" s="793" t="s">
        <v>1266</v>
      </c>
      <c r="B157" s="11" t="s">
        <v>1267</v>
      </c>
      <c r="C157" s="158">
        <f>-'122123'!E31</f>
        <v>1314574</v>
      </c>
    </row>
    <row r="158" spans="1:3">
      <c r="A158" s="793" t="s">
        <v>1268</v>
      </c>
      <c r="B158" s="11" t="s">
        <v>1269</v>
      </c>
      <c r="C158" s="158">
        <f>-'122123'!E32</f>
        <v>0</v>
      </c>
    </row>
    <row r="159" spans="1:3">
      <c r="A159" s="793" t="s">
        <v>1270</v>
      </c>
      <c r="B159" s="11" t="s">
        <v>250</v>
      </c>
      <c r="C159" s="158">
        <f>'122123'!E33</f>
        <v>0</v>
      </c>
    </row>
    <row r="160" spans="1:3">
      <c r="A160" s="793"/>
      <c r="B160" s="11" t="s">
        <v>251</v>
      </c>
      <c r="C160" s="158">
        <f>'122123'!E34</f>
        <v>-6670852</v>
      </c>
    </row>
    <row r="161" spans="1:3">
      <c r="A161" s="11"/>
      <c r="B161" s="11" t="s">
        <v>252</v>
      </c>
      <c r="C161" s="158">
        <f>SUM('122123'!E35:E36)</f>
        <v>284171</v>
      </c>
    </row>
    <row r="162" spans="1:3">
      <c r="A162" s="793" t="s">
        <v>3312</v>
      </c>
      <c r="B162" s="11" t="s">
        <v>50</v>
      </c>
      <c r="C162" s="1394">
        <f>SUM(C150:C161)</f>
        <v>10459466</v>
      </c>
    </row>
    <row r="163" spans="1:3">
      <c r="A163" s="11"/>
      <c r="B163" s="11"/>
      <c r="C163" s="158"/>
    </row>
    <row r="164" spans="1:3" ht="15.75">
      <c r="A164" s="2000" t="s">
        <v>3313</v>
      </c>
      <c r="B164" s="11"/>
      <c r="C164" s="158"/>
    </row>
    <row r="165" spans="1:3">
      <c r="A165" s="793" t="s">
        <v>3314</v>
      </c>
      <c r="B165" s="11" t="s">
        <v>3315</v>
      </c>
      <c r="C165" s="158">
        <f>'122123'!E48</f>
        <v>-20406252</v>
      </c>
    </row>
    <row r="166" spans="1:3">
      <c r="A166" s="793" t="s">
        <v>3316</v>
      </c>
      <c r="B166" s="11" t="s">
        <v>3317</v>
      </c>
      <c r="C166" s="158">
        <f>SUM('122123'!E50:E52)</f>
        <v>0</v>
      </c>
    </row>
    <row r="167" spans="1:3">
      <c r="A167" s="793" t="s">
        <v>3318</v>
      </c>
      <c r="B167" s="11" t="s">
        <v>3319</v>
      </c>
      <c r="C167" s="158">
        <f>'122123'!E53</f>
        <v>0</v>
      </c>
    </row>
    <row r="168" spans="1:3">
      <c r="A168" s="793" t="s">
        <v>1580</v>
      </c>
      <c r="B168" s="11" t="s">
        <v>1581</v>
      </c>
      <c r="C168" s="158">
        <f>'122123'!E54</f>
        <v>-47000</v>
      </c>
    </row>
    <row r="169" spans="1:3">
      <c r="A169" s="793" t="s">
        <v>1582</v>
      </c>
      <c r="B169" s="11"/>
      <c r="C169" s="158"/>
    </row>
    <row r="170" spans="1:3">
      <c r="A170" s="793" t="s">
        <v>3859</v>
      </c>
      <c r="B170" s="11" t="s">
        <v>3860</v>
      </c>
      <c r="C170" s="158"/>
    </row>
    <row r="171" spans="1:3">
      <c r="A171" s="793" t="s">
        <v>450</v>
      </c>
      <c r="B171" s="11" t="s">
        <v>451</v>
      </c>
      <c r="C171" s="158">
        <f>SUM('122123'!E56:E57)</f>
        <v>0</v>
      </c>
    </row>
    <row r="172" spans="1:3">
      <c r="A172" s="793" t="s">
        <v>452</v>
      </c>
      <c r="B172" s="11" t="s">
        <v>453</v>
      </c>
      <c r="C172" s="158">
        <f>SUM('122123'!E58:E59)</f>
        <v>0</v>
      </c>
    </row>
    <row r="173" spans="1:3">
      <c r="A173" s="793" t="s">
        <v>454</v>
      </c>
      <c r="B173" s="11" t="s">
        <v>229</v>
      </c>
      <c r="C173" s="158">
        <f>SUM('122123'!E79:E81)</f>
        <v>0</v>
      </c>
    </row>
    <row r="174" spans="1:3">
      <c r="A174" s="793" t="s">
        <v>2298</v>
      </c>
      <c r="B174" s="11" t="s">
        <v>1531</v>
      </c>
      <c r="C174" s="158">
        <f>SUM('122123'!E82:E84)</f>
        <v>0</v>
      </c>
    </row>
    <row r="175" spans="1:3">
      <c r="A175" s="793"/>
      <c r="B175" s="11" t="s">
        <v>1532</v>
      </c>
      <c r="C175" s="158">
        <f>SUM('122123'!E85:E87)</f>
        <v>0</v>
      </c>
    </row>
    <row r="176" spans="1:3">
      <c r="A176" s="793"/>
      <c r="B176" s="11"/>
      <c r="C176" s="158"/>
    </row>
    <row r="177" spans="1:3">
      <c r="A177" s="793" t="s">
        <v>1770</v>
      </c>
      <c r="B177" s="11" t="s">
        <v>50</v>
      </c>
      <c r="C177" s="1394">
        <f>SUM(C165:C175)</f>
        <v>-20453252</v>
      </c>
    </row>
    <row r="178" spans="1:3">
      <c r="A178" s="793"/>
      <c r="B178" s="11"/>
      <c r="C178" s="158"/>
    </row>
    <row r="179" spans="1:3" ht="15.75">
      <c r="A179" s="2000" t="s">
        <v>898</v>
      </c>
      <c r="B179" s="11"/>
      <c r="C179" s="158"/>
    </row>
    <row r="180" spans="1:3">
      <c r="A180" s="793" t="s">
        <v>3264</v>
      </c>
      <c r="B180" s="11"/>
      <c r="C180" s="158"/>
    </row>
    <row r="181" spans="1:3">
      <c r="A181" s="793" t="s">
        <v>2005</v>
      </c>
      <c r="B181" s="11" t="s">
        <v>1535</v>
      </c>
      <c r="C181" s="158">
        <f>'122123'!E93+SUM('122123'!E96:E97)+'122123'!E105+'122123'!E108+'122123'!E109</f>
        <v>19480281</v>
      </c>
    </row>
    <row r="182" spans="1:3">
      <c r="A182" s="793" t="s">
        <v>1536</v>
      </c>
      <c r="B182" s="11" t="s">
        <v>1537</v>
      </c>
      <c r="C182" s="158">
        <f>'122123'!E95+'122123'!E107</f>
        <v>0</v>
      </c>
    </row>
    <row r="183" spans="1:3">
      <c r="A183" s="793" t="s">
        <v>1538</v>
      </c>
      <c r="B183" s="11" t="s">
        <v>1539</v>
      </c>
      <c r="C183" s="158">
        <f>'122123'!E94+'122123'!E106</f>
        <v>0</v>
      </c>
    </row>
    <row r="184" spans="1:3">
      <c r="A184" s="793" t="s">
        <v>1540</v>
      </c>
      <c r="B184" s="11" t="s">
        <v>1541</v>
      </c>
      <c r="C184" s="158">
        <f>'122123'!E98+'122123'!E110</f>
        <v>-2652038</v>
      </c>
    </row>
    <row r="185" spans="1:3">
      <c r="A185" s="793" t="s">
        <v>1542</v>
      </c>
      <c r="B185" s="11" t="s">
        <v>1543</v>
      </c>
      <c r="C185" s="158">
        <f>'122123'!E112+'122123'!E113</f>
        <v>-4136590</v>
      </c>
    </row>
    <row r="186" spans="1:3">
      <c r="A186" s="793" t="s">
        <v>1593</v>
      </c>
      <c r="B186" s="11" t="s">
        <v>1594</v>
      </c>
      <c r="C186" s="158">
        <f>SUM('122123'!E99:E101)+'122123'!E111</f>
        <v>0</v>
      </c>
    </row>
    <row r="187" spans="1:3">
      <c r="A187" s="793"/>
      <c r="B187" s="11"/>
      <c r="C187" s="158"/>
    </row>
    <row r="188" spans="1:3">
      <c r="A188" s="793"/>
      <c r="B188" s="11"/>
      <c r="C188" s="158"/>
    </row>
    <row r="189" spans="1:3">
      <c r="A189" s="793" t="s">
        <v>1595</v>
      </c>
      <c r="B189" s="11" t="s">
        <v>50</v>
      </c>
      <c r="C189" s="1394">
        <f>SUM(C181:C188)</f>
        <v>12691653</v>
      </c>
    </row>
    <row r="190" spans="1:3">
      <c r="A190" s="793"/>
      <c r="B190" s="11"/>
      <c r="C190" s="158"/>
    </row>
    <row r="191" spans="1:3">
      <c r="A191" s="793" t="s">
        <v>1596</v>
      </c>
      <c r="B191" s="11" t="s">
        <v>50</v>
      </c>
      <c r="C191" s="158">
        <f>C162+C177+C189</f>
        <v>2697867</v>
      </c>
    </row>
    <row r="192" spans="1:3">
      <c r="A192" s="793"/>
      <c r="B192" s="11"/>
      <c r="C192" s="158"/>
    </row>
    <row r="193" spans="1:3">
      <c r="A193" s="793" t="s">
        <v>1597</v>
      </c>
      <c r="B193" s="11" t="s">
        <v>1598</v>
      </c>
      <c r="C193" s="158">
        <f>'122123'!E120</f>
        <v>72707</v>
      </c>
    </row>
    <row r="194" spans="1:3">
      <c r="A194" s="793"/>
      <c r="B194" s="11"/>
      <c r="C194" s="158"/>
    </row>
    <row r="195" spans="1:3" ht="15.75">
      <c r="A195" s="2003" t="s">
        <v>1599</v>
      </c>
      <c r="B195" s="11" t="s">
        <v>50</v>
      </c>
      <c r="C195" s="149">
        <f>C191+C193</f>
        <v>2770574</v>
      </c>
    </row>
    <row r="198" spans="1:3" ht="18">
      <c r="A198" s="1387" t="s">
        <v>1600</v>
      </c>
      <c r="B198" s="131"/>
      <c r="C198" s="131"/>
    </row>
    <row r="202" spans="1:3" ht="15.75">
      <c r="A202" s="11"/>
      <c r="B202" s="2000" t="s">
        <v>130</v>
      </c>
    </row>
    <row r="203" spans="1:3" ht="15.75">
      <c r="A203" s="11"/>
      <c r="B203" s="2000" t="s">
        <v>131</v>
      </c>
      <c r="C203" s="2014" t="str">
        <f>'Data sheet'!$D$35</f>
        <v>December 31, 2013</v>
      </c>
    </row>
    <row r="204" spans="1:3" ht="15.75">
      <c r="A204" s="2000" t="s">
        <v>1601</v>
      </c>
      <c r="B204" s="1999"/>
      <c r="C204" s="1999"/>
    </row>
    <row r="205" spans="1:3">
      <c r="A205" s="11" t="s">
        <v>3403</v>
      </c>
      <c r="B205" s="11" t="s">
        <v>1602</v>
      </c>
      <c r="C205" s="2015">
        <f>'300'!D$22</f>
        <v>42387242.140000001</v>
      </c>
    </row>
    <row r="206" spans="1:3">
      <c r="A206" s="11" t="s">
        <v>1603</v>
      </c>
      <c r="B206" s="11" t="s">
        <v>3601</v>
      </c>
      <c r="C206" s="158">
        <f>SUM('300'!D$23:D$24)</f>
        <v>7106512.1000000006</v>
      </c>
    </row>
    <row r="207" spans="1:3">
      <c r="A207" s="11" t="s">
        <v>3602</v>
      </c>
      <c r="B207" s="11" t="s">
        <v>3200</v>
      </c>
      <c r="C207" s="158">
        <f>SUM('300'!D$25:D$26)</f>
        <v>4443234.3499999996</v>
      </c>
    </row>
    <row r="208" spans="1:3">
      <c r="A208" s="11" t="s">
        <v>4308</v>
      </c>
      <c r="B208" s="11" t="s">
        <v>3201</v>
      </c>
      <c r="C208" s="158">
        <f>'300'!D$29</f>
        <v>0</v>
      </c>
    </row>
    <row r="209" spans="1:3">
      <c r="A209" s="11" t="s">
        <v>3202</v>
      </c>
      <c r="B209" s="11" t="s">
        <v>2794</v>
      </c>
      <c r="C209" s="158">
        <f>SUM('300'!D$27:D$28)+'300'!D$30</f>
        <v>2760391.8</v>
      </c>
    </row>
    <row r="210" spans="1:3">
      <c r="A210" s="11" t="s">
        <v>2795</v>
      </c>
      <c r="B210" s="11" t="s">
        <v>2796</v>
      </c>
      <c r="C210" s="158">
        <f>'300'!D39</f>
        <v>186800.5</v>
      </c>
    </row>
    <row r="211" spans="1:3">
      <c r="A211" s="11" t="s">
        <v>4155</v>
      </c>
      <c r="B211" s="730" t="s">
        <v>50</v>
      </c>
      <c r="C211" s="149">
        <f>SUM(C205:C210)</f>
        <v>56884180.890000001</v>
      </c>
    </row>
    <row r="212" spans="1:3" ht="18">
      <c r="A212" s="1401"/>
      <c r="B212" s="1999"/>
      <c r="C212" s="158"/>
    </row>
    <row r="213" spans="1:3" ht="15.75">
      <c r="A213" s="2000" t="s">
        <v>2922</v>
      </c>
      <c r="B213" s="1999"/>
      <c r="C213" s="158"/>
    </row>
    <row r="214" spans="1:3">
      <c r="A214" s="11" t="s">
        <v>3403</v>
      </c>
      <c r="B214" s="11" t="s">
        <v>4081</v>
      </c>
      <c r="C214" s="158">
        <f>'300'!F$22</f>
        <v>6941203.0499999998</v>
      </c>
    </row>
    <row r="215" spans="1:3">
      <c r="A215" s="11" t="s">
        <v>1603</v>
      </c>
      <c r="B215" s="11" t="s">
        <v>3528</v>
      </c>
      <c r="C215" s="158">
        <f>SUM('300'!F$23:F$24)</f>
        <v>1423799.64</v>
      </c>
    </row>
    <row r="216" spans="1:3">
      <c r="A216" s="11" t="s">
        <v>3602</v>
      </c>
      <c r="B216" s="11" t="s">
        <v>3529</v>
      </c>
      <c r="C216" s="158">
        <f>SUM('300'!F$25:F$26)</f>
        <v>0</v>
      </c>
    </row>
    <row r="217" spans="1:3">
      <c r="A217" s="11" t="s">
        <v>4308</v>
      </c>
      <c r="B217" s="11" t="s">
        <v>3530</v>
      </c>
      <c r="C217" s="158">
        <f>'300'!F$29</f>
        <v>0</v>
      </c>
    </row>
    <row r="218" spans="1:3">
      <c r="A218" s="11" t="s">
        <v>3202</v>
      </c>
      <c r="B218" s="11" t="s">
        <v>3886</v>
      </c>
      <c r="C218" s="158">
        <f>SUM('300'!F$27:F$28)+'300'!F$30</f>
        <v>649376</v>
      </c>
    </row>
    <row r="219" spans="1:3">
      <c r="A219" s="11" t="s">
        <v>406</v>
      </c>
      <c r="B219" s="730" t="s">
        <v>50</v>
      </c>
      <c r="C219" s="158">
        <f>SUM(C213:C218)</f>
        <v>9014378.6899999995</v>
      </c>
    </row>
    <row r="220" spans="1:3">
      <c r="A220" s="11"/>
      <c r="B220" s="730"/>
      <c r="C220" s="158"/>
    </row>
    <row r="221" spans="1:3" ht="15.75">
      <c r="A221" s="2000" t="s">
        <v>1629</v>
      </c>
      <c r="B221" s="1998"/>
      <c r="C221" s="1153"/>
    </row>
    <row r="222" spans="1:3">
      <c r="A222" s="11" t="s">
        <v>3403</v>
      </c>
      <c r="B222" s="11" t="s">
        <v>1245</v>
      </c>
      <c r="C222" s="158">
        <f>'300'!H$22</f>
        <v>67845</v>
      </c>
    </row>
    <row r="223" spans="1:3">
      <c r="A223" s="11" t="s">
        <v>1603</v>
      </c>
      <c r="B223" s="11" t="s">
        <v>1246</v>
      </c>
      <c r="C223" s="158">
        <f>SUM('300'!H$23:H$24)</f>
        <v>4895</v>
      </c>
    </row>
    <row r="224" spans="1:3">
      <c r="A224" s="11" t="s">
        <v>3602</v>
      </c>
      <c r="B224" s="11" t="s">
        <v>1247</v>
      </c>
      <c r="C224" s="158">
        <f>SUM('300'!H$25:H$26)</f>
        <v>833</v>
      </c>
    </row>
    <row r="225" spans="1:3">
      <c r="A225" s="11" t="s">
        <v>4308</v>
      </c>
      <c r="B225" s="11" t="s">
        <v>333</v>
      </c>
      <c r="C225" s="158">
        <f>'300'!H$29</f>
        <v>0</v>
      </c>
    </row>
    <row r="226" spans="1:3">
      <c r="A226" s="11" t="s">
        <v>3202</v>
      </c>
      <c r="B226" s="11" t="s">
        <v>701</v>
      </c>
      <c r="C226" s="158">
        <f>SUM('300'!H$27:H$28)+'300'!H$30</f>
        <v>353</v>
      </c>
    </row>
    <row r="227" spans="1:3">
      <c r="A227" s="11" t="s">
        <v>702</v>
      </c>
      <c r="B227" s="730" t="s">
        <v>50</v>
      </c>
      <c r="C227" s="158">
        <f>SUM(C221:C226)</f>
        <v>73926</v>
      </c>
    </row>
    <row r="228" spans="1:3">
      <c r="A228" s="11"/>
      <c r="B228" s="11"/>
      <c r="C228" s="158"/>
    </row>
    <row r="229" spans="1:3" ht="15.75">
      <c r="A229" s="94" t="s">
        <v>4170</v>
      </c>
      <c r="B229" s="94"/>
      <c r="C229" s="1117"/>
    </row>
    <row r="230" spans="1:3">
      <c r="A230" s="11"/>
      <c r="B230" s="11"/>
      <c r="C230" s="158"/>
    </row>
    <row r="231" spans="1:3" ht="15.75">
      <c r="A231" s="2000" t="s">
        <v>4171</v>
      </c>
    </row>
    <row r="232" spans="1:3">
      <c r="A232" s="11" t="s">
        <v>216</v>
      </c>
      <c r="B232" s="11" t="s">
        <v>50</v>
      </c>
      <c r="C232" s="2004">
        <f>C205/C222</f>
        <v>624.76589490750973</v>
      </c>
    </row>
    <row r="233" spans="1:3">
      <c r="A233" s="11" t="s">
        <v>2732</v>
      </c>
      <c r="B233" s="11" t="s">
        <v>50</v>
      </c>
      <c r="C233" s="158">
        <f>C214/C222</f>
        <v>102.30972142383374</v>
      </c>
    </row>
    <row r="234" spans="1:3">
      <c r="A234" s="11" t="s">
        <v>2733</v>
      </c>
      <c r="B234" s="11" t="s">
        <v>50</v>
      </c>
      <c r="C234" s="1152">
        <f>C205/C214</f>
        <v>6.1066131958205716</v>
      </c>
    </row>
    <row r="235" spans="1:3">
      <c r="A235" s="11"/>
      <c r="B235" s="11"/>
      <c r="C235" s="158"/>
    </row>
    <row r="236" spans="1:3" ht="15.75">
      <c r="A236" s="2000" t="s">
        <v>2734</v>
      </c>
      <c r="B236" s="11"/>
      <c r="C236" s="158"/>
    </row>
    <row r="237" spans="1:3">
      <c r="A237" s="11" t="s">
        <v>216</v>
      </c>
      <c r="B237" s="11" t="s">
        <v>50</v>
      </c>
      <c r="C237" s="2004">
        <f>C206/C223</f>
        <v>1451.7900102145047</v>
      </c>
    </row>
    <row r="238" spans="1:3">
      <c r="A238" s="11" t="s">
        <v>2732</v>
      </c>
      <c r="B238" s="11" t="s">
        <v>50</v>
      </c>
      <c r="C238" s="158">
        <f>C215/C223</f>
        <v>290.86815934627168</v>
      </c>
    </row>
    <row r="239" spans="1:3">
      <c r="A239" s="11" t="s">
        <v>2733</v>
      </c>
      <c r="B239" s="11" t="s">
        <v>50</v>
      </c>
      <c r="C239" s="1152">
        <f>C206/C215</f>
        <v>4.9912304374511578</v>
      </c>
    </row>
    <row r="241" spans="1:3" ht="15.75">
      <c r="A241" s="94" t="s">
        <v>2735</v>
      </c>
      <c r="B241" s="94"/>
      <c r="C241" s="94"/>
    </row>
    <row r="243" spans="1:3">
      <c r="A243" s="11" t="s">
        <v>4464</v>
      </c>
      <c r="B243" s="11" t="s">
        <v>3749</v>
      </c>
      <c r="C243" s="149">
        <f>'307309'!D29</f>
        <v>140982.52000000002</v>
      </c>
    </row>
    <row r="244" spans="1:3">
      <c r="A244" s="11" t="s">
        <v>4465</v>
      </c>
      <c r="B244" s="11" t="s">
        <v>3750</v>
      </c>
      <c r="C244" s="158">
        <f>'307309'!D49</f>
        <v>3821505.39</v>
      </c>
    </row>
    <row r="245" spans="1:3">
      <c r="A245" s="11" t="s">
        <v>2712</v>
      </c>
      <c r="B245" s="11" t="s">
        <v>1248</v>
      </c>
      <c r="C245" s="158">
        <f>'307309'!D79</f>
        <v>1794370.5</v>
      </c>
    </row>
    <row r="246" spans="1:3">
      <c r="A246" s="11" t="s">
        <v>2713</v>
      </c>
      <c r="B246" s="11" t="s">
        <v>1249</v>
      </c>
      <c r="C246" s="158">
        <f>'307309'!D105</f>
        <v>2455997</v>
      </c>
    </row>
    <row r="247" spans="1:3">
      <c r="A247" s="11" t="s">
        <v>1250</v>
      </c>
      <c r="B247" s="11" t="s">
        <v>1251</v>
      </c>
      <c r="C247" s="158">
        <f>'307309'!D116</f>
        <v>2120314.1800000002</v>
      </c>
    </row>
    <row r="248" spans="1:3">
      <c r="A248" s="11" t="s">
        <v>1252</v>
      </c>
      <c r="B248" s="11" t="s">
        <v>1253</v>
      </c>
      <c r="C248" s="158">
        <f>'307309'!D136</f>
        <v>0</v>
      </c>
    </row>
    <row r="249" spans="1:3">
      <c r="A249" s="11" t="s">
        <v>4330</v>
      </c>
      <c r="B249" s="11" t="s">
        <v>4331</v>
      </c>
      <c r="C249" s="158">
        <f>'307309'!D158</f>
        <v>12492716.059999999</v>
      </c>
    </row>
    <row r="250" spans="1:3" ht="15.75">
      <c r="A250" s="1999" t="s">
        <v>300</v>
      </c>
      <c r="B250" s="11" t="s">
        <v>50</v>
      </c>
      <c r="C250" s="149">
        <f>SUM(C243:C249)</f>
        <v>22825885.649999999</v>
      </c>
    </row>
    <row r="251" spans="1:3" ht="15.75">
      <c r="A251" s="11"/>
      <c r="B251" s="1999"/>
      <c r="C251" s="1999"/>
    </row>
    <row r="253" spans="1:3" ht="18">
      <c r="A253" s="1387" t="s">
        <v>301</v>
      </c>
      <c r="B253" s="131"/>
      <c r="C253" s="1387"/>
    </row>
    <row r="254" spans="1:3" ht="18">
      <c r="A254" s="1401"/>
      <c r="B254" s="1401"/>
      <c r="C254" s="1401"/>
    </row>
    <row r="257" spans="1:3" ht="15.75">
      <c r="A257" s="11"/>
      <c r="B257" s="2000" t="s">
        <v>130</v>
      </c>
    </row>
    <row r="258" spans="1:3" ht="18">
      <c r="A258" s="89"/>
      <c r="B258" s="2000" t="s">
        <v>131</v>
      </c>
      <c r="C258" s="2014" t="str">
        <f>'Data sheet'!$D$35</f>
        <v>December 31, 2013</v>
      </c>
    </row>
    <row r="259" spans="1:3" ht="18">
      <c r="A259" s="89"/>
      <c r="B259" s="1999"/>
      <c r="C259" s="1999"/>
    </row>
    <row r="260" spans="1:3">
      <c r="A260" s="11" t="s">
        <v>2013</v>
      </c>
      <c r="B260" s="11" t="s">
        <v>50</v>
      </c>
      <c r="C260" s="149">
        <f>C211</f>
        <v>56884180.890000001</v>
      </c>
    </row>
    <row r="261" spans="1:3">
      <c r="A261" s="11"/>
      <c r="B261" s="11"/>
      <c r="C261" s="149"/>
    </row>
    <row r="262" spans="1:3">
      <c r="A262" s="11" t="s">
        <v>302</v>
      </c>
      <c r="B262" s="11" t="s">
        <v>50</v>
      </c>
      <c r="C262" s="158">
        <f>C219</f>
        <v>9014378.6899999995</v>
      </c>
    </row>
    <row r="263" spans="1:3">
      <c r="A263" s="11"/>
      <c r="B263" s="11"/>
      <c r="C263" s="158"/>
    </row>
    <row r="264" spans="1:3" ht="15.75">
      <c r="A264" s="1998" t="s">
        <v>303</v>
      </c>
      <c r="B264" s="94"/>
      <c r="C264" s="94"/>
    </row>
    <row r="265" spans="1:3" ht="15.75">
      <c r="A265" s="11" t="s">
        <v>304</v>
      </c>
      <c r="B265" s="2002"/>
    </row>
    <row r="266" spans="1:3">
      <c r="A266" s="11" t="s">
        <v>305</v>
      </c>
      <c r="B266" s="11" t="s">
        <v>50</v>
      </c>
      <c r="C266" s="149">
        <f>C326</f>
        <v>3411309.54</v>
      </c>
    </row>
    <row r="267" spans="1:3">
      <c r="A267" s="11"/>
      <c r="B267" s="11"/>
      <c r="C267" s="158"/>
    </row>
    <row r="268" spans="1:3">
      <c r="A268" s="11" t="s">
        <v>306</v>
      </c>
      <c r="B268" s="11" t="s">
        <v>50</v>
      </c>
      <c r="C268" s="158">
        <f>C331</f>
        <v>9236451.5299999993</v>
      </c>
    </row>
    <row r="269" spans="1:3">
      <c r="A269" s="11"/>
      <c r="B269" s="11"/>
      <c r="C269" s="158"/>
    </row>
    <row r="270" spans="1:3">
      <c r="A270" s="11" t="s">
        <v>307</v>
      </c>
      <c r="B270" s="11" t="s">
        <v>50</v>
      </c>
      <c r="C270" s="158">
        <f>C338</f>
        <v>10178124.58</v>
      </c>
    </row>
    <row r="271" spans="1:3">
      <c r="A271" s="11"/>
      <c r="B271" s="11"/>
      <c r="C271" s="158"/>
    </row>
    <row r="272" spans="1:3">
      <c r="A272" s="11" t="s">
        <v>4157</v>
      </c>
      <c r="B272" s="11" t="s">
        <v>50</v>
      </c>
      <c r="C272" s="158">
        <f>C343</f>
        <v>4456426.46</v>
      </c>
    </row>
    <row r="273" spans="1:3">
      <c r="A273" s="11"/>
      <c r="B273" s="11"/>
      <c r="C273" s="158"/>
    </row>
    <row r="274" spans="1:3">
      <c r="A274" s="11" t="s">
        <v>4158</v>
      </c>
      <c r="B274" s="11" t="s">
        <v>50</v>
      </c>
      <c r="C274" s="158">
        <f>C346</f>
        <v>5241489.3599999994</v>
      </c>
    </row>
    <row r="275" spans="1:3">
      <c r="A275" s="11"/>
      <c r="B275" s="11"/>
      <c r="C275" s="158"/>
    </row>
    <row r="276" spans="1:3">
      <c r="A276" s="11" t="s">
        <v>4159</v>
      </c>
      <c r="B276" s="11" t="s">
        <v>50</v>
      </c>
      <c r="C276" s="158">
        <f>C349</f>
        <v>16041982.200000001</v>
      </c>
    </row>
    <row r="277" spans="1:3">
      <c r="A277" s="11"/>
      <c r="B277" s="11" t="s">
        <v>4373</v>
      </c>
      <c r="C277" s="158"/>
    </row>
    <row r="278" spans="1:3">
      <c r="A278" s="11" t="s">
        <v>4160</v>
      </c>
      <c r="B278" s="11" t="s">
        <v>50</v>
      </c>
      <c r="C278" s="158">
        <f>C280-SUM(C266:C276)</f>
        <v>8318397.2199999988</v>
      </c>
    </row>
    <row r="279" spans="1:3">
      <c r="B279" t="s">
        <v>4373</v>
      </c>
    </row>
    <row r="280" spans="1:3">
      <c r="A280" s="11" t="s">
        <v>4161</v>
      </c>
      <c r="B280" s="730" t="s">
        <v>50</v>
      </c>
      <c r="C280" s="149">
        <f>C260</f>
        <v>56884180.890000001</v>
      </c>
    </row>
    <row r="281" spans="1:3" ht="15.75">
      <c r="A281" s="11"/>
      <c r="B281" s="1999"/>
      <c r="C281" s="158"/>
    </row>
    <row r="282" spans="1:3" ht="15.75">
      <c r="A282" s="1998" t="s">
        <v>4162</v>
      </c>
      <c r="B282" s="131"/>
      <c r="C282" s="131"/>
    </row>
    <row r="283" spans="1:3" ht="15.75">
      <c r="A283" s="11" t="s">
        <v>304</v>
      </c>
      <c r="B283" s="94"/>
      <c r="C283" s="94"/>
    </row>
    <row r="284" spans="1:3">
      <c r="A284" s="11" t="s">
        <v>305</v>
      </c>
      <c r="B284" s="11" t="s">
        <v>50</v>
      </c>
      <c r="C284" s="2005">
        <f>(+C266/C$260)*100</f>
        <v>5.996938844204565</v>
      </c>
    </row>
    <row r="285" spans="1:3">
      <c r="A285" s="11"/>
      <c r="B285" s="11"/>
      <c r="C285" s="2005"/>
    </row>
    <row r="286" spans="1:3">
      <c r="A286" s="11" t="s">
        <v>306</v>
      </c>
      <c r="B286" s="11" t="s">
        <v>50</v>
      </c>
      <c r="C286" s="2005">
        <f>(+C268/C$260)*100</f>
        <v>16.237293717669985</v>
      </c>
    </row>
    <row r="287" spans="1:3">
      <c r="A287" s="11"/>
      <c r="B287" s="11"/>
      <c r="C287" s="2005"/>
    </row>
    <row r="288" spans="1:3">
      <c r="A288" s="11" t="s">
        <v>307</v>
      </c>
      <c r="B288" s="11" t="s">
        <v>50</v>
      </c>
      <c r="C288" s="2005">
        <f>(+C270/C$260)*100</f>
        <v>17.892715374915895</v>
      </c>
    </row>
    <row r="289" spans="1:3">
      <c r="A289" s="11"/>
      <c r="B289" s="11"/>
      <c r="C289" s="2005"/>
    </row>
    <row r="290" spans="1:3">
      <c r="A290" s="11" t="s">
        <v>4157</v>
      </c>
      <c r="B290" s="11" t="s">
        <v>50</v>
      </c>
      <c r="C290" s="2005">
        <f>(+C272/C$260)*100</f>
        <v>7.8342104786876181</v>
      </c>
    </row>
    <row r="291" spans="1:3">
      <c r="A291" s="11"/>
      <c r="B291" s="11"/>
      <c r="C291" s="2005"/>
    </row>
    <row r="292" spans="1:3">
      <c r="A292" s="11" t="s">
        <v>4158</v>
      </c>
      <c r="B292" s="11" t="s">
        <v>50</v>
      </c>
      <c r="C292" s="2005">
        <f>(+C274/C$260)*100</f>
        <v>9.2143180722523699</v>
      </c>
    </row>
    <row r="293" spans="1:3">
      <c r="A293" s="11"/>
      <c r="B293" s="11"/>
      <c r="C293" s="2005"/>
    </row>
    <row r="294" spans="1:3">
      <c r="A294" s="11" t="s">
        <v>4159</v>
      </c>
      <c r="B294" s="11" t="s">
        <v>50</v>
      </c>
      <c r="C294" s="2005">
        <f>(+C276/C$260)*100</f>
        <v>28.201130699273396</v>
      </c>
    </row>
    <row r="295" spans="1:3">
      <c r="A295" s="11"/>
      <c r="B295" s="11"/>
      <c r="C295" s="2005"/>
    </row>
    <row r="296" spans="1:3">
      <c r="A296" s="11" t="s">
        <v>4160</v>
      </c>
      <c r="B296" s="11" t="s">
        <v>50</v>
      </c>
      <c r="C296" s="2005">
        <f>(+C278/C$260)*100</f>
        <v>14.623392812996167</v>
      </c>
    </row>
    <row r="297" spans="1:3">
      <c r="A297" s="11"/>
      <c r="B297" s="11"/>
      <c r="C297" s="2005"/>
    </row>
    <row r="298" spans="1:3">
      <c r="A298" s="11" t="s">
        <v>4161</v>
      </c>
      <c r="B298" s="11" t="s">
        <v>50</v>
      </c>
      <c r="C298" s="2005">
        <f>SUM(C284:C297)</f>
        <v>100</v>
      </c>
    </row>
    <row r="299" spans="1:3" ht="15.75">
      <c r="A299" s="1998"/>
      <c r="B299" s="730"/>
      <c r="C299" s="2005"/>
    </row>
    <row r="300" spans="1:3" ht="15.75">
      <c r="A300" s="1998" t="s">
        <v>2226</v>
      </c>
      <c r="B300" s="686"/>
      <c r="C300" s="2006"/>
    </row>
    <row r="301" spans="1:3" ht="15.75">
      <c r="A301" s="11" t="s">
        <v>304</v>
      </c>
      <c r="B301" s="1999"/>
    </row>
    <row r="302" spans="1:3">
      <c r="A302" s="11" t="s">
        <v>305</v>
      </c>
      <c r="B302" s="11" t="s">
        <v>50</v>
      </c>
      <c r="C302" s="2007">
        <f>(+C266/C$262)</f>
        <v>0.37842980168830698</v>
      </c>
    </row>
    <row r="303" spans="1:3">
      <c r="A303" s="11"/>
      <c r="B303" s="11"/>
      <c r="C303" s="2007"/>
    </row>
    <row r="304" spans="1:3">
      <c r="A304" s="11" t="s">
        <v>306</v>
      </c>
      <c r="B304" s="11" t="s">
        <v>50</v>
      </c>
      <c r="C304" s="2007">
        <f>(+C268/C$262)</f>
        <v>1.0246354016884551</v>
      </c>
    </row>
    <row r="305" spans="1:3">
      <c r="A305" s="11"/>
      <c r="B305" s="11"/>
      <c r="C305" s="2007"/>
    </row>
    <row r="306" spans="1:3">
      <c r="A306" s="11" t="s">
        <v>307</v>
      </c>
      <c r="B306" s="11" t="s">
        <v>50</v>
      </c>
      <c r="C306" s="2007">
        <f>(+C270/C$262)</f>
        <v>1.1290988464120095</v>
      </c>
    </row>
    <row r="307" spans="1:3">
      <c r="A307" s="11"/>
      <c r="B307" s="11"/>
      <c r="C307" s="2007"/>
    </row>
    <row r="308" spans="1:3">
      <c r="A308" s="11" t="s">
        <v>4157</v>
      </c>
      <c r="B308" s="11" t="s">
        <v>50</v>
      </c>
      <c r="C308" s="2007">
        <f>(+C272/C$262)</f>
        <v>0.49436867622875519</v>
      </c>
    </row>
    <row r="309" spans="1:3">
      <c r="A309" s="11"/>
      <c r="B309" s="11"/>
      <c r="C309" s="2007"/>
    </row>
    <row r="310" spans="1:3">
      <c r="A310" s="11" t="s">
        <v>4158</v>
      </c>
      <c r="B310" s="11" t="s">
        <v>50</v>
      </c>
      <c r="C310" s="2007">
        <f>(+C274/C$262)</f>
        <v>0.58145874943267994</v>
      </c>
    </row>
    <row r="311" spans="1:3">
      <c r="A311" s="11"/>
      <c r="B311" s="11"/>
      <c r="C311" s="2007"/>
    </row>
    <row r="312" spans="1:3">
      <c r="A312" s="11" t="s">
        <v>4159</v>
      </c>
      <c r="B312" s="11" t="s">
        <v>50</v>
      </c>
      <c r="C312" s="2007">
        <f>(+C276/C$262)</f>
        <v>1.7795993214480768</v>
      </c>
    </row>
    <row r="313" spans="1:3">
      <c r="A313" s="11"/>
      <c r="B313" s="11"/>
      <c r="C313" s="2007"/>
    </row>
    <row r="314" spans="1:3">
      <c r="A314" s="11" t="s">
        <v>4160</v>
      </c>
      <c r="B314" s="11" t="s">
        <v>50</v>
      </c>
      <c r="C314" s="2007">
        <f>(+C278/C$262)</f>
        <v>0.92279207542366948</v>
      </c>
    </row>
    <row r="315" spans="1:3">
      <c r="A315" s="11"/>
      <c r="B315" s="11"/>
      <c r="C315" s="2007"/>
    </row>
    <row r="316" spans="1:3">
      <c r="A316" s="11" t="s">
        <v>4161</v>
      </c>
      <c r="B316" s="11" t="s">
        <v>50</v>
      </c>
      <c r="C316" s="2007">
        <f>(+C280/C$262)</f>
        <v>6.3103828723219531</v>
      </c>
    </row>
    <row r="318" spans="1:3" ht="15.75" thickBot="1">
      <c r="A318" s="138"/>
      <c r="B318" s="138"/>
      <c r="C318" s="1272"/>
    </row>
    <row r="319" spans="1:3" ht="15.75">
      <c r="A319" s="2008" t="s">
        <v>2227</v>
      </c>
      <c r="B319" s="11"/>
      <c r="C319" s="158"/>
    </row>
    <row r="320" spans="1:3" ht="15.75">
      <c r="A320" s="2008" t="s">
        <v>2228</v>
      </c>
      <c r="B320" s="11"/>
      <c r="C320" s="158"/>
    </row>
    <row r="321" spans="1:3">
      <c r="A321" s="11" t="s">
        <v>2229</v>
      </c>
      <c r="B321" s="11" t="s">
        <v>2230</v>
      </c>
      <c r="C321" s="158">
        <f>'307309'!D15</f>
        <v>0</v>
      </c>
    </row>
    <row r="322" spans="1:3">
      <c r="A322" s="11" t="s">
        <v>2231</v>
      </c>
      <c r="B322" s="11" t="s">
        <v>2232</v>
      </c>
      <c r="C322" s="158">
        <f>'307309'!D37</f>
        <v>2247140.4</v>
      </c>
    </row>
    <row r="323" spans="1:3">
      <c r="A323" s="11" t="s">
        <v>2233</v>
      </c>
      <c r="B323" s="11" t="s">
        <v>2234</v>
      </c>
      <c r="C323" s="158">
        <f>'307309'!D56</f>
        <v>1164169.1400000001</v>
      </c>
    </row>
    <row r="324" spans="1:3">
      <c r="A324" s="11"/>
      <c r="B324" s="11"/>
      <c r="C324" s="158"/>
    </row>
    <row r="325" spans="1:3">
      <c r="A325" s="11"/>
      <c r="B325" s="11"/>
      <c r="C325" s="158"/>
    </row>
    <row r="326" spans="1:3">
      <c r="A326" s="11" t="s">
        <v>27</v>
      </c>
      <c r="B326" s="11" t="s">
        <v>50</v>
      </c>
      <c r="C326" s="158">
        <f>SUM(C321:C325)</f>
        <v>3411309.54</v>
      </c>
    </row>
    <row r="327" spans="1:3">
      <c r="A327" s="11"/>
      <c r="B327" s="11"/>
      <c r="C327" s="158"/>
    </row>
    <row r="328" spans="1:3" ht="15.75">
      <c r="A328" s="2008" t="s">
        <v>306</v>
      </c>
    </row>
    <row r="329" spans="1:3">
      <c r="A329" s="11" t="s">
        <v>65</v>
      </c>
      <c r="B329" s="11" t="s">
        <v>66</v>
      </c>
      <c r="C329" s="158">
        <f>'354'!F39</f>
        <v>7156391</v>
      </c>
    </row>
    <row r="330" spans="1:3">
      <c r="A330" s="11" t="s">
        <v>67</v>
      </c>
      <c r="B330" s="11" t="s">
        <v>68</v>
      </c>
      <c r="C330" s="158">
        <f>'307309'!D146</f>
        <v>2080060.53</v>
      </c>
    </row>
    <row r="331" spans="1:3">
      <c r="A331" s="11" t="s">
        <v>3593</v>
      </c>
      <c r="B331" s="11" t="s">
        <v>50</v>
      </c>
      <c r="C331" s="158">
        <f>SUM(C329:C330)</f>
        <v>9236451.5299999993</v>
      </c>
    </row>
    <row r="332" spans="1:3">
      <c r="A332" s="11"/>
      <c r="B332" s="11"/>
      <c r="C332" s="158"/>
    </row>
    <row r="333" spans="1:3" ht="15.75">
      <c r="A333" s="2008" t="s">
        <v>3594</v>
      </c>
      <c r="B333" s="11"/>
      <c r="C333" s="158"/>
    </row>
    <row r="334" spans="1:3">
      <c r="A334" s="11" t="s">
        <v>3595</v>
      </c>
      <c r="B334" s="11" t="s">
        <v>50</v>
      </c>
      <c r="C334" s="158">
        <f>C250</f>
        <v>22825885.649999999</v>
      </c>
    </row>
    <row r="335" spans="1:3">
      <c r="A335" s="11" t="s">
        <v>3596</v>
      </c>
      <c r="B335" s="11" t="s">
        <v>50</v>
      </c>
      <c r="C335" s="158">
        <f>C326</f>
        <v>3411309.54</v>
      </c>
    </row>
    <row r="336" spans="1:3">
      <c r="A336" s="11" t="s">
        <v>3597</v>
      </c>
      <c r="B336" t="s">
        <v>50</v>
      </c>
      <c r="C336">
        <f>C331</f>
        <v>9236451.5299999993</v>
      </c>
    </row>
    <row r="337" spans="1:3">
      <c r="A337" s="11"/>
      <c r="B337" s="11"/>
      <c r="C337" s="158"/>
    </row>
    <row r="338" spans="1:3">
      <c r="A338" s="11" t="s">
        <v>3598</v>
      </c>
      <c r="B338" s="11" t="s">
        <v>50</v>
      </c>
      <c r="C338" s="158">
        <f>C334-C335-C336-C337</f>
        <v>10178124.58</v>
      </c>
    </row>
    <row r="339" spans="1:3">
      <c r="A339" s="11"/>
      <c r="B339" s="11"/>
      <c r="C339" s="158"/>
    </row>
    <row r="340" spans="1:3" ht="15.75">
      <c r="A340" s="2008" t="s">
        <v>4494</v>
      </c>
      <c r="B340" s="11"/>
      <c r="C340" s="158"/>
    </row>
    <row r="341" spans="1:3">
      <c r="A341" s="11" t="s">
        <v>4495</v>
      </c>
      <c r="B341" s="11" t="s">
        <v>50</v>
      </c>
      <c r="C341" s="158">
        <f>C89</f>
        <v>4456426.46</v>
      </c>
    </row>
    <row r="342" spans="1:3">
      <c r="A342" s="11"/>
      <c r="B342" s="131"/>
      <c r="C342" s="131"/>
    </row>
    <row r="343" spans="1:3">
      <c r="A343" s="11" t="s">
        <v>4496</v>
      </c>
      <c r="B343" s="11" t="s">
        <v>50</v>
      </c>
      <c r="C343" s="158">
        <f>SUM(C341:C342)</f>
        <v>4456426.46</v>
      </c>
    </row>
    <row r="345" spans="1:3" ht="15.75">
      <c r="A345" s="2009" t="s">
        <v>4158</v>
      </c>
    </row>
    <row r="346" spans="1:3">
      <c r="A346" s="11" t="s">
        <v>4497</v>
      </c>
      <c r="B346" s="11" t="s">
        <v>50</v>
      </c>
      <c r="C346" s="158">
        <f>C91</f>
        <v>5241489.3599999994</v>
      </c>
    </row>
    <row r="348" spans="1:3" ht="15.75">
      <c r="A348" s="2009" t="s">
        <v>4159</v>
      </c>
    </row>
    <row r="349" spans="1:3">
      <c r="A349" s="11" t="s">
        <v>4159</v>
      </c>
      <c r="B349" s="11" t="s">
        <v>50</v>
      </c>
      <c r="C349" s="158">
        <f>C90</f>
        <v>16041982.200000001</v>
      </c>
    </row>
    <row r="351" spans="1:3" ht="18">
      <c r="A351" s="1387" t="s">
        <v>4498</v>
      </c>
      <c r="B351" s="131"/>
      <c r="C351" s="131"/>
    </row>
    <row r="353" spans="1:3" ht="15.75">
      <c r="A353" s="11"/>
      <c r="B353" s="11"/>
      <c r="C353" s="1999"/>
    </row>
    <row r="354" spans="1:3" ht="15.75">
      <c r="A354" s="11"/>
      <c r="B354" s="2000" t="s">
        <v>130</v>
      </c>
    </row>
    <row r="355" spans="1:3" ht="15.75">
      <c r="A355" s="11"/>
      <c r="B355" s="2000" t="s">
        <v>131</v>
      </c>
      <c r="C355" s="2014" t="str">
        <f>'Data sheet'!$D$35</f>
        <v>December 31, 2013</v>
      </c>
    </row>
    <row r="356" spans="1:3" ht="15.75">
      <c r="A356" s="2000" t="s">
        <v>4499</v>
      </c>
    </row>
    <row r="358" spans="1:3">
      <c r="A358" s="11" t="s">
        <v>4500</v>
      </c>
      <c r="B358" s="11" t="s">
        <v>4501</v>
      </c>
      <c r="C358" s="149">
        <f>'202205'!I24</f>
        <v>0</v>
      </c>
    </row>
    <row r="359" spans="1:3">
      <c r="A359" s="11" t="s">
        <v>4464</v>
      </c>
      <c r="B359" s="11" t="s">
        <v>4502</v>
      </c>
      <c r="C359" s="158">
        <f>'202205'!I34</f>
        <v>0</v>
      </c>
    </row>
    <row r="360" spans="1:3">
      <c r="A360" s="11" t="s">
        <v>4465</v>
      </c>
      <c r="B360" s="11" t="s">
        <v>4503</v>
      </c>
      <c r="C360" s="158">
        <f>'202205'!I45</f>
        <v>0</v>
      </c>
    </row>
    <row r="361" spans="1:3">
      <c r="A361" s="11" t="s">
        <v>2712</v>
      </c>
      <c r="B361" s="11" t="s">
        <v>4504</v>
      </c>
      <c r="C361" s="158">
        <f>'202205'!I50</f>
        <v>0</v>
      </c>
    </row>
    <row r="362" spans="1:3">
      <c r="A362" s="11" t="s">
        <v>2713</v>
      </c>
      <c r="B362" s="11" t="s">
        <v>4505</v>
      </c>
      <c r="C362" s="158">
        <f>'202205'!I61</f>
        <v>0</v>
      </c>
    </row>
    <row r="363" spans="1:3">
      <c r="A363" s="11" t="s">
        <v>2714</v>
      </c>
      <c r="B363" s="11" t="s">
        <v>4506</v>
      </c>
      <c r="C363" s="158">
        <f>'202205'!I83</f>
        <v>0</v>
      </c>
    </row>
    <row r="364" spans="1:3">
      <c r="A364" s="11" t="s">
        <v>4507</v>
      </c>
      <c r="B364" s="11" t="s">
        <v>4508</v>
      </c>
      <c r="C364" s="158">
        <f>SUM('200201'!E13:E15)</f>
        <v>22640439.75</v>
      </c>
    </row>
    <row r="366" spans="1:3">
      <c r="A366" s="11" t="s">
        <v>1231</v>
      </c>
      <c r="B366" s="11" t="s">
        <v>50</v>
      </c>
      <c r="C366" s="158">
        <f>SUM(C358:C365)</f>
        <v>22640439.75</v>
      </c>
    </row>
    <row r="368" spans="1:3">
      <c r="A368" s="11" t="s">
        <v>1232</v>
      </c>
      <c r="B368" s="11" t="s">
        <v>1233</v>
      </c>
      <c r="C368" s="158">
        <f>'200201'!E17</f>
        <v>0</v>
      </c>
    </row>
    <row r="369" spans="1:3">
      <c r="A369" s="11" t="s">
        <v>1234</v>
      </c>
      <c r="B369" s="11" t="s">
        <v>3553</v>
      </c>
      <c r="C369" s="158">
        <f>'200201'!E19</f>
        <v>8468232.5500000007</v>
      </c>
    </row>
    <row r="370" spans="1:3">
      <c r="A370" s="11" t="s">
        <v>3554</v>
      </c>
      <c r="B370" s="11" t="s">
        <v>3555</v>
      </c>
      <c r="C370" s="158">
        <f>'200201'!E18</f>
        <v>110933.07</v>
      </c>
    </row>
    <row r="371" spans="1:3">
      <c r="A371" s="11" t="s">
        <v>3556</v>
      </c>
      <c r="B371" s="11" t="s">
        <v>3557</v>
      </c>
      <c r="C371" s="158">
        <f>SUM('200201'!E20,'200201'!E21)</f>
        <v>0</v>
      </c>
    </row>
    <row r="372" spans="1:3">
      <c r="A372" s="11" t="s">
        <v>443</v>
      </c>
      <c r="B372" s="11"/>
      <c r="C372" s="158"/>
    </row>
    <row r="373" spans="1:3">
      <c r="A373" s="11" t="s">
        <v>3558</v>
      </c>
      <c r="B373" s="11" t="s">
        <v>3559</v>
      </c>
      <c r="C373" s="158">
        <f>'200201'!E22</f>
        <v>0</v>
      </c>
    </row>
    <row r="374" spans="1:3">
      <c r="A374" s="11"/>
      <c r="B374" s="11"/>
      <c r="C374" s="158"/>
    </row>
    <row r="375" spans="1:3" ht="15.75">
      <c r="A375" s="2000" t="s">
        <v>3560</v>
      </c>
      <c r="B375" s="11" t="s">
        <v>50</v>
      </c>
      <c r="C375" s="158">
        <f>SUM(C366:C373)</f>
        <v>31219605.370000001</v>
      </c>
    </row>
    <row r="376" spans="1:3">
      <c r="A376" s="11"/>
      <c r="B376" s="11"/>
      <c r="C376" s="158"/>
    </row>
    <row r="377" spans="1:3">
      <c r="A377" s="11" t="s">
        <v>3561</v>
      </c>
      <c r="B377" s="11" t="s">
        <v>3562</v>
      </c>
      <c r="C377" s="158">
        <f>'200201'!E24</f>
        <v>53293937.599999994</v>
      </c>
    </row>
    <row r="379" spans="1:3" ht="15.75">
      <c r="A379" s="2000" t="s">
        <v>3563</v>
      </c>
      <c r="B379" s="11" t="s">
        <v>50</v>
      </c>
      <c r="C379" s="149">
        <f>C375-C377</f>
        <v>-22074332.229999993</v>
      </c>
    </row>
    <row r="381" spans="1:3" ht="15.75">
      <c r="A381" s="1998" t="s">
        <v>3564</v>
      </c>
      <c r="B381" s="131"/>
      <c r="C381" s="1153"/>
    </row>
    <row r="382" spans="1:3">
      <c r="A382" s="11"/>
      <c r="B382" s="11"/>
      <c r="C382" s="158"/>
    </row>
    <row r="383" spans="1:3">
      <c r="A383" s="11" t="s">
        <v>3565</v>
      </c>
      <c r="B383" s="11" t="s">
        <v>50</v>
      </c>
      <c r="C383" s="1152">
        <f>C408/C410</f>
        <v>0.40651037302021381</v>
      </c>
    </row>
    <row r="385" spans="1:3">
      <c r="A385" s="11" t="s">
        <v>1805</v>
      </c>
      <c r="B385" s="11" t="s">
        <v>50</v>
      </c>
      <c r="C385" s="149">
        <f>C412</f>
        <v>134822109.93999952</v>
      </c>
    </row>
    <row r="387" spans="1:3">
      <c r="A387" s="623" t="s">
        <v>3566</v>
      </c>
    </row>
    <row r="388" spans="1:3">
      <c r="A388" s="11" t="s">
        <v>3567</v>
      </c>
      <c r="B388" s="11" t="s">
        <v>50</v>
      </c>
      <c r="C388" s="2010">
        <f>C414/C412</f>
        <v>0.52373502143991335</v>
      </c>
    </row>
    <row r="389" spans="1:3">
      <c r="A389" s="11" t="s">
        <v>3568</v>
      </c>
      <c r="B389" s="11" t="s">
        <v>50</v>
      </c>
      <c r="C389" s="2010">
        <f>C416/C412</f>
        <v>8.3443286898615045E-3</v>
      </c>
    </row>
    <row r="390" spans="1:3">
      <c r="A390" s="11" t="s">
        <v>2468</v>
      </c>
      <c r="B390" s="11" t="s">
        <v>50</v>
      </c>
      <c r="C390" s="2010">
        <f>C418/C412</f>
        <v>0.46792064987022525</v>
      </c>
    </row>
    <row r="391" spans="1:3">
      <c r="A391" s="11" t="s">
        <v>2469</v>
      </c>
      <c r="B391" s="11" t="s">
        <v>50</v>
      </c>
      <c r="C391" s="2010">
        <f>C420/C412</f>
        <v>0</v>
      </c>
    </row>
    <row r="393" spans="1:3">
      <c r="A393" s="11" t="s">
        <v>2470</v>
      </c>
      <c r="B393" s="11" t="s">
        <v>50</v>
      </c>
      <c r="C393" s="2011">
        <f>C422/C424</f>
        <v>3.7656840326814098</v>
      </c>
    </row>
    <row r="395" spans="1:3">
      <c r="A395" s="11" t="s">
        <v>2471</v>
      </c>
      <c r="B395" s="11" t="s">
        <v>50</v>
      </c>
      <c r="C395" s="2010">
        <f>C426/C428</f>
        <v>0.73277648905239656</v>
      </c>
    </row>
    <row r="396" spans="1:3">
      <c r="A396" s="11"/>
      <c r="B396" s="11"/>
      <c r="C396" s="2010"/>
    </row>
    <row r="397" spans="1:3">
      <c r="A397" s="11" t="s">
        <v>2472</v>
      </c>
      <c r="B397" s="11" t="s">
        <v>50</v>
      </c>
      <c r="C397" s="2010">
        <f>C428/((C418+D418)/2)</f>
        <v>0.17896479848199645</v>
      </c>
    </row>
    <row r="398" spans="1:3">
      <c r="A398" s="11"/>
      <c r="B398" s="11"/>
      <c r="C398" s="2010"/>
    </row>
    <row r="399" spans="1:3">
      <c r="A399" s="11" t="s">
        <v>2149</v>
      </c>
      <c r="B399" s="11"/>
      <c r="C399" s="2010"/>
    </row>
    <row r="400" spans="1:3">
      <c r="A400" s="11" t="s">
        <v>2150</v>
      </c>
      <c r="B400" s="11" t="s">
        <v>50</v>
      </c>
      <c r="C400" s="2010">
        <f>C430/C432*-1</f>
        <v>-0.51256183644110642</v>
      </c>
    </row>
    <row r="401" spans="1:3">
      <c r="A401" s="11"/>
      <c r="B401" s="11"/>
      <c r="C401" s="2010"/>
    </row>
    <row r="402" spans="1:3">
      <c r="A402" s="11" t="s">
        <v>3407</v>
      </c>
      <c r="B402" s="11" t="s">
        <v>50</v>
      </c>
      <c r="C402" s="2010">
        <f>C434/C436</f>
        <v>0.27124726432760798</v>
      </c>
    </row>
    <row r="403" spans="1:3">
      <c r="A403" s="11"/>
      <c r="B403" s="11"/>
      <c r="C403" s="2010"/>
    </row>
    <row r="404" spans="1:3">
      <c r="A404" s="11" t="s">
        <v>653</v>
      </c>
      <c r="B404" s="11" t="s">
        <v>50</v>
      </c>
      <c r="C404" s="158">
        <f>C438</f>
        <v>83</v>
      </c>
    </row>
    <row r="405" spans="1:3">
      <c r="A405" s="11"/>
      <c r="B405" s="2010"/>
      <c r="C405" s="2010"/>
    </row>
    <row r="406" spans="1:3" ht="15.75">
      <c r="A406" s="11"/>
      <c r="B406" s="2012" t="s">
        <v>3408</v>
      </c>
    </row>
    <row r="407" spans="1:3">
      <c r="A407" s="11"/>
      <c r="B407" s="623"/>
    </row>
    <row r="408" spans="1:3">
      <c r="A408" s="1152" t="s">
        <v>3409</v>
      </c>
      <c r="B408" s="11" t="s">
        <v>3410</v>
      </c>
      <c r="C408" s="158">
        <f>C32</f>
        <v>8508515.4568686225</v>
      </c>
    </row>
    <row r="409" spans="1:3">
      <c r="A409" s="11"/>
      <c r="B409" s="11"/>
      <c r="C409" s="158"/>
    </row>
    <row r="410" spans="1:3">
      <c r="A410" s="11" t="s">
        <v>3411</v>
      </c>
      <c r="B410" s="11" t="s">
        <v>3412</v>
      </c>
      <c r="C410" s="158">
        <f>C63</f>
        <v>20930623.230235592</v>
      </c>
    </row>
    <row r="411" spans="1:3">
      <c r="A411" s="11"/>
      <c r="B411" s="11"/>
      <c r="C411" s="158"/>
    </row>
    <row r="412" spans="1:3">
      <c r="A412" s="11" t="s">
        <v>1805</v>
      </c>
      <c r="B412" s="11" t="s">
        <v>50</v>
      </c>
      <c r="C412" s="158">
        <f>C414+C416+C418+C420</f>
        <v>134822109.93999952</v>
      </c>
    </row>
    <row r="413" spans="1:3">
      <c r="A413" s="11"/>
      <c r="B413" s="11"/>
      <c r="C413" s="158"/>
    </row>
    <row r="414" spans="1:3">
      <c r="A414" s="11" t="s">
        <v>1042</v>
      </c>
      <c r="B414" s="11" t="s">
        <v>3413</v>
      </c>
      <c r="C414" s="158">
        <f>C52</f>
        <v>70611060.640000001</v>
      </c>
    </row>
    <row r="415" spans="1:3">
      <c r="A415" s="11"/>
      <c r="B415" s="11"/>
      <c r="C415" s="158"/>
    </row>
    <row r="416" spans="1:3">
      <c r="A416" s="11" t="s">
        <v>1803</v>
      </c>
      <c r="B416" s="11" t="s">
        <v>3414</v>
      </c>
      <c r="C416" s="158">
        <f>C45</f>
        <v>1125000</v>
      </c>
    </row>
    <row r="417" spans="1:3">
      <c r="A417" s="11"/>
      <c r="B417" s="11"/>
      <c r="C417" s="158"/>
    </row>
    <row r="418" spans="1:3">
      <c r="A418" s="11" t="s">
        <v>236</v>
      </c>
      <c r="B418" s="11" t="s">
        <v>237</v>
      </c>
      <c r="C418" s="158">
        <f>C49-C45</f>
        <v>63086049.299999528</v>
      </c>
    </row>
    <row r="419" spans="1:3">
      <c r="A419" s="11" t="s">
        <v>238</v>
      </c>
      <c r="B419" s="11"/>
      <c r="C419" s="158"/>
    </row>
    <row r="420" spans="1:3">
      <c r="A420" s="11" t="s">
        <v>442</v>
      </c>
      <c r="B420" s="11" t="s">
        <v>3158</v>
      </c>
      <c r="C420" s="158">
        <f>C55+C61</f>
        <v>0</v>
      </c>
    </row>
    <row r="421" spans="1:3">
      <c r="A421" s="11"/>
      <c r="B421" s="11"/>
      <c r="C421" s="158"/>
    </row>
    <row r="422" spans="1:3">
      <c r="A422" s="11" t="s">
        <v>3159</v>
      </c>
      <c r="B422" s="11" t="s">
        <v>3160</v>
      </c>
      <c r="C422" s="158">
        <f>C91+C97+C104-C108</f>
        <v>14877240.869999854</v>
      </c>
    </row>
    <row r="423" spans="1:3">
      <c r="A423" s="11"/>
      <c r="B423" s="11"/>
      <c r="C423" s="158"/>
    </row>
    <row r="424" spans="1:3">
      <c r="A424" s="11" t="s">
        <v>3415</v>
      </c>
      <c r="B424" s="11" t="s">
        <v>3416</v>
      </c>
      <c r="C424" s="158">
        <f>C116</f>
        <v>3950740.62</v>
      </c>
    </row>
    <row r="425" spans="1:3">
      <c r="A425" s="11"/>
      <c r="B425" s="11"/>
      <c r="C425" s="2013"/>
    </row>
    <row r="426" spans="1:3">
      <c r="A426" s="11" t="s">
        <v>1542</v>
      </c>
      <c r="B426" s="11" t="s">
        <v>3417</v>
      </c>
      <c r="C426" s="158">
        <f>-C185</f>
        <v>4136590</v>
      </c>
    </row>
    <row r="427" spans="1:3">
      <c r="A427" s="11"/>
      <c r="B427" s="11"/>
      <c r="C427" s="2013"/>
    </row>
    <row r="428" spans="1:3">
      <c r="A428" s="11" t="s">
        <v>3758</v>
      </c>
      <c r="B428" s="11" t="s">
        <v>3418</v>
      </c>
      <c r="C428" s="158">
        <f>C122-C131</f>
        <v>5645091.0499998545</v>
      </c>
    </row>
    <row r="429" spans="1:3">
      <c r="A429" s="11" t="s">
        <v>3419</v>
      </c>
      <c r="B429" s="11"/>
      <c r="C429" s="2013"/>
    </row>
    <row r="430" spans="1:3">
      <c r="A430" s="11" t="s">
        <v>2613</v>
      </c>
      <c r="B430" s="11" t="s">
        <v>2614</v>
      </c>
      <c r="C430" s="158">
        <f>C162</f>
        <v>10459466</v>
      </c>
    </row>
    <row r="431" spans="1:3">
      <c r="A431" s="11"/>
      <c r="B431" s="11"/>
      <c r="C431" s="2013"/>
    </row>
    <row r="432" spans="1:3">
      <c r="A432" s="11" t="s">
        <v>1260</v>
      </c>
      <c r="B432" s="11" t="s">
        <v>1855</v>
      </c>
      <c r="C432" s="2013">
        <f>-C165</f>
        <v>20406252</v>
      </c>
    </row>
    <row r="433" spans="1:3">
      <c r="A433" s="11"/>
      <c r="B433" s="11"/>
      <c r="C433" s="2013"/>
    </row>
    <row r="434" spans="1:3">
      <c r="A434" s="11" t="s">
        <v>1856</v>
      </c>
      <c r="B434" s="11" t="s">
        <v>1857</v>
      </c>
      <c r="C434" s="158">
        <f>C369</f>
        <v>8468232.5500000007</v>
      </c>
    </row>
    <row r="435" spans="1:3">
      <c r="A435" s="11"/>
      <c r="B435" s="11"/>
      <c r="C435" s="2013"/>
    </row>
    <row r="436" spans="1:3">
      <c r="A436" s="11" t="s">
        <v>3560</v>
      </c>
      <c r="B436" s="11" t="s">
        <v>1858</v>
      </c>
      <c r="C436" s="158">
        <f>C375</f>
        <v>31219605.370000001</v>
      </c>
    </row>
    <row r="437" spans="1:3">
      <c r="A437" s="11"/>
      <c r="B437" s="11"/>
      <c r="C437" s="2013"/>
    </row>
    <row r="438" spans="1:3">
      <c r="A438" s="11" t="s">
        <v>653</v>
      </c>
      <c r="B438" s="11" t="s">
        <v>1859</v>
      </c>
      <c r="C438" s="2013">
        <f>'307309'!D174</f>
        <v>83</v>
      </c>
    </row>
    <row r="439" spans="1:3">
      <c r="A439" s="11"/>
      <c r="B439" s="11"/>
      <c r="C439" s="1388"/>
    </row>
    <row r="440" spans="1:3">
      <c r="A440" s="11"/>
      <c r="B440" s="11"/>
      <c r="C440" s="1388"/>
    </row>
    <row r="441" spans="1:3">
      <c r="A441" s="11"/>
      <c r="B441" s="11"/>
      <c r="C441" s="1388"/>
    </row>
  </sheetData>
  <customSheetViews>
    <customSheetView guid="{1BA452AD-1A45-4D9C-9666-ADFFA6F2F567}" scale="60" colorId="22" showPageBreaks="1" printArea="1" view="pageBreakPreview">
      <selection activeCell="C428" sqref="C428"/>
      <rowBreaks count="7" manualBreakCount="7">
        <brk id="75" max="16383" man="1"/>
        <brk id="140" max="16383" man="1"/>
        <brk id="195" max="16383" man="1"/>
        <brk id="250" max="16383" man="1"/>
        <brk id="316" max="16383" man="1"/>
        <brk id="349" max="16383" man="1"/>
        <brk id="404" max="16383" man="1"/>
      </rowBreaks>
      <pageMargins left="0.4" right="0.4" top="0.3" bottom="0.3" header="0.5" footer="0.5"/>
      <pageSetup scale="64" orientation="portrait" r:id="rId1"/>
      <headerFooter alignWithMargins="0"/>
    </customSheetView>
    <customSheetView guid="{EEF7ABD6-0F96-4791-B749-C06F707E7673}" scale="60" colorId="22" showPageBreaks="1" view="pageBreakPreview" showRuler="0" topLeftCell="A235">
      <selection activeCell="C19" sqref="C19"/>
      <rowBreaks count="7" manualBreakCount="7">
        <brk id="75" max="16383" man="1"/>
        <brk id="140" max="16383" man="1"/>
        <brk id="195" max="16383" man="1"/>
        <brk id="250" max="16383" man="1"/>
        <brk id="316" max="16383" man="1"/>
        <brk id="349" max="16383" man="1"/>
        <brk id="404" max="16383" man="1"/>
      </rowBreaks>
      <pageMargins left="0.4" right="0.4" top="0.3" bottom="0.3" header="0.5" footer="0.5"/>
      <pageSetup scale="64" orientation="portrait" r:id="rId2"/>
      <headerFooter alignWithMargins="0"/>
    </customSheetView>
    <customSheetView guid="{4826FCC0-BDD6-4B2C-ACC6-ACE271DDF0E3}" scale="60" colorId="22" showPageBreaks="1" view="pageBreakPreview" showRuler="0" topLeftCell="A235">
      <selection activeCell="C19" sqref="C19"/>
      <rowBreaks count="7" manualBreakCount="7">
        <brk id="75" max="16383" man="1"/>
        <brk id="140" max="16383" man="1"/>
        <brk id="195" max="16383" man="1"/>
        <brk id="250" max="16383" man="1"/>
        <brk id="316" max="16383" man="1"/>
        <brk id="349" max="16383" man="1"/>
        <brk id="404" max="16383" man="1"/>
      </rowBreaks>
      <pageMargins left="0.4" right="0.4" top="0.3" bottom="0.3" header="0.5" footer="0.5"/>
      <pageSetup scale="64" orientation="portrait" r:id="rId3"/>
      <headerFooter alignWithMargins="0"/>
    </customSheetView>
    <customSheetView guid="{EF376D10-23D6-4FE2-AB5B-4460D52CC93F}" scale="60" colorId="22" showPageBreaks="1" view="pageBreakPreview" showRuler="0" topLeftCell="A235">
      <selection activeCell="C19" sqref="C19"/>
      <rowBreaks count="7" manualBreakCount="7">
        <brk id="75" max="16383" man="1"/>
        <brk id="140" max="16383" man="1"/>
        <brk id="195" max="16383" man="1"/>
        <brk id="250" max="16383" man="1"/>
        <brk id="316" max="16383" man="1"/>
        <brk id="349" max="16383" man="1"/>
        <brk id="404" max="16383" man="1"/>
      </rowBreaks>
      <pageMargins left="0.4" right="0.4" top="0.3" bottom="0.3" header="0.5" footer="0.5"/>
      <pageSetup scale="64" orientation="portrait" r:id="rId4"/>
      <headerFooter alignWithMargins="0"/>
    </customSheetView>
    <customSheetView guid="{1C046605-15CE-44F1-BFCD-2CA8588E7ACF}" scale="60" colorId="22" showPageBreaks="1" view="pageBreakPreview" showRuler="0" topLeftCell="A235">
      <selection activeCell="C19" sqref="C19"/>
      <rowBreaks count="7" manualBreakCount="7">
        <brk id="75" max="16383" man="1"/>
        <brk id="140" max="16383" man="1"/>
        <brk id="195" max="16383" man="1"/>
        <brk id="250" max="16383" man="1"/>
        <brk id="316" max="16383" man="1"/>
        <brk id="349" max="16383" man="1"/>
        <brk id="404" max="16383" man="1"/>
      </rowBreaks>
      <pageMargins left="0.4" right="0.4" top="0.3" bottom="0.3" header="0.5" footer="0.5"/>
      <pageSetup scale="64" orientation="portrait" r:id="rId5"/>
      <headerFooter alignWithMargins="0"/>
    </customSheetView>
    <customSheetView guid="{3911D713-188C-46A1-A299-F21DD3B7A146}" scale="60" colorId="22" showPageBreaks="1" view="pageBreakPreview" showRuler="0" topLeftCell="A235">
      <selection activeCell="C19" sqref="C19"/>
      <rowBreaks count="7" manualBreakCount="7">
        <brk id="75" max="16383" man="1"/>
        <brk id="140" max="16383" man="1"/>
        <brk id="195" max="16383" man="1"/>
        <brk id="250" max="16383" man="1"/>
        <brk id="316" max="16383" man="1"/>
        <brk id="349" max="16383" man="1"/>
        <brk id="404" max="16383" man="1"/>
      </rowBreaks>
      <pageMargins left="0.4" right="0.4" top="0.3" bottom="0.3" header="0.5" footer="0.5"/>
      <pageSetup scale="64" orientation="portrait" r:id="rId6"/>
      <headerFooter alignWithMargins="0"/>
    </customSheetView>
    <customSheetView guid="{78BB1E60-60BE-4F56-9763-075185EFEFAB}" scale="60" colorId="22" showPageBreaks="1" printArea="1" view="pageBreakPreview">
      <selection activeCell="C428" sqref="C428"/>
      <rowBreaks count="7" manualBreakCount="7">
        <brk id="75" max="16383" man="1"/>
        <brk id="140" max="16383" man="1"/>
        <brk id="195" max="16383" man="1"/>
        <brk id="250" max="16383" man="1"/>
        <brk id="316" max="16383" man="1"/>
        <brk id="349" max="16383" man="1"/>
        <brk id="404" max="16383" man="1"/>
      </rowBreaks>
      <pageMargins left="0.4" right="0.4" top="0.3" bottom="0.3" header="0.5" footer="0.5"/>
      <pageSetup scale="64" orientation="portrait" r:id="rId7"/>
      <headerFooter alignWithMargins="0"/>
    </customSheetView>
    <customSheetView guid="{9C30803E-1E2D-4850-B0A5-591CA6F246A1}" scale="60" colorId="22" showPageBreaks="1" printArea="1" view="pageBreakPreview">
      <selection activeCell="C428" sqref="C428"/>
      <rowBreaks count="7" manualBreakCount="7">
        <brk id="75" max="16383" man="1"/>
        <brk id="140" max="16383" man="1"/>
        <brk id="195" max="16383" man="1"/>
        <brk id="250" max="16383" man="1"/>
        <brk id="316" max="16383" man="1"/>
        <brk id="349" max="16383" man="1"/>
        <brk id="404" max="16383" man="1"/>
      </rowBreaks>
      <pageMargins left="0.4" right="0.4" top="0.3" bottom="0.3" header="0.5" footer="0.5"/>
      <pageSetup scale="64" orientation="portrait" r:id="rId8"/>
      <headerFooter alignWithMargins="0"/>
    </customSheetView>
    <customSheetView guid="{3B1006FF-A2CA-49E7-9B25-DAC8815279AF}" scale="60" colorId="22" showPageBreaks="1" printArea="1" view="pageBreakPreview">
      <selection activeCell="C428" sqref="C428"/>
      <rowBreaks count="7" manualBreakCount="7">
        <brk id="75" max="16383" man="1"/>
        <brk id="140" max="16383" man="1"/>
        <brk id="195" max="16383" man="1"/>
        <brk id="250" max="16383" man="1"/>
        <brk id="316" max="16383" man="1"/>
        <brk id="349" max="16383" man="1"/>
        <brk id="404" max="16383" man="1"/>
      </rowBreaks>
      <pageMargins left="0.4" right="0.4" top="0.3" bottom="0.3" header="0.5" footer="0.5"/>
      <pageSetup scale="64" orientation="portrait" r:id="rId9"/>
      <headerFooter alignWithMargins="0"/>
    </customSheetView>
    <customSheetView guid="{FB1A60C8-E1F9-4DF0-8E0E-1C965F86027F}" scale="60" colorId="22" showPageBreaks="1" printArea="1" view="pageBreakPreview">
      <selection activeCell="C428" sqref="C428"/>
      <rowBreaks count="7" manualBreakCount="7">
        <brk id="75" max="16383" man="1"/>
        <brk id="140" max="16383" man="1"/>
        <brk id="195" max="16383" man="1"/>
        <brk id="250" max="16383" man="1"/>
        <brk id="316" max="16383" man="1"/>
        <brk id="349" max="16383" man="1"/>
        <brk id="404" max="16383" man="1"/>
      </rowBreaks>
      <pageMargins left="0.4" right="0.4" top="0.3" bottom="0.3" header="0.5" footer="0.5"/>
      <pageSetup scale="64" orientation="portrait" r:id="rId10"/>
      <headerFooter alignWithMargins="0"/>
    </customSheetView>
    <customSheetView guid="{C5B6D812-CBE6-46AA-99F7-02494E9802B4}" scale="70" colorId="22" showPageBreaks="1" printArea="1" view="pageBreakPreview" topLeftCell="A10">
      <selection activeCell="C10" sqref="C10"/>
      <rowBreaks count="7" manualBreakCount="7">
        <brk id="75" max="16383" man="1"/>
        <brk id="140" max="16383" man="1"/>
        <brk id="195" max="16383" man="1"/>
        <brk id="250" max="16383" man="1"/>
        <brk id="316" max="16383" man="1"/>
        <brk id="349" max="16383" man="1"/>
        <brk id="404" max="16383" man="1"/>
      </rowBreaks>
      <pageMargins left="0.4" right="0.4" top="0.3" bottom="0.3" header="0.5" footer="0.5"/>
      <pageSetup scale="64" orientation="portrait" r:id="rId11"/>
      <headerFooter alignWithMargins="0"/>
    </customSheetView>
  </customSheetViews>
  <phoneticPr fontId="90" type="noConversion"/>
  <pageMargins left="0.4" right="0.4" top="0.3" bottom="0.3" header="0.5" footer="0.5"/>
  <pageSetup scale="64" orientation="portrait" r:id="rId12"/>
  <headerFooter alignWithMargins="0"/>
  <rowBreaks count="7" manualBreakCount="7">
    <brk id="75" max="16383" man="1"/>
    <brk id="140" max="16383" man="1"/>
    <brk id="195" max="16383" man="1"/>
    <brk id="250" max="16383" man="1"/>
    <brk id="316" max="16383" man="1"/>
    <brk id="349" max="16383" man="1"/>
    <brk id="404" max="16383" man="1"/>
  </rowBreaks>
  <customProperties>
    <customPr name="_pios_id" r:id="rId13"/>
  </customProperties>
</worksheet>
</file>

<file path=xl/worksheets/sheet84.xml><?xml version="1.0" encoding="utf-8"?>
<worksheet xmlns="http://schemas.openxmlformats.org/spreadsheetml/2006/main" xmlns:r="http://schemas.openxmlformats.org/officeDocument/2006/relationships">
  <sheetPr transitionEvaluation="1" codeName="Sheet83">
    <pageSetUpPr fitToPage="1"/>
  </sheetPr>
  <dimension ref="A1:C79"/>
  <sheetViews>
    <sheetView defaultGridColor="0" colorId="22" zoomScale="70" zoomScaleNormal="70" zoomScaleSheetLayoutView="75" workbookViewId="0"/>
  </sheetViews>
  <sheetFormatPr defaultColWidth="9.77734375" defaultRowHeight="15"/>
  <cols>
    <col min="1" max="1" width="6.77734375" customWidth="1"/>
    <col min="2" max="2" width="80.77734375" customWidth="1"/>
    <col min="3" max="3" width="16.21875" customWidth="1"/>
  </cols>
  <sheetData>
    <row r="1" spans="1:3" ht="15.75" thickBot="1">
      <c r="A1" s="186" t="str">
        <f>'Data sheet'!$A$59</f>
        <v>Annual Report of New York American Water Company, Inc. (f/k/a Long Island Water Corp)                                   Year Ended  December 31, 2013</v>
      </c>
    </row>
    <row r="2" spans="1:3">
      <c r="A2" s="90"/>
      <c r="B2" s="91"/>
      <c r="C2" s="92"/>
    </row>
    <row r="3" spans="1:3">
      <c r="A3" s="93"/>
      <c r="B3" s="771" t="s">
        <v>1860</v>
      </c>
      <c r="C3" s="338"/>
    </row>
    <row r="4" spans="1:3">
      <c r="A4" s="93"/>
      <c r="B4" s="771"/>
      <c r="C4" s="338"/>
    </row>
    <row r="5" spans="1:3">
      <c r="A5" s="93"/>
      <c r="B5" s="1575" t="s">
        <v>455</v>
      </c>
      <c r="C5" s="338"/>
    </row>
    <row r="6" spans="1:3">
      <c r="A6" s="93"/>
      <c r="B6" s="1575" t="s">
        <v>2117</v>
      </c>
      <c r="C6" s="338"/>
    </row>
    <row r="7" spans="1:3">
      <c r="A7" s="93"/>
      <c r="B7" s="1575" t="s">
        <v>3502</v>
      </c>
      <c r="C7" s="338"/>
    </row>
    <row r="8" spans="1:3">
      <c r="A8" s="93"/>
      <c r="B8" s="1575" t="s">
        <v>206</v>
      </c>
      <c r="C8" s="338"/>
    </row>
    <row r="9" spans="1:3">
      <c r="A9" s="93"/>
      <c r="B9" s="1576" t="s">
        <v>2401</v>
      </c>
      <c r="C9" s="338"/>
    </row>
    <row r="10" spans="1:3">
      <c r="A10" s="93"/>
      <c r="B10" s="1576" t="s">
        <v>2402</v>
      </c>
      <c r="C10" s="338"/>
    </row>
    <row r="11" spans="1:3">
      <c r="A11" s="93"/>
      <c r="B11" s="1577"/>
      <c r="C11" s="338"/>
    </row>
    <row r="12" spans="1:3">
      <c r="A12" s="93"/>
      <c r="B12" s="11"/>
      <c r="C12" s="338"/>
    </row>
    <row r="13" spans="1:3">
      <c r="A13" s="93"/>
      <c r="B13" s="1578" t="s">
        <v>2049</v>
      </c>
      <c r="C13" s="1360"/>
    </row>
    <row r="14" spans="1:3">
      <c r="A14" s="93"/>
      <c r="B14" s="30" t="s">
        <v>2050</v>
      </c>
      <c r="C14" s="1360"/>
    </row>
    <row r="15" spans="1:3">
      <c r="A15" s="93"/>
      <c r="B15" s="1578" t="s">
        <v>2172</v>
      </c>
      <c r="C15" s="1360"/>
    </row>
    <row r="16" spans="1:3" ht="15.75" customHeight="1">
      <c r="A16" s="93"/>
      <c r="B16" s="30"/>
      <c r="C16" s="1360"/>
    </row>
    <row r="17" spans="1:3">
      <c r="A17" s="93"/>
      <c r="B17" s="1579" t="s">
        <v>365</v>
      </c>
      <c r="C17" s="1360"/>
    </row>
    <row r="18" spans="1:3">
      <c r="A18" s="93"/>
      <c r="B18" s="30"/>
      <c r="C18" s="1360"/>
    </row>
    <row r="19" spans="1:3">
      <c r="A19" s="93"/>
      <c r="B19" s="1580" t="s">
        <v>5344</v>
      </c>
      <c r="C19" s="1360"/>
    </row>
    <row r="20" spans="1:3">
      <c r="A20" s="93"/>
      <c r="B20" s="1581" t="s">
        <v>21</v>
      </c>
      <c r="C20" s="1360"/>
    </row>
    <row r="21" spans="1:3">
      <c r="A21" s="93"/>
      <c r="B21" s="30"/>
      <c r="C21" s="1360"/>
    </row>
    <row r="22" spans="1:3">
      <c r="A22" s="93"/>
      <c r="B22" s="1384"/>
      <c r="C22" s="1360"/>
    </row>
    <row r="23" spans="1:3">
      <c r="A23" s="93"/>
      <c r="B23" s="1582"/>
      <c r="C23" s="1360"/>
    </row>
    <row r="24" spans="1:3">
      <c r="A24" s="93"/>
      <c r="B24" s="1580" t="s">
        <v>22</v>
      </c>
      <c r="C24" s="1360"/>
    </row>
    <row r="25" spans="1:3">
      <c r="A25" s="93"/>
      <c r="B25" s="30"/>
      <c r="C25" s="1360"/>
    </row>
    <row r="26" spans="1:3">
      <c r="A26" s="93"/>
      <c r="B26" s="1580" t="s">
        <v>5343</v>
      </c>
      <c r="C26" s="1360"/>
    </row>
    <row r="27" spans="1:3">
      <c r="A27" s="93"/>
      <c r="B27" s="1583" t="s">
        <v>1756</v>
      </c>
      <c r="C27" s="1360"/>
    </row>
    <row r="28" spans="1:3">
      <c r="A28" s="93"/>
      <c r="B28" s="30"/>
      <c r="C28" s="1360"/>
    </row>
    <row r="29" spans="1:3">
      <c r="A29" s="93"/>
      <c r="B29" s="1384"/>
      <c r="C29" s="1360"/>
    </row>
    <row r="30" spans="1:3">
      <c r="A30" s="93"/>
      <c r="B30" s="30"/>
      <c r="C30" s="1360"/>
    </row>
    <row r="31" spans="1:3">
      <c r="A31" s="93"/>
      <c r="B31" s="1580" t="s">
        <v>1587</v>
      </c>
      <c r="C31" s="1360"/>
    </row>
    <row r="32" spans="1:3">
      <c r="A32" s="93"/>
      <c r="B32" s="30"/>
      <c r="C32" s="1360"/>
    </row>
    <row r="33" spans="1:3">
      <c r="A33" s="93"/>
      <c r="B33" s="1580" t="s">
        <v>366</v>
      </c>
      <c r="C33" s="1360"/>
    </row>
    <row r="34" spans="1:3">
      <c r="A34" s="93"/>
      <c r="B34" s="1578"/>
      <c r="C34" s="1360"/>
    </row>
    <row r="35" spans="1:3">
      <c r="A35" s="93"/>
      <c r="B35" s="30"/>
      <c r="C35" s="1360"/>
    </row>
    <row r="36" spans="1:3">
      <c r="A36" s="93"/>
      <c r="B36" s="1384"/>
      <c r="C36" s="1360"/>
    </row>
    <row r="37" spans="1:3">
      <c r="A37" s="93"/>
      <c r="B37" s="30"/>
      <c r="C37" s="1360"/>
    </row>
    <row r="38" spans="1:3">
      <c r="A38" s="93"/>
      <c r="B38" s="30"/>
      <c r="C38" s="1360"/>
    </row>
    <row r="39" spans="1:3">
      <c r="A39" s="93"/>
      <c r="B39" s="1384"/>
      <c r="C39" s="1360"/>
    </row>
    <row r="40" spans="1:3">
      <c r="A40" s="93"/>
      <c r="B40" s="30"/>
      <c r="C40" s="1360"/>
    </row>
    <row r="41" spans="1:3">
      <c r="A41" s="93"/>
      <c r="B41" s="30"/>
      <c r="C41" s="1360"/>
    </row>
    <row r="42" spans="1:3">
      <c r="A42" s="93"/>
      <c r="B42" s="1384"/>
      <c r="C42" s="1360"/>
    </row>
    <row r="43" spans="1:3">
      <c r="A43" s="93"/>
      <c r="B43" s="30"/>
      <c r="C43" s="1360"/>
    </row>
    <row r="44" spans="1:3">
      <c r="A44" s="93"/>
      <c r="B44" s="1584" t="s">
        <v>1846</v>
      </c>
      <c r="C44" s="1360"/>
    </row>
    <row r="45" spans="1:3">
      <c r="A45" s="93"/>
      <c r="B45" s="1579" t="s">
        <v>2876</v>
      </c>
      <c r="C45" s="1360"/>
    </row>
    <row r="46" spans="1:3">
      <c r="A46" s="93"/>
      <c r="B46" s="30"/>
      <c r="C46" s="1360"/>
    </row>
    <row r="47" spans="1:3">
      <c r="A47" s="93"/>
      <c r="B47" s="1580" t="s">
        <v>2877</v>
      </c>
      <c r="C47" s="1360"/>
    </row>
    <row r="48" spans="1:3">
      <c r="A48" s="93"/>
      <c r="B48" s="30"/>
      <c r="C48" s="1360"/>
    </row>
    <row r="49" spans="1:3">
      <c r="A49" s="93"/>
      <c r="B49" s="30"/>
      <c r="C49" s="1360"/>
    </row>
    <row r="50" spans="1:3">
      <c r="A50" s="93"/>
      <c r="B50" s="30" t="s">
        <v>2878</v>
      </c>
      <c r="C50" s="1360"/>
    </row>
    <row r="51" spans="1:3">
      <c r="A51" s="93"/>
      <c r="B51" s="30"/>
      <c r="C51" s="1360"/>
    </row>
    <row r="52" spans="1:3">
      <c r="A52" s="93"/>
      <c r="B52" s="1580" t="s">
        <v>2879</v>
      </c>
      <c r="C52" s="1360"/>
    </row>
    <row r="53" spans="1:3">
      <c r="A53" s="93"/>
      <c r="B53" s="30"/>
      <c r="C53" s="1360"/>
    </row>
    <row r="54" spans="1:3">
      <c r="A54" s="93"/>
      <c r="B54" s="1583" t="s">
        <v>2880</v>
      </c>
      <c r="C54" s="1360"/>
    </row>
    <row r="55" spans="1:3">
      <c r="A55" s="93"/>
      <c r="B55" s="1585" t="s">
        <v>2881</v>
      </c>
      <c r="C55" s="1360"/>
    </row>
    <row r="56" spans="1:3">
      <c r="A56" s="93"/>
      <c r="B56" s="1583" t="s">
        <v>1862</v>
      </c>
      <c r="C56" s="1360"/>
    </row>
    <row r="57" spans="1:3" ht="15.75" thickBot="1">
      <c r="A57" s="137"/>
      <c r="B57" s="1363"/>
      <c r="C57" s="1364"/>
    </row>
    <row r="58" spans="1:3">
      <c r="A58" s="93"/>
      <c r="B58" s="1586" t="s">
        <v>1863</v>
      </c>
      <c r="C58" s="1360"/>
    </row>
    <row r="59" spans="1:3">
      <c r="A59" s="93"/>
      <c r="B59" s="30"/>
      <c r="C59" s="1360"/>
    </row>
    <row r="60" spans="1:3">
      <c r="A60" s="93"/>
      <c r="B60" s="1583" t="s">
        <v>1864</v>
      </c>
      <c r="C60" s="1360"/>
    </row>
    <row r="61" spans="1:3">
      <c r="A61" s="93"/>
      <c r="B61" s="1583" t="s">
        <v>1865</v>
      </c>
      <c r="C61" s="1360"/>
    </row>
    <row r="62" spans="1:3">
      <c r="A62" s="93"/>
      <c r="B62" s="1583" t="s">
        <v>1866</v>
      </c>
      <c r="C62" s="1360"/>
    </row>
    <row r="63" spans="1:3" ht="15.75" thickBot="1">
      <c r="A63" s="137"/>
      <c r="B63" s="1363"/>
      <c r="C63" s="1364"/>
    </row>
    <row r="64" spans="1:3">
      <c r="A64" s="131"/>
      <c r="B64" s="1587" t="s">
        <v>4066</v>
      </c>
      <c r="C64" s="131"/>
    </row>
    <row r="71" spans="1:2">
      <c r="A71" s="11"/>
      <c r="B71" s="97"/>
    </row>
    <row r="72" spans="1:2" ht="15.75">
      <c r="A72" s="11"/>
      <c r="B72" s="1588"/>
    </row>
    <row r="73" spans="1:2">
      <c r="A73" s="11"/>
      <c r="B73" s="97"/>
    </row>
    <row r="74" spans="1:2">
      <c r="A74" s="11"/>
      <c r="B74" s="97"/>
    </row>
    <row r="75" spans="1:2">
      <c r="A75" s="11"/>
      <c r="B75" s="97"/>
    </row>
    <row r="76" spans="1:2">
      <c r="A76" s="11"/>
      <c r="B76" s="97"/>
    </row>
    <row r="77" spans="1:2">
      <c r="A77" s="11"/>
      <c r="B77" s="97"/>
    </row>
    <row r="78" spans="1:2">
      <c r="A78" s="11"/>
      <c r="B78" s="97"/>
    </row>
    <row r="79" spans="1:2" ht="15.75">
      <c r="A79" s="11"/>
      <c r="B79" s="1588"/>
    </row>
  </sheetData>
  <customSheetViews>
    <customSheetView guid="{1BA452AD-1A45-4D9C-9666-ADFFA6F2F567}" scale="87" colorId="22" fitToPage="1">
      <selection activeCell="B6" sqref="B6"/>
      <pageMargins left="0.75" right="0.75" top="0.3" bottom="0.3" header="0" footer="0"/>
      <printOptions horizontalCentered="1" verticalCentered="1"/>
      <pageSetup scale="72" orientation="portrait" r:id="rId1"/>
      <headerFooter alignWithMargins="0"/>
    </customSheetView>
    <customSheetView guid="{EEF7ABD6-0F96-4791-B749-C06F707E7673}" scale="75" colorId="22" showPageBreaks="1" fitToPage="1" printArea="1" view="pageBreakPreview" showRuler="0" topLeftCell="A22">
      <selection activeCell="B27" sqref="B27"/>
      <pageMargins left="0.75" right="0.4" top="0.3" bottom="0.3" header="0" footer="0"/>
      <printOptions horizontalCentered="1" verticalCentered="1"/>
      <pageSetup scale="75" orientation="portrait" r:id="rId2"/>
      <headerFooter alignWithMargins="0"/>
    </customSheetView>
    <customSheetView guid="{A7D7DB3C-AFE6-468E-8C6B-9531F6711497}" scale="75" colorId="22" showPageBreaks="1" fitToPage="1" printArea="1" view="pageBreakPreview" showRuler="0">
      <selection activeCell="H5" sqref="H5"/>
      <pageMargins left="0.75" right="0.4" top="0.3" bottom="0.3" header="0" footer="0"/>
      <printOptions horizontalCentered="1" verticalCentered="1"/>
      <pageSetup scale="75" orientation="portrait" r:id="rId3"/>
      <headerFooter alignWithMargins="0"/>
    </customSheetView>
    <customSheetView guid="{4436FEB5-BFEC-4348-9286-CB706802873E}" scale="75" colorId="22" showPageBreaks="1" fitToPage="1" printArea="1" view="pageBreakPreview" showRuler="0">
      <selection activeCell="H5" sqref="H5"/>
      <pageMargins left="0.75" right="0.4" top="0.3" bottom="0.3" header="0" footer="0"/>
      <printOptions horizontalCentered="1" verticalCentered="1"/>
      <pageSetup scale="75" orientation="portrait" r:id="rId4"/>
      <headerFooter alignWithMargins="0"/>
    </customSheetView>
    <customSheetView guid="{044CF00C-469F-44B3-B2C4-9B4049CE70CB}" scale="87" colorId="22" fitToPage="1" showRuler="0">
      <selection activeCell="B16" sqref="B16"/>
      <pageMargins left="0.75" right="0.4" top="0.3" bottom="0.3" header="0" footer="0"/>
      <printOptions horizontalCentered="1" verticalCentered="1"/>
      <pageSetup scale="75" orientation="portrait" r:id="rId5"/>
      <headerFooter alignWithMargins="0"/>
    </customSheetView>
    <customSheetView guid="{4826FCC0-BDD6-4B2C-ACC6-ACE271DDF0E3}" scale="75" colorId="22" showPageBreaks="1" fitToPage="1" printArea="1" view="pageBreakPreview" showRuler="0">
      <selection activeCell="C104" sqref="C104"/>
      <pageMargins left="0.75" right="0.4" top="0.3" bottom="0.3" header="0" footer="0"/>
      <printOptions horizontalCentered="1" verticalCentered="1"/>
      <pageSetup scale="75" orientation="portrait" r:id="rId6"/>
      <headerFooter alignWithMargins="0"/>
    </customSheetView>
    <customSheetView guid="{EF376D10-23D6-4FE2-AB5B-4460D52CC93F}" scale="75" colorId="22" showPageBreaks="1" fitToPage="1" printArea="1" view="pageBreakPreview" showRuler="0">
      <selection activeCell="C104" sqref="C104"/>
      <pageMargins left="0.75" right="0.4" top="0.3" bottom="0.3" header="0" footer="0"/>
      <printOptions horizontalCentered="1" verticalCentered="1"/>
      <pageSetup scale="75" orientation="portrait" r:id="rId7"/>
      <headerFooter alignWithMargins="0"/>
    </customSheetView>
    <customSheetView guid="{1C046605-15CE-44F1-BFCD-2CA8588E7ACF}" scale="75" colorId="22" showPageBreaks="1" fitToPage="1" printArea="1" view="pageBreakPreview" showRuler="0" topLeftCell="A22">
      <selection activeCell="B27" sqref="B27"/>
      <pageMargins left="0.75" right="0.4" top="0.3" bottom="0.3" header="0" footer="0"/>
      <printOptions horizontalCentered="1" verticalCentered="1"/>
      <pageSetup scale="75" orientation="portrait" r:id="rId8"/>
      <headerFooter alignWithMargins="0"/>
    </customSheetView>
    <customSheetView guid="{3911D713-188C-46A1-A299-F21DD3B7A146}" scale="75" colorId="22" showPageBreaks="1" fitToPage="1" printArea="1" view="pageBreakPreview" showRuler="0" topLeftCell="A22">
      <selection activeCell="B27" sqref="B27"/>
      <pageMargins left="0.75" right="0.4" top="0.3" bottom="0.3" header="0" footer="0"/>
      <printOptions horizontalCentered="1" verticalCentered="1"/>
      <pageSetup scale="75" orientation="portrait" r:id="rId9"/>
      <headerFooter alignWithMargins="0"/>
    </customSheetView>
    <customSheetView guid="{78BB1E60-60BE-4F56-9763-075185EFEFAB}" scale="87" colorId="22" fitToPage="1">
      <selection activeCell="B6" sqref="B6"/>
      <pageMargins left="0.75" right="0.75" top="0.3" bottom="0.3" header="0" footer="0"/>
      <printOptions horizontalCentered="1" verticalCentered="1"/>
      <pageSetup scale="72" orientation="portrait" r:id="rId10"/>
      <headerFooter alignWithMargins="0"/>
    </customSheetView>
    <customSheetView guid="{9C30803E-1E2D-4850-B0A5-591CA6F246A1}" scale="87" colorId="22" fitToPage="1">
      <selection activeCell="B6" sqref="B6"/>
      <pageMargins left="0.75" right="0.75" top="0.3" bottom="0.3" header="0" footer="0"/>
      <printOptions horizontalCentered="1" verticalCentered="1"/>
      <pageSetup scale="72" orientation="portrait" r:id="rId11"/>
      <headerFooter alignWithMargins="0"/>
    </customSheetView>
    <customSheetView guid="{3B1006FF-A2CA-49E7-9B25-DAC8815279AF}" scale="87" colorId="22" showPageBreaks="1" fitToPage="1" printArea="1">
      <selection activeCell="B27" sqref="B27"/>
      <pageMargins left="0.46" right="0.41" top="0.3" bottom="0.3" header="0" footer="0"/>
      <printOptions horizontalCentered="1" verticalCentered="1"/>
      <pageSetup scale="77" orientation="portrait" r:id="rId12"/>
      <headerFooter alignWithMargins="0"/>
    </customSheetView>
    <customSheetView guid="{FB1A60C8-E1F9-4DF0-8E0E-1C965F86027F}" scale="87" colorId="22" fitToPage="1">
      <selection activeCell="B27" sqref="B27"/>
      <pageMargins left="0.46" right="0.41" top="0.3" bottom="0.3" header="0" footer="0"/>
      <printOptions horizontalCentered="1" verticalCentered="1"/>
      <pageSetup scale="77" orientation="portrait" r:id="rId13"/>
      <headerFooter alignWithMargins="0"/>
    </customSheetView>
    <customSheetView guid="{C5B6D812-CBE6-46AA-99F7-02494E9802B4}" scale="70" colorId="22" fitToPage="1" topLeftCell="A4">
      <selection activeCell="C10" sqref="C10"/>
      <pageMargins left="0.46" right="0.41" top="0.3" bottom="0.3" header="0" footer="0"/>
      <printOptions horizontalCentered="1" verticalCentered="1"/>
      <pageSetup scale="77" orientation="portrait" r:id="rId14"/>
      <headerFooter alignWithMargins="0"/>
    </customSheetView>
  </customSheetViews>
  <phoneticPr fontId="0" type="noConversion"/>
  <printOptions horizontalCentered="1" verticalCentered="1"/>
  <pageMargins left="0.46" right="0.41" top="0.3" bottom="0.3" header="0" footer="0"/>
  <pageSetup scale="78" orientation="portrait" r:id="rId15"/>
  <headerFooter alignWithMargins="0"/>
  <customProperties>
    <customPr name="_pios_id" r:id="rId16"/>
  </customProperties>
</worksheet>
</file>

<file path=xl/worksheets/sheet85.xml><?xml version="1.0" encoding="utf-8"?>
<worksheet xmlns="http://schemas.openxmlformats.org/spreadsheetml/2006/main" xmlns:r="http://schemas.openxmlformats.org/officeDocument/2006/relationships">
  <sheetPr transitionEvaluation="1" codeName="Sheet84"/>
  <dimension ref="A1:M121"/>
  <sheetViews>
    <sheetView defaultGridColor="0" view="pageBreakPreview" colorId="22" zoomScale="70" zoomScaleNormal="75" zoomScaleSheetLayoutView="70" workbookViewId="0"/>
  </sheetViews>
  <sheetFormatPr defaultColWidth="9.77734375" defaultRowHeight="15"/>
  <cols>
    <col min="1" max="1" width="43.88671875" customWidth="1"/>
    <col min="3" max="3" width="40.5546875" customWidth="1"/>
  </cols>
  <sheetData>
    <row r="1" spans="1:13" ht="15.75" thickBot="1">
      <c r="A1" s="230"/>
      <c r="B1" s="230"/>
      <c r="C1" s="230"/>
      <c r="D1" s="230"/>
      <c r="E1" s="230"/>
      <c r="F1" s="230"/>
      <c r="G1" s="230"/>
      <c r="H1" s="230"/>
      <c r="I1" s="230"/>
      <c r="J1" s="230"/>
      <c r="K1" s="230"/>
      <c r="L1" s="230"/>
      <c r="M1" s="230"/>
    </row>
    <row r="2" spans="1:13">
      <c r="A2" s="1589"/>
      <c r="B2" s="1590"/>
      <c r="C2" s="1590"/>
      <c r="D2" s="1591"/>
      <c r="E2" s="230"/>
      <c r="F2" s="230"/>
      <c r="G2" s="230"/>
      <c r="H2" s="230"/>
      <c r="I2" s="230"/>
      <c r="J2" s="230"/>
      <c r="K2" s="230"/>
      <c r="L2" s="230"/>
      <c r="M2" s="230"/>
    </row>
    <row r="3" spans="1:13" ht="15.75">
      <c r="A3" s="1592" t="s">
        <v>207</v>
      </c>
      <c r="B3" s="1593"/>
      <c r="C3" s="1593"/>
      <c r="D3" s="1594"/>
      <c r="E3" s="230"/>
      <c r="F3" s="230"/>
      <c r="G3" s="230"/>
      <c r="H3" s="230"/>
      <c r="I3" s="230"/>
      <c r="J3" s="230"/>
      <c r="K3" s="230"/>
      <c r="L3" s="230"/>
      <c r="M3" s="230"/>
    </row>
    <row r="4" spans="1:13">
      <c r="A4" s="1595"/>
      <c r="B4" s="468"/>
      <c r="C4" s="468"/>
      <c r="D4" s="1596"/>
      <c r="E4" s="230"/>
      <c r="F4" s="230"/>
      <c r="G4" s="230"/>
      <c r="H4" s="230"/>
      <c r="I4" s="230"/>
      <c r="J4" s="230"/>
      <c r="K4" s="230"/>
      <c r="L4" s="230"/>
      <c r="M4" s="230"/>
    </row>
    <row r="5" spans="1:13">
      <c r="A5" s="1597"/>
      <c r="B5" s="1598"/>
      <c r="C5" s="1599"/>
      <c r="D5" s="1600"/>
      <c r="E5" s="230"/>
      <c r="F5" s="230"/>
      <c r="G5" s="230"/>
      <c r="H5" s="230"/>
      <c r="I5" s="230"/>
      <c r="J5" s="230"/>
      <c r="K5" s="230"/>
      <c r="L5" s="230"/>
      <c r="M5" s="230"/>
    </row>
    <row r="6" spans="1:13">
      <c r="A6" s="1595" t="s">
        <v>208</v>
      </c>
      <c r="B6" s="1601" t="s">
        <v>4029</v>
      </c>
      <c r="C6" s="1602" t="s">
        <v>208</v>
      </c>
      <c r="D6" s="1603" t="s">
        <v>4029</v>
      </c>
      <c r="E6" s="230"/>
      <c r="F6" s="230"/>
      <c r="G6" s="230"/>
      <c r="H6" s="230"/>
      <c r="I6" s="230"/>
      <c r="J6" s="230"/>
      <c r="K6" s="230"/>
      <c r="L6" s="230"/>
      <c r="M6" s="230"/>
    </row>
    <row r="7" spans="1:13" ht="18" customHeight="1">
      <c r="A7" s="1604" t="s">
        <v>40</v>
      </c>
      <c r="B7" s="1605">
        <v>255</v>
      </c>
      <c r="C7" s="1599" t="s">
        <v>209</v>
      </c>
      <c r="D7" s="1600"/>
      <c r="E7" s="230"/>
      <c r="F7" s="230"/>
      <c r="G7" s="230"/>
      <c r="H7" s="230"/>
      <c r="I7" s="230"/>
      <c r="J7" s="230"/>
      <c r="K7" s="230"/>
      <c r="L7" s="230"/>
      <c r="M7" s="230"/>
    </row>
    <row r="8" spans="1:13" ht="18" customHeight="1">
      <c r="A8" s="1604" t="s">
        <v>210</v>
      </c>
      <c r="B8" s="1605">
        <v>213</v>
      </c>
      <c r="C8" s="1599" t="s">
        <v>2665</v>
      </c>
      <c r="D8" s="1606" t="s">
        <v>574</v>
      </c>
      <c r="E8" s="230"/>
      <c r="F8" s="230"/>
      <c r="G8" s="230"/>
      <c r="H8" s="230"/>
      <c r="I8" s="230"/>
      <c r="J8" s="230"/>
      <c r="K8" s="230"/>
      <c r="L8" s="230"/>
      <c r="M8" s="230"/>
    </row>
    <row r="9" spans="1:13" ht="18" customHeight="1">
      <c r="A9" s="1604" t="s">
        <v>2666</v>
      </c>
      <c r="B9" s="1605">
        <v>213</v>
      </c>
      <c r="C9" s="1599" t="s">
        <v>2667</v>
      </c>
      <c r="D9" s="1606" t="s">
        <v>574</v>
      </c>
      <c r="E9" s="230"/>
      <c r="F9" s="230"/>
      <c r="G9" s="230"/>
      <c r="H9" s="230"/>
      <c r="I9" s="230"/>
      <c r="J9" s="230"/>
      <c r="K9" s="230"/>
      <c r="L9" s="230"/>
      <c r="M9" s="230"/>
    </row>
    <row r="10" spans="1:13" ht="18" customHeight="1">
      <c r="A10" s="1604" t="s">
        <v>2650</v>
      </c>
      <c r="B10" s="1605">
        <v>217</v>
      </c>
      <c r="C10" s="1593" t="s">
        <v>2651</v>
      </c>
      <c r="D10" s="1606" t="s">
        <v>4415</v>
      </c>
      <c r="E10" s="230"/>
      <c r="F10" s="230"/>
      <c r="G10" s="230"/>
      <c r="H10" s="230"/>
      <c r="I10" s="230"/>
      <c r="J10" s="230"/>
      <c r="K10" s="230"/>
      <c r="L10" s="230"/>
      <c r="M10" s="230"/>
    </row>
    <row r="11" spans="1:13" ht="18" customHeight="1">
      <c r="A11" s="1604" t="s">
        <v>2652</v>
      </c>
      <c r="B11" s="1605" t="s">
        <v>1878</v>
      </c>
      <c r="C11" s="1599" t="s">
        <v>2653</v>
      </c>
      <c r="D11" s="1600"/>
      <c r="E11" s="230"/>
      <c r="F11" s="230"/>
      <c r="G11" s="230"/>
      <c r="H11" s="230"/>
      <c r="I11" s="230"/>
      <c r="J11" s="230"/>
      <c r="K11" s="230"/>
      <c r="L11" s="230"/>
      <c r="M11" s="230"/>
    </row>
    <row r="12" spans="1:13" ht="18" customHeight="1">
      <c r="A12" s="1604" t="s">
        <v>2654</v>
      </c>
      <c r="B12" s="1607"/>
      <c r="C12" s="1599" t="s">
        <v>2475</v>
      </c>
      <c r="D12" s="1606">
        <v>213</v>
      </c>
      <c r="E12" s="230"/>
      <c r="F12" s="230"/>
      <c r="G12" s="230"/>
      <c r="H12" s="230"/>
      <c r="I12" s="230"/>
      <c r="J12" s="230"/>
      <c r="K12" s="230"/>
      <c r="L12" s="230"/>
      <c r="M12" s="230"/>
    </row>
    <row r="13" spans="1:13" ht="18" customHeight="1">
      <c r="A13" s="1604" t="s">
        <v>2476</v>
      </c>
      <c r="B13" s="1607"/>
      <c r="C13" s="1599" t="s">
        <v>2477</v>
      </c>
      <c r="D13" s="1606">
        <v>213</v>
      </c>
      <c r="E13" s="230"/>
      <c r="F13" s="230"/>
      <c r="G13" s="230"/>
      <c r="H13" s="230"/>
      <c r="I13" s="230"/>
      <c r="J13" s="230"/>
      <c r="K13" s="230"/>
      <c r="L13" s="230"/>
      <c r="M13" s="230"/>
    </row>
    <row r="14" spans="1:13" ht="18" customHeight="1">
      <c r="A14" s="1604" t="s">
        <v>2478</v>
      </c>
      <c r="B14" s="1605" t="s">
        <v>3376</v>
      </c>
      <c r="C14" s="1599" t="s">
        <v>2479</v>
      </c>
      <c r="D14" s="1606">
        <v>300</v>
      </c>
      <c r="E14" s="230"/>
      <c r="F14" s="230"/>
      <c r="G14" s="230"/>
      <c r="H14" s="230"/>
      <c r="I14" s="230"/>
      <c r="J14" s="230"/>
      <c r="K14" s="230"/>
      <c r="L14" s="230"/>
      <c r="M14" s="230"/>
    </row>
    <row r="15" spans="1:13" ht="18" customHeight="1">
      <c r="A15" s="1604" t="s">
        <v>2480</v>
      </c>
      <c r="B15" s="1605" t="s">
        <v>3376</v>
      </c>
      <c r="C15" s="1599" t="s">
        <v>2947</v>
      </c>
      <c r="D15" s="1606">
        <v>410</v>
      </c>
      <c r="E15" s="230"/>
      <c r="F15" s="230"/>
      <c r="G15" s="230"/>
      <c r="H15" s="230"/>
      <c r="I15" s="230"/>
      <c r="J15" s="230"/>
      <c r="K15" s="230"/>
      <c r="L15" s="230"/>
      <c r="M15" s="230"/>
    </row>
    <row r="16" spans="1:13" ht="18" customHeight="1">
      <c r="A16" s="1604" t="s">
        <v>2948</v>
      </c>
      <c r="B16" s="1605" t="s">
        <v>3376</v>
      </c>
      <c r="C16" s="1593" t="s">
        <v>4097</v>
      </c>
      <c r="D16" s="1606" t="s">
        <v>1043</v>
      </c>
      <c r="E16" s="230"/>
      <c r="F16" s="230"/>
      <c r="G16" s="230"/>
      <c r="H16" s="230"/>
      <c r="I16" s="230"/>
      <c r="J16" s="230"/>
      <c r="K16" s="230"/>
      <c r="L16" s="230"/>
      <c r="M16" s="230"/>
    </row>
    <row r="17" spans="1:13" ht="18" customHeight="1">
      <c r="A17" s="1604" t="s">
        <v>4098</v>
      </c>
      <c r="B17" s="1605" t="s">
        <v>3376</v>
      </c>
      <c r="C17" s="1593" t="s">
        <v>1376</v>
      </c>
      <c r="D17" s="1606">
        <v>261</v>
      </c>
      <c r="E17" s="230"/>
      <c r="F17" s="230"/>
      <c r="G17" s="230"/>
      <c r="H17" s="230"/>
      <c r="I17" s="230"/>
      <c r="J17" s="230"/>
      <c r="K17" s="230"/>
      <c r="L17" s="230"/>
      <c r="M17" s="230"/>
    </row>
    <row r="18" spans="1:13" ht="18" customHeight="1">
      <c r="A18" s="1604" t="s">
        <v>4099</v>
      </c>
      <c r="B18" s="1605" t="s">
        <v>2893</v>
      </c>
      <c r="C18" s="1593" t="s">
        <v>2847</v>
      </c>
      <c r="D18" s="1606">
        <v>216</v>
      </c>
      <c r="E18" s="230"/>
      <c r="F18" s="230"/>
      <c r="G18" s="230"/>
      <c r="H18" s="230"/>
      <c r="I18" s="230"/>
      <c r="J18" s="230"/>
      <c r="K18" s="230"/>
      <c r="L18" s="230"/>
      <c r="M18" s="230"/>
    </row>
    <row r="19" spans="1:13" ht="18" customHeight="1">
      <c r="A19" s="96" t="s">
        <v>4100</v>
      </c>
      <c r="B19" s="120">
        <v>213</v>
      </c>
      <c r="C19" s="97" t="s">
        <v>4101</v>
      </c>
      <c r="D19" s="410" t="s">
        <v>1879</v>
      </c>
      <c r="E19" s="230"/>
      <c r="F19" s="230"/>
      <c r="G19" s="230"/>
      <c r="H19" s="230"/>
      <c r="I19" s="230"/>
      <c r="J19" s="230"/>
      <c r="K19" s="230"/>
      <c r="L19" s="230"/>
      <c r="M19" s="230"/>
    </row>
    <row r="20" spans="1:13" ht="18" customHeight="1">
      <c r="A20" s="96" t="s">
        <v>2829</v>
      </c>
      <c r="B20" s="120" t="s">
        <v>3376</v>
      </c>
      <c r="C20" s="97" t="s">
        <v>4494</v>
      </c>
      <c r="D20" s="410">
        <v>209</v>
      </c>
      <c r="E20" s="230"/>
      <c r="F20" s="230"/>
      <c r="G20" s="230"/>
      <c r="H20" s="230"/>
      <c r="I20" s="230"/>
      <c r="J20" s="230"/>
      <c r="K20" s="230"/>
      <c r="L20" s="230"/>
      <c r="M20" s="230"/>
    </row>
    <row r="21" spans="1:13" ht="18" customHeight="1">
      <c r="A21" s="96" t="s">
        <v>756</v>
      </c>
      <c r="B21" s="120" t="s">
        <v>2830</v>
      </c>
      <c r="C21" s="97" t="s">
        <v>2831</v>
      </c>
      <c r="D21" s="410" t="s">
        <v>3369</v>
      </c>
      <c r="E21" s="230"/>
      <c r="F21" s="230"/>
      <c r="G21" s="230"/>
      <c r="H21" s="230"/>
      <c r="I21" s="230"/>
      <c r="J21" s="230"/>
      <c r="K21" s="230"/>
      <c r="L21" s="230"/>
      <c r="M21" s="230"/>
    </row>
    <row r="22" spans="1:13" ht="18" customHeight="1">
      <c r="A22" s="96" t="s">
        <v>2832</v>
      </c>
      <c r="B22" s="120">
        <v>209</v>
      </c>
      <c r="C22" s="97" t="s">
        <v>2833</v>
      </c>
      <c r="D22" s="410">
        <v>212</v>
      </c>
      <c r="E22" s="230"/>
      <c r="F22" s="230"/>
      <c r="G22" s="230"/>
      <c r="H22" s="230"/>
      <c r="I22" s="230"/>
      <c r="J22" s="230"/>
      <c r="K22" s="230"/>
      <c r="L22" s="230"/>
      <c r="M22" s="230"/>
    </row>
    <row r="23" spans="1:13" ht="18" customHeight="1">
      <c r="A23" s="96" t="s">
        <v>2760</v>
      </c>
      <c r="B23" s="120">
        <v>121</v>
      </c>
      <c r="C23" s="160" t="s">
        <v>2761</v>
      </c>
      <c r="D23" s="410">
        <v>253</v>
      </c>
      <c r="E23" s="230"/>
      <c r="F23" s="230"/>
      <c r="G23" s="230"/>
      <c r="H23" s="230"/>
      <c r="I23" s="230"/>
      <c r="J23" s="230"/>
      <c r="K23" s="230"/>
      <c r="L23" s="230"/>
      <c r="M23" s="230"/>
    </row>
    <row r="24" spans="1:13" ht="18" customHeight="1">
      <c r="A24" s="96" t="s">
        <v>4252</v>
      </c>
      <c r="B24" s="107"/>
      <c r="C24" s="160" t="s">
        <v>2363</v>
      </c>
      <c r="D24" s="410" t="s">
        <v>2364</v>
      </c>
      <c r="E24" s="230"/>
      <c r="F24" s="230"/>
      <c r="G24" s="230"/>
      <c r="H24" s="230"/>
      <c r="I24" s="230"/>
      <c r="J24" s="230"/>
      <c r="K24" s="230"/>
      <c r="L24" s="230"/>
      <c r="M24" s="230"/>
    </row>
    <row r="25" spans="1:13" ht="18" customHeight="1">
      <c r="A25" s="96" t="s">
        <v>4253</v>
      </c>
      <c r="B25" s="120" t="s">
        <v>1043</v>
      </c>
      <c r="C25" s="160" t="s">
        <v>4254</v>
      </c>
      <c r="D25" s="410">
        <v>309</v>
      </c>
      <c r="E25" s="230"/>
      <c r="F25" s="230"/>
      <c r="G25" s="230"/>
      <c r="H25" s="230"/>
      <c r="I25" s="230"/>
      <c r="J25" s="230"/>
      <c r="K25" s="230"/>
      <c r="L25" s="230"/>
      <c r="M25" s="230"/>
    </row>
    <row r="26" spans="1:13" ht="18" customHeight="1">
      <c r="A26" s="96" t="s">
        <v>4255</v>
      </c>
      <c r="B26" s="120" t="s">
        <v>1043</v>
      </c>
      <c r="C26" s="160" t="s">
        <v>4256</v>
      </c>
      <c r="D26" s="410" t="s">
        <v>652</v>
      </c>
      <c r="E26" s="230"/>
      <c r="F26" s="230"/>
      <c r="G26" s="230"/>
      <c r="H26" s="230"/>
      <c r="I26" s="230"/>
      <c r="J26" s="230"/>
      <c r="K26" s="230"/>
      <c r="L26" s="230"/>
      <c r="M26" s="230"/>
    </row>
    <row r="27" spans="1:13" ht="18" customHeight="1">
      <c r="A27" s="96" t="s">
        <v>3097</v>
      </c>
      <c r="B27" s="120">
        <v>210</v>
      </c>
      <c r="C27" s="160" t="s">
        <v>3070</v>
      </c>
      <c r="D27" s="410">
        <v>321</v>
      </c>
      <c r="E27" s="230"/>
      <c r="F27" s="230"/>
      <c r="G27" s="230"/>
      <c r="H27" s="230"/>
      <c r="I27" s="230"/>
      <c r="J27" s="230"/>
      <c r="K27" s="230"/>
      <c r="L27" s="230"/>
      <c r="M27" s="230"/>
    </row>
    <row r="28" spans="1:13" ht="18" customHeight="1">
      <c r="A28" s="96" t="s">
        <v>4263</v>
      </c>
      <c r="B28" s="120">
        <v>255</v>
      </c>
      <c r="C28" s="160" t="s">
        <v>1576</v>
      </c>
      <c r="D28" s="410">
        <v>411</v>
      </c>
      <c r="E28" s="230"/>
      <c r="F28" s="230"/>
      <c r="G28" s="230"/>
      <c r="H28" s="230"/>
      <c r="I28" s="230"/>
      <c r="J28" s="230"/>
      <c r="K28" s="230"/>
      <c r="L28" s="230"/>
      <c r="M28" s="230"/>
    </row>
    <row r="29" spans="1:13" ht="18" customHeight="1">
      <c r="A29" s="475" t="s">
        <v>564</v>
      </c>
      <c r="B29" s="120" t="s">
        <v>3637</v>
      </c>
      <c r="C29" s="160" t="s">
        <v>4264</v>
      </c>
      <c r="D29" s="410">
        <v>310</v>
      </c>
      <c r="E29" s="230"/>
      <c r="F29" s="230"/>
      <c r="G29" s="230"/>
      <c r="H29" s="230"/>
      <c r="I29" s="230"/>
      <c r="J29" s="230"/>
      <c r="K29" s="230"/>
      <c r="L29" s="230"/>
      <c r="M29" s="230"/>
    </row>
    <row r="30" spans="1:13" ht="18" customHeight="1">
      <c r="A30" s="475" t="s">
        <v>2238</v>
      </c>
      <c r="B30" s="120">
        <v>300</v>
      </c>
      <c r="C30" s="160" t="s">
        <v>2239</v>
      </c>
      <c r="D30" s="410"/>
      <c r="E30" s="230"/>
      <c r="F30" s="230"/>
      <c r="G30" s="230"/>
      <c r="H30" s="230"/>
      <c r="I30" s="230"/>
      <c r="J30" s="230"/>
      <c r="K30" s="230"/>
      <c r="L30" s="230"/>
      <c r="M30" s="230"/>
    </row>
    <row r="31" spans="1:13" ht="18" customHeight="1">
      <c r="A31" s="475" t="s">
        <v>2240</v>
      </c>
      <c r="B31" s="120" t="s">
        <v>1043</v>
      </c>
      <c r="C31" s="160" t="s">
        <v>2241</v>
      </c>
      <c r="D31" s="410">
        <v>212</v>
      </c>
      <c r="E31" s="230"/>
      <c r="F31" s="230"/>
      <c r="G31" s="230"/>
      <c r="H31" s="230"/>
      <c r="I31" s="230"/>
      <c r="J31" s="230"/>
      <c r="K31" s="230"/>
      <c r="L31" s="230"/>
      <c r="M31" s="230"/>
    </row>
    <row r="32" spans="1:13" ht="18" customHeight="1">
      <c r="A32" s="475" t="s">
        <v>1649</v>
      </c>
      <c r="B32" s="107"/>
      <c r="C32" s="160" t="s">
        <v>2242</v>
      </c>
      <c r="D32" s="410">
        <v>212</v>
      </c>
      <c r="E32" s="230"/>
      <c r="F32" s="230"/>
      <c r="G32" s="230"/>
      <c r="H32" s="230"/>
      <c r="I32" s="230"/>
      <c r="J32" s="230"/>
      <c r="K32" s="230"/>
      <c r="L32" s="230"/>
      <c r="M32" s="230"/>
    </row>
    <row r="33" spans="1:13" ht="18" customHeight="1">
      <c r="A33" s="475" t="s">
        <v>2243</v>
      </c>
      <c r="B33" s="120" t="s">
        <v>1650</v>
      </c>
      <c r="C33" s="160" t="s">
        <v>2244</v>
      </c>
      <c r="D33" s="410" t="s">
        <v>1650</v>
      </c>
      <c r="E33" s="230"/>
      <c r="F33" s="230"/>
      <c r="G33" s="230"/>
      <c r="H33" s="230"/>
      <c r="I33" s="230"/>
      <c r="J33" s="230"/>
      <c r="K33" s="230"/>
      <c r="L33" s="230"/>
      <c r="M33" s="230"/>
    </row>
    <row r="34" spans="1:13" ht="18" customHeight="1">
      <c r="A34" s="475" t="s">
        <v>2245</v>
      </c>
      <c r="B34" s="120">
        <v>254</v>
      </c>
      <c r="C34" s="160" t="s">
        <v>2246</v>
      </c>
      <c r="D34" s="410">
        <v>317</v>
      </c>
      <c r="E34" s="230"/>
      <c r="F34" s="230"/>
      <c r="G34" s="230"/>
      <c r="H34" s="230"/>
      <c r="I34" s="230"/>
      <c r="J34" s="230"/>
      <c r="K34" s="230"/>
      <c r="L34" s="230"/>
      <c r="M34" s="230"/>
    </row>
    <row r="35" spans="1:13" ht="18" customHeight="1">
      <c r="A35" s="475" t="s">
        <v>185</v>
      </c>
      <c r="B35" s="120">
        <v>252</v>
      </c>
      <c r="C35" s="160" t="s">
        <v>186</v>
      </c>
      <c r="D35" s="410" t="s">
        <v>2305</v>
      </c>
      <c r="E35" s="230"/>
      <c r="F35" s="230"/>
      <c r="G35" s="230"/>
      <c r="H35" s="230"/>
      <c r="I35" s="230"/>
      <c r="J35" s="230"/>
      <c r="K35" s="230"/>
      <c r="L35" s="230"/>
      <c r="M35" s="230"/>
    </row>
    <row r="36" spans="1:13" ht="18" customHeight="1">
      <c r="A36" s="475" t="s">
        <v>187</v>
      </c>
      <c r="B36" s="120">
        <v>252</v>
      </c>
      <c r="C36" s="160" t="s">
        <v>188</v>
      </c>
      <c r="D36" s="148"/>
      <c r="E36" s="230"/>
      <c r="F36" s="230"/>
      <c r="G36" s="230"/>
      <c r="H36" s="230"/>
      <c r="I36" s="230"/>
      <c r="J36" s="230"/>
      <c r="K36" s="230"/>
      <c r="L36" s="230"/>
      <c r="M36" s="230"/>
    </row>
    <row r="37" spans="1:13" ht="18" customHeight="1">
      <c r="A37" s="475" t="s">
        <v>189</v>
      </c>
      <c r="B37" s="120">
        <v>252</v>
      </c>
      <c r="C37" s="160" t="s">
        <v>190</v>
      </c>
      <c r="D37" s="410">
        <v>316</v>
      </c>
      <c r="E37" s="230"/>
      <c r="F37" s="230"/>
      <c r="G37" s="230"/>
      <c r="H37" s="230"/>
      <c r="I37" s="230"/>
      <c r="J37" s="230"/>
      <c r="K37" s="230"/>
      <c r="L37" s="230"/>
      <c r="M37" s="230"/>
    </row>
    <row r="38" spans="1:13" ht="18" customHeight="1">
      <c r="A38" s="475" t="s">
        <v>191</v>
      </c>
      <c r="B38" s="120">
        <v>253</v>
      </c>
      <c r="C38" s="160" t="s">
        <v>192</v>
      </c>
      <c r="D38" s="410" t="s">
        <v>2864</v>
      </c>
      <c r="E38" s="230"/>
      <c r="F38" s="230"/>
      <c r="G38" s="230"/>
      <c r="H38" s="230"/>
      <c r="I38" s="230"/>
      <c r="J38" s="230"/>
      <c r="K38" s="230"/>
      <c r="L38" s="230"/>
      <c r="M38" s="230"/>
    </row>
    <row r="39" spans="1:13" ht="18" customHeight="1">
      <c r="A39" s="475" t="s">
        <v>3507</v>
      </c>
      <c r="B39" s="120">
        <v>253</v>
      </c>
      <c r="C39" s="160" t="s">
        <v>3508</v>
      </c>
      <c r="D39" s="410" t="s">
        <v>1882</v>
      </c>
      <c r="E39" s="230"/>
      <c r="F39" s="230"/>
      <c r="G39" s="230"/>
      <c r="H39" s="230"/>
      <c r="I39" s="230"/>
      <c r="J39" s="230"/>
      <c r="K39" s="230"/>
      <c r="L39" s="230"/>
      <c r="M39" s="230"/>
    </row>
    <row r="40" spans="1:13" ht="18" customHeight="1">
      <c r="A40" s="475" t="s">
        <v>69</v>
      </c>
      <c r="B40" s="120">
        <v>252</v>
      </c>
      <c r="C40" s="160" t="s">
        <v>70</v>
      </c>
      <c r="D40" s="410">
        <v>316</v>
      </c>
      <c r="E40" s="230"/>
      <c r="F40" s="230"/>
      <c r="G40" s="230"/>
      <c r="H40" s="230"/>
      <c r="I40" s="230"/>
      <c r="J40" s="230"/>
      <c r="K40" s="230"/>
      <c r="L40" s="230"/>
      <c r="M40" s="230"/>
    </row>
    <row r="41" spans="1:13" ht="18" customHeight="1">
      <c r="A41" s="475" t="s">
        <v>1969</v>
      </c>
      <c r="B41" s="120" t="s">
        <v>3369</v>
      </c>
      <c r="C41" s="160" t="s">
        <v>1970</v>
      </c>
      <c r="D41" s="148"/>
      <c r="E41" s="230"/>
      <c r="F41" s="230"/>
      <c r="G41" s="230"/>
      <c r="H41" s="230"/>
      <c r="I41" s="230"/>
      <c r="J41" s="230"/>
      <c r="K41" s="230"/>
      <c r="L41" s="230"/>
      <c r="M41" s="230"/>
    </row>
    <row r="42" spans="1:13" ht="18" customHeight="1">
      <c r="A42" s="475" t="s">
        <v>1971</v>
      </c>
      <c r="B42" s="120" t="s">
        <v>4417</v>
      </c>
      <c r="C42" s="160" t="s">
        <v>1972</v>
      </c>
      <c r="D42" s="410" t="s">
        <v>1043</v>
      </c>
      <c r="E42" s="230"/>
      <c r="F42" s="230"/>
      <c r="G42" s="230"/>
      <c r="H42" s="230"/>
      <c r="I42" s="230"/>
      <c r="J42" s="230"/>
      <c r="K42" s="230"/>
      <c r="L42" s="230"/>
      <c r="M42" s="230"/>
    </row>
    <row r="43" spans="1:13" ht="18" customHeight="1">
      <c r="A43" s="475" t="s">
        <v>1973</v>
      </c>
      <c r="B43" s="1223">
        <v>319</v>
      </c>
      <c r="C43" s="160" t="s">
        <v>1974</v>
      </c>
      <c r="D43" s="1126">
        <v>210</v>
      </c>
      <c r="E43" s="230"/>
      <c r="F43" s="230"/>
      <c r="G43" s="230"/>
      <c r="H43" s="230"/>
      <c r="I43" s="230"/>
      <c r="J43" s="230"/>
      <c r="K43" s="230"/>
      <c r="L43" s="230"/>
      <c r="M43" s="230"/>
    </row>
    <row r="44" spans="1:13" ht="18" customHeight="1">
      <c r="A44" s="475" t="s">
        <v>1975</v>
      </c>
      <c r="B44" s="120" t="s">
        <v>39</v>
      </c>
      <c r="C44" s="160" t="s">
        <v>1976</v>
      </c>
      <c r="D44" s="410">
        <v>210</v>
      </c>
      <c r="E44" s="230"/>
      <c r="F44" s="230"/>
      <c r="G44" s="230"/>
      <c r="H44" s="230"/>
      <c r="I44" s="230"/>
      <c r="J44" s="230"/>
      <c r="K44" s="230"/>
      <c r="L44" s="230"/>
      <c r="M44" s="230"/>
    </row>
    <row r="45" spans="1:13" ht="18" customHeight="1">
      <c r="A45" s="475" t="s">
        <v>573</v>
      </c>
      <c r="B45" s="120" t="s">
        <v>574</v>
      </c>
      <c r="C45" s="160" t="s">
        <v>1977</v>
      </c>
      <c r="D45" s="410">
        <v>210</v>
      </c>
      <c r="E45" s="230"/>
      <c r="F45" s="230"/>
      <c r="G45" s="230"/>
      <c r="H45" s="230"/>
      <c r="I45" s="230"/>
      <c r="J45" s="230"/>
      <c r="K45" s="230"/>
      <c r="L45" s="230"/>
      <c r="M45" s="230"/>
    </row>
    <row r="46" spans="1:13" ht="18" customHeight="1">
      <c r="A46" s="475" t="s">
        <v>1978</v>
      </c>
      <c r="B46" s="120" t="s">
        <v>4412</v>
      </c>
      <c r="C46" s="160" t="s">
        <v>1042</v>
      </c>
      <c r="D46" s="410" t="s">
        <v>1043</v>
      </c>
      <c r="E46" s="230"/>
      <c r="F46" s="230"/>
      <c r="G46" s="230"/>
      <c r="H46" s="230"/>
      <c r="I46" s="230"/>
      <c r="J46" s="230"/>
      <c r="K46" s="230"/>
      <c r="L46" s="230"/>
      <c r="M46" s="230"/>
    </row>
    <row r="47" spans="1:13" ht="18" customHeight="1">
      <c r="A47" s="475" t="s">
        <v>2897</v>
      </c>
      <c r="B47" s="120">
        <v>207</v>
      </c>
      <c r="C47" s="97" t="s">
        <v>1293</v>
      </c>
      <c r="D47" s="410" t="s">
        <v>1294</v>
      </c>
      <c r="E47" s="230"/>
      <c r="F47" s="230"/>
      <c r="G47" s="230"/>
      <c r="H47" s="230"/>
      <c r="I47" s="230"/>
      <c r="J47" s="230"/>
      <c r="K47" s="230"/>
      <c r="L47" s="230"/>
      <c r="M47" s="230"/>
    </row>
    <row r="48" spans="1:13" ht="18" customHeight="1">
      <c r="A48" s="475" t="s">
        <v>2184</v>
      </c>
      <c r="B48" s="1223"/>
      <c r="C48" s="97" t="s">
        <v>3426</v>
      </c>
      <c r="D48" s="1126">
        <v>215</v>
      </c>
      <c r="E48" s="230"/>
      <c r="F48" s="230"/>
      <c r="G48" s="230"/>
      <c r="H48" s="230"/>
      <c r="I48" s="230"/>
      <c r="J48" s="230"/>
      <c r="K48" s="230"/>
      <c r="L48" s="230"/>
      <c r="M48" s="230"/>
    </row>
    <row r="49" spans="1:13" ht="18" customHeight="1">
      <c r="A49" s="475" t="s">
        <v>2185</v>
      </c>
      <c r="B49" s="120">
        <v>208</v>
      </c>
      <c r="C49" s="97" t="s">
        <v>2186</v>
      </c>
      <c r="D49" s="410">
        <v>410</v>
      </c>
      <c r="E49" s="230"/>
      <c r="F49" s="230"/>
      <c r="G49" s="230"/>
      <c r="H49" s="230"/>
      <c r="I49" s="230"/>
      <c r="J49" s="230"/>
      <c r="K49" s="230"/>
      <c r="L49" s="230"/>
      <c r="M49" s="230"/>
    </row>
    <row r="50" spans="1:13" ht="18" customHeight="1">
      <c r="A50" s="475" t="s">
        <v>2894</v>
      </c>
      <c r="B50" s="120">
        <v>206</v>
      </c>
      <c r="C50" s="97" t="s">
        <v>2187</v>
      </c>
      <c r="D50" s="410">
        <v>253</v>
      </c>
      <c r="E50" s="230"/>
      <c r="F50" s="230"/>
      <c r="G50" s="230"/>
      <c r="H50" s="230"/>
      <c r="I50" s="230"/>
      <c r="J50" s="230"/>
      <c r="K50" s="230"/>
      <c r="L50" s="230"/>
      <c r="M50" s="230"/>
    </row>
    <row r="51" spans="1:13" ht="18" customHeight="1" thickBot="1">
      <c r="A51" s="172" t="s">
        <v>2188</v>
      </c>
      <c r="B51" s="1357">
        <v>400</v>
      </c>
      <c r="C51" s="124" t="s">
        <v>2189</v>
      </c>
      <c r="D51" s="622" t="s">
        <v>2893</v>
      </c>
      <c r="E51" s="230"/>
      <c r="F51" s="230"/>
      <c r="G51" s="230"/>
      <c r="H51" s="230"/>
      <c r="I51" s="230"/>
      <c r="J51" s="230"/>
      <c r="K51" s="230"/>
      <c r="L51" s="230"/>
      <c r="M51" s="230"/>
    </row>
    <row r="52" spans="1:13">
      <c r="A52" s="128"/>
      <c r="B52" s="128"/>
      <c r="C52" s="128"/>
      <c r="D52" s="442" t="s">
        <v>4066</v>
      </c>
      <c r="E52" s="230"/>
      <c r="F52" s="230"/>
      <c r="G52" s="230"/>
      <c r="H52" s="230"/>
      <c r="I52" s="230"/>
      <c r="J52" s="230"/>
      <c r="K52" s="230"/>
      <c r="L52" s="230"/>
      <c r="M52" s="230"/>
    </row>
    <row r="53" spans="1:13">
      <c r="A53" s="128"/>
      <c r="B53" s="105" t="s">
        <v>2190</v>
      </c>
      <c r="C53" s="128"/>
      <c r="D53" s="442"/>
      <c r="E53" s="230"/>
      <c r="F53" s="230"/>
      <c r="G53" s="230"/>
      <c r="H53" s="230"/>
      <c r="I53" s="230"/>
      <c r="J53" s="230"/>
      <c r="K53" s="230"/>
      <c r="L53" s="230"/>
      <c r="M53" s="230"/>
    </row>
    <row r="54" spans="1:13" ht="15.75" thickBot="1">
      <c r="C54" s="128"/>
      <c r="D54" s="128"/>
      <c r="E54" s="230"/>
      <c r="F54" s="230"/>
      <c r="G54" s="230"/>
      <c r="H54" s="230"/>
      <c r="I54" s="230"/>
      <c r="J54" s="230"/>
      <c r="K54" s="230"/>
      <c r="L54" s="230"/>
      <c r="M54" s="230"/>
    </row>
    <row r="55" spans="1:13">
      <c r="A55" s="142"/>
      <c r="B55" s="143"/>
      <c r="C55" s="143"/>
      <c r="D55" s="144"/>
      <c r="E55" s="230"/>
      <c r="F55" s="230"/>
      <c r="G55" s="230"/>
      <c r="H55" s="230"/>
      <c r="I55" s="230"/>
      <c r="J55" s="230"/>
      <c r="K55" s="230"/>
      <c r="L55" s="230"/>
      <c r="M55" s="230"/>
    </row>
    <row r="56" spans="1:13" ht="15.75">
      <c r="A56" s="130" t="s">
        <v>207</v>
      </c>
      <c r="B56" s="128"/>
      <c r="C56" s="128"/>
      <c r="D56" s="145"/>
      <c r="E56" s="230"/>
      <c r="F56" s="230"/>
      <c r="G56" s="230"/>
      <c r="H56" s="230"/>
      <c r="I56" s="230"/>
      <c r="J56" s="230"/>
      <c r="K56" s="230"/>
      <c r="L56" s="230"/>
      <c r="M56" s="230"/>
    </row>
    <row r="57" spans="1:13">
      <c r="A57" s="663"/>
      <c r="B57" s="468"/>
      <c r="C57" s="468"/>
      <c r="D57" s="112"/>
      <c r="E57" s="230"/>
      <c r="F57" s="230"/>
      <c r="G57" s="230"/>
      <c r="H57" s="230"/>
      <c r="I57" s="230"/>
      <c r="J57" s="230"/>
      <c r="K57" s="230"/>
      <c r="L57" s="230"/>
      <c r="M57" s="230"/>
    </row>
    <row r="58" spans="1:13">
      <c r="A58" s="610"/>
      <c r="B58" s="1608"/>
      <c r="C58" s="97"/>
      <c r="D58" s="148"/>
      <c r="E58" s="230"/>
      <c r="F58" s="230"/>
      <c r="G58" s="230"/>
      <c r="H58" s="230"/>
      <c r="I58" s="230"/>
      <c r="J58" s="230"/>
      <c r="K58" s="230"/>
      <c r="L58" s="230"/>
      <c r="M58" s="230"/>
    </row>
    <row r="59" spans="1:13">
      <c r="A59" s="663" t="s">
        <v>208</v>
      </c>
      <c r="B59" s="1601" t="s">
        <v>4029</v>
      </c>
      <c r="C59" s="412" t="s">
        <v>208</v>
      </c>
      <c r="D59" s="414" t="s">
        <v>4029</v>
      </c>
      <c r="E59" s="230"/>
      <c r="F59" s="230"/>
      <c r="G59" s="230"/>
      <c r="H59" s="230"/>
      <c r="I59" s="230"/>
      <c r="J59" s="230"/>
      <c r="K59" s="230"/>
      <c r="L59" s="230"/>
      <c r="M59" s="230"/>
    </row>
    <row r="60" spans="1:13" ht="18" customHeight="1">
      <c r="A60" s="96" t="s">
        <v>2372</v>
      </c>
      <c r="B60" s="1609">
        <v>367</v>
      </c>
      <c r="C60" s="97" t="s">
        <v>2191</v>
      </c>
      <c r="D60" s="410" t="s">
        <v>2305</v>
      </c>
      <c r="E60" s="230"/>
      <c r="F60" s="230"/>
      <c r="G60" s="230"/>
      <c r="H60" s="230"/>
      <c r="I60" s="230"/>
      <c r="J60" s="230"/>
      <c r="K60" s="230"/>
      <c r="L60" s="230"/>
      <c r="M60" s="230"/>
    </row>
    <row r="61" spans="1:13" ht="18" customHeight="1">
      <c r="A61" s="96" t="s">
        <v>89</v>
      </c>
      <c r="B61" s="120">
        <v>213</v>
      </c>
      <c r="C61" s="160" t="s">
        <v>2192</v>
      </c>
      <c r="D61" s="148"/>
      <c r="E61" s="230"/>
      <c r="F61" s="230"/>
      <c r="G61" s="230"/>
      <c r="H61" s="230"/>
      <c r="I61" s="230"/>
      <c r="J61" s="230"/>
      <c r="K61" s="230"/>
      <c r="L61" s="230"/>
      <c r="M61" s="230"/>
    </row>
    <row r="62" spans="1:13" ht="18" customHeight="1">
      <c r="A62" s="96" t="s">
        <v>461</v>
      </c>
      <c r="B62" s="120">
        <v>255</v>
      </c>
      <c r="C62" s="160" t="s">
        <v>2193</v>
      </c>
      <c r="D62" s="410" t="s">
        <v>2194</v>
      </c>
      <c r="E62" s="230"/>
      <c r="F62" s="230"/>
      <c r="G62" s="230"/>
      <c r="H62" s="230"/>
      <c r="I62" s="230"/>
      <c r="J62" s="230"/>
      <c r="K62" s="230"/>
      <c r="L62" s="230"/>
      <c r="M62" s="230"/>
    </row>
    <row r="63" spans="1:13" ht="18" customHeight="1">
      <c r="A63" s="96" t="s">
        <v>2195</v>
      </c>
      <c r="B63" s="120">
        <v>300</v>
      </c>
      <c r="C63" s="160" t="s">
        <v>2196</v>
      </c>
      <c r="D63" s="410" t="s">
        <v>2197</v>
      </c>
      <c r="E63" s="230"/>
      <c r="F63" s="230"/>
      <c r="G63" s="230"/>
      <c r="H63" s="230"/>
      <c r="I63" s="230"/>
      <c r="J63" s="230"/>
      <c r="K63" s="230"/>
      <c r="L63" s="230"/>
      <c r="M63" s="230"/>
    </row>
    <row r="64" spans="1:13" ht="18" customHeight="1">
      <c r="A64" s="96" t="s">
        <v>2198</v>
      </c>
      <c r="B64" s="120" t="s">
        <v>2864</v>
      </c>
      <c r="C64" s="97" t="s">
        <v>2199</v>
      </c>
      <c r="D64" s="410">
        <v>215</v>
      </c>
      <c r="E64" s="230"/>
      <c r="F64" s="230"/>
      <c r="G64" s="230"/>
      <c r="H64" s="230"/>
      <c r="I64" s="230"/>
      <c r="J64" s="230"/>
      <c r="K64" s="230"/>
      <c r="L64" s="230"/>
      <c r="M64" s="230"/>
    </row>
    <row r="65" spans="1:13" ht="18" customHeight="1">
      <c r="A65" s="96" t="s">
        <v>2200</v>
      </c>
      <c r="B65" s="120">
        <v>253</v>
      </c>
      <c r="C65" s="97" t="s">
        <v>2201</v>
      </c>
      <c r="D65" s="410" t="s">
        <v>574</v>
      </c>
      <c r="E65" s="230"/>
      <c r="F65" s="230"/>
      <c r="G65" s="230"/>
      <c r="H65" s="230"/>
      <c r="I65" s="230"/>
      <c r="J65" s="230"/>
      <c r="K65" s="230"/>
      <c r="L65" s="230"/>
      <c r="M65" s="230"/>
    </row>
    <row r="66" spans="1:13" ht="18" customHeight="1">
      <c r="A66" s="96" t="s">
        <v>2320</v>
      </c>
      <c r="B66" s="120" t="s">
        <v>2371</v>
      </c>
      <c r="C66" s="97" t="s">
        <v>1507</v>
      </c>
      <c r="D66" s="410" t="s">
        <v>1043</v>
      </c>
      <c r="E66" s="230"/>
      <c r="F66" s="230"/>
      <c r="G66" s="230"/>
      <c r="H66" s="230"/>
      <c r="I66" s="230"/>
      <c r="J66" s="230"/>
      <c r="K66" s="230"/>
      <c r="L66" s="230"/>
      <c r="M66" s="230"/>
    </row>
    <row r="67" spans="1:13" ht="18" customHeight="1">
      <c r="A67" s="96" t="s">
        <v>1508</v>
      </c>
      <c r="B67" s="120" t="s">
        <v>2362</v>
      </c>
      <c r="C67" s="97" t="s">
        <v>1509</v>
      </c>
      <c r="D67" s="410" t="s">
        <v>1043</v>
      </c>
      <c r="E67" s="230"/>
      <c r="F67" s="230"/>
      <c r="G67" s="230"/>
      <c r="H67" s="230"/>
      <c r="I67" s="230"/>
      <c r="J67" s="230"/>
      <c r="K67" s="230"/>
      <c r="L67" s="230"/>
      <c r="M67" s="230"/>
    </row>
    <row r="68" spans="1:13" ht="18" customHeight="1">
      <c r="A68" s="96" t="s">
        <v>1510</v>
      </c>
      <c r="B68" s="120">
        <v>255</v>
      </c>
      <c r="C68" s="97" t="s">
        <v>603</v>
      </c>
      <c r="D68" s="148"/>
      <c r="E68" s="230"/>
      <c r="F68" s="230"/>
      <c r="G68" s="230"/>
      <c r="H68" s="230"/>
      <c r="I68" s="230"/>
      <c r="J68" s="230"/>
      <c r="K68" s="230"/>
      <c r="L68" s="230"/>
      <c r="M68" s="230"/>
    </row>
    <row r="69" spans="1:13" ht="18" customHeight="1">
      <c r="A69" s="96" t="s">
        <v>604</v>
      </c>
      <c r="B69" s="120">
        <v>354</v>
      </c>
      <c r="C69" s="97" t="s">
        <v>605</v>
      </c>
      <c r="D69" s="410">
        <v>213</v>
      </c>
      <c r="E69" s="230"/>
      <c r="F69" s="230"/>
      <c r="G69" s="230"/>
      <c r="H69" s="230"/>
      <c r="I69" s="230"/>
      <c r="J69" s="230"/>
      <c r="K69" s="230"/>
      <c r="L69" s="230"/>
      <c r="M69" s="230"/>
    </row>
    <row r="70" spans="1:13" ht="18" customHeight="1">
      <c r="A70" s="96" t="s">
        <v>463</v>
      </c>
      <c r="B70" s="120" t="s">
        <v>2366</v>
      </c>
      <c r="C70" s="97" t="s">
        <v>464</v>
      </c>
      <c r="D70" s="410" t="s">
        <v>4415</v>
      </c>
      <c r="E70" s="230"/>
      <c r="F70" s="230"/>
      <c r="G70" s="230"/>
      <c r="H70" s="230"/>
      <c r="I70" s="230"/>
      <c r="J70" s="230"/>
      <c r="K70" s="230"/>
      <c r="L70" s="230"/>
      <c r="M70" s="230"/>
    </row>
    <row r="71" spans="1:13" ht="18" customHeight="1">
      <c r="A71" s="96" t="s">
        <v>4267</v>
      </c>
      <c r="B71" s="120" t="s">
        <v>2369</v>
      </c>
      <c r="C71" s="97" t="s">
        <v>1161</v>
      </c>
      <c r="D71" s="410">
        <v>300</v>
      </c>
      <c r="E71" s="230"/>
      <c r="F71" s="230"/>
      <c r="G71" s="230"/>
      <c r="H71" s="230"/>
      <c r="I71" s="230"/>
      <c r="J71" s="230"/>
      <c r="K71" s="230"/>
      <c r="L71" s="230"/>
      <c r="M71" s="230"/>
    </row>
    <row r="72" spans="1:13" ht="18" customHeight="1">
      <c r="A72" s="96" t="s">
        <v>3556</v>
      </c>
      <c r="B72" s="120" t="s">
        <v>2893</v>
      </c>
      <c r="C72" s="97" t="s">
        <v>4268</v>
      </c>
      <c r="D72" s="410">
        <v>306</v>
      </c>
      <c r="E72" s="230"/>
      <c r="F72" s="230"/>
      <c r="G72" s="230"/>
      <c r="H72" s="230"/>
      <c r="I72" s="230"/>
      <c r="J72" s="230"/>
      <c r="K72" s="230"/>
      <c r="L72" s="230"/>
      <c r="M72" s="230"/>
    </row>
    <row r="73" spans="1:13" ht="18" customHeight="1">
      <c r="A73" s="96" t="s">
        <v>4269</v>
      </c>
      <c r="B73" s="120" t="s">
        <v>2893</v>
      </c>
      <c r="C73" s="97" t="s">
        <v>2376</v>
      </c>
      <c r="D73" s="410">
        <v>400</v>
      </c>
      <c r="E73" s="230"/>
      <c r="F73" s="230"/>
      <c r="G73" s="230"/>
      <c r="H73" s="230"/>
      <c r="I73" s="230"/>
      <c r="J73" s="230"/>
      <c r="K73" s="230"/>
      <c r="L73" s="230"/>
      <c r="M73" s="230"/>
    </row>
    <row r="74" spans="1:13" ht="18" customHeight="1">
      <c r="A74" s="96" t="s">
        <v>4499</v>
      </c>
      <c r="B74" s="120" t="s">
        <v>1471</v>
      </c>
      <c r="C74" s="97" t="s">
        <v>4270</v>
      </c>
      <c r="D74" s="410">
        <v>305</v>
      </c>
      <c r="E74" s="230"/>
      <c r="F74" s="230"/>
      <c r="G74" s="230"/>
      <c r="H74" s="230"/>
      <c r="I74" s="230"/>
      <c r="J74" s="230"/>
      <c r="K74" s="230"/>
      <c r="L74" s="230"/>
      <c r="M74" s="230"/>
    </row>
    <row r="75" spans="1:13" ht="18" customHeight="1">
      <c r="A75" s="96" t="s">
        <v>4053</v>
      </c>
      <c r="B75" s="120" t="s">
        <v>2893</v>
      </c>
      <c r="C75" s="97" t="s">
        <v>4054</v>
      </c>
      <c r="D75" s="410">
        <v>405</v>
      </c>
      <c r="E75" s="230"/>
      <c r="F75" s="230"/>
      <c r="G75" s="230"/>
      <c r="H75" s="230"/>
      <c r="I75" s="230"/>
      <c r="J75" s="230"/>
      <c r="K75" s="230"/>
      <c r="L75" s="230"/>
      <c r="M75" s="230"/>
    </row>
    <row r="76" spans="1:13" ht="18" customHeight="1">
      <c r="A76" s="96" t="s">
        <v>4055</v>
      </c>
      <c r="B76" s="120" t="s">
        <v>2893</v>
      </c>
      <c r="C76" s="97"/>
      <c r="D76" s="148"/>
      <c r="E76" s="230"/>
      <c r="F76" s="230"/>
      <c r="G76" s="230"/>
      <c r="H76" s="230"/>
      <c r="I76" s="230"/>
      <c r="J76" s="230"/>
      <c r="K76" s="230"/>
      <c r="L76" s="230"/>
      <c r="M76" s="230"/>
    </row>
    <row r="77" spans="1:13" ht="18" customHeight="1">
      <c r="A77" s="96" t="s">
        <v>4056</v>
      </c>
      <c r="B77" s="120" t="s">
        <v>3376</v>
      </c>
      <c r="C77" s="97"/>
      <c r="D77" s="148"/>
      <c r="E77" s="230"/>
      <c r="F77" s="230"/>
      <c r="G77" s="230"/>
      <c r="H77" s="230"/>
      <c r="I77" s="230"/>
      <c r="J77" s="230"/>
      <c r="K77" s="230"/>
      <c r="L77" s="230"/>
      <c r="M77" s="230"/>
    </row>
    <row r="78" spans="1:13" ht="18" customHeight="1">
      <c r="A78" s="96" t="s">
        <v>4057</v>
      </c>
      <c r="B78" s="120">
        <v>310</v>
      </c>
      <c r="C78" s="97"/>
      <c r="D78" s="148"/>
      <c r="E78" s="230"/>
      <c r="F78" s="230"/>
      <c r="G78" s="230"/>
      <c r="H78" s="230"/>
      <c r="I78" s="230"/>
      <c r="J78" s="230"/>
      <c r="K78" s="230"/>
      <c r="L78" s="230"/>
      <c r="M78" s="230"/>
    </row>
    <row r="79" spans="1:13" ht="18" customHeight="1">
      <c r="A79" s="96" t="s">
        <v>4058</v>
      </c>
      <c r="B79" s="120">
        <v>252</v>
      </c>
      <c r="C79" s="97"/>
      <c r="D79" s="148"/>
      <c r="E79" s="230"/>
      <c r="F79" s="230"/>
      <c r="G79" s="230"/>
      <c r="H79" s="230"/>
      <c r="I79" s="230"/>
      <c r="J79" s="230"/>
      <c r="K79" s="230"/>
      <c r="L79" s="230"/>
      <c r="M79" s="230"/>
    </row>
    <row r="80" spans="1:13" ht="18" customHeight="1">
      <c r="A80" s="96" t="s">
        <v>2792</v>
      </c>
      <c r="B80" s="120" t="s">
        <v>4059</v>
      </c>
      <c r="C80" s="97"/>
      <c r="D80" s="148"/>
      <c r="E80" s="230"/>
      <c r="F80" s="230"/>
      <c r="G80" s="230"/>
      <c r="H80" s="230"/>
      <c r="I80" s="230"/>
      <c r="J80" s="230"/>
      <c r="K80" s="230"/>
      <c r="L80" s="230"/>
      <c r="M80" s="230"/>
    </row>
    <row r="81" spans="1:13" ht="18" customHeight="1">
      <c r="A81" s="96" t="s">
        <v>2676</v>
      </c>
      <c r="B81" s="120" t="s">
        <v>4059</v>
      </c>
      <c r="C81" s="97"/>
      <c r="D81" s="148"/>
      <c r="E81" s="230"/>
      <c r="F81" s="230"/>
      <c r="G81" s="230"/>
      <c r="H81" s="230"/>
      <c r="I81" s="230"/>
      <c r="J81" s="230"/>
      <c r="K81" s="230"/>
      <c r="L81" s="230"/>
      <c r="M81" s="230"/>
    </row>
    <row r="82" spans="1:13" ht="18" customHeight="1">
      <c r="A82" s="96" t="s">
        <v>3996</v>
      </c>
      <c r="B82" s="120" t="s">
        <v>3997</v>
      </c>
      <c r="C82" s="97"/>
      <c r="D82" s="148"/>
      <c r="E82" s="230"/>
      <c r="F82" s="230"/>
      <c r="G82" s="230"/>
      <c r="H82" s="230"/>
      <c r="I82" s="230"/>
      <c r="J82" s="230"/>
      <c r="K82" s="230"/>
      <c r="L82" s="230"/>
      <c r="M82" s="230"/>
    </row>
    <row r="83" spans="1:13" ht="18" customHeight="1">
      <c r="A83" s="96" t="s">
        <v>2229</v>
      </c>
      <c r="B83" s="120">
        <v>305</v>
      </c>
      <c r="C83" s="97"/>
      <c r="D83" s="148"/>
      <c r="E83" s="230"/>
      <c r="F83" s="230"/>
      <c r="G83" s="230"/>
      <c r="H83" s="230"/>
      <c r="I83" s="230"/>
      <c r="J83" s="230"/>
      <c r="K83" s="230"/>
      <c r="L83" s="230"/>
      <c r="M83" s="230"/>
    </row>
    <row r="84" spans="1:13" ht="18" customHeight="1">
      <c r="A84" s="96" t="s">
        <v>4060</v>
      </c>
      <c r="B84" s="120">
        <v>213</v>
      </c>
      <c r="C84" s="97"/>
      <c r="D84" s="148"/>
      <c r="E84" s="230"/>
      <c r="F84" s="230"/>
      <c r="G84" s="230"/>
      <c r="H84" s="230"/>
      <c r="I84" s="230"/>
      <c r="J84" s="230"/>
      <c r="K84" s="230"/>
      <c r="L84" s="230"/>
      <c r="M84" s="230"/>
    </row>
    <row r="85" spans="1:13" ht="18" customHeight="1">
      <c r="A85" s="96" t="s">
        <v>2073</v>
      </c>
      <c r="B85" s="120">
        <v>214</v>
      </c>
      <c r="C85" s="97"/>
      <c r="D85" s="148"/>
      <c r="E85" s="230"/>
      <c r="F85" s="230"/>
      <c r="G85" s="230"/>
      <c r="H85" s="230"/>
      <c r="I85" s="230"/>
      <c r="J85" s="230"/>
      <c r="K85" s="230"/>
      <c r="L85" s="230"/>
      <c r="M85" s="230"/>
    </row>
    <row r="86" spans="1:13" ht="18" customHeight="1">
      <c r="A86" s="96" t="s">
        <v>4061</v>
      </c>
      <c r="B86" s="120"/>
      <c r="C86" s="97"/>
      <c r="D86" s="148"/>
      <c r="E86" s="230"/>
      <c r="F86" s="230"/>
      <c r="G86" s="230"/>
      <c r="H86" s="230"/>
      <c r="I86" s="230"/>
      <c r="J86" s="230"/>
      <c r="K86" s="230"/>
      <c r="L86" s="230"/>
      <c r="M86" s="230"/>
    </row>
    <row r="87" spans="1:13" ht="18" customHeight="1">
      <c r="A87" s="96" t="s">
        <v>4062</v>
      </c>
      <c r="B87" s="120">
        <v>314</v>
      </c>
      <c r="C87" s="97"/>
      <c r="D87" s="148"/>
      <c r="E87" s="230"/>
      <c r="F87" s="230"/>
      <c r="G87" s="230"/>
      <c r="H87" s="230"/>
      <c r="I87" s="230"/>
      <c r="J87" s="230"/>
      <c r="K87" s="230"/>
      <c r="L87" s="230"/>
      <c r="M87" s="230"/>
    </row>
    <row r="88" spans="1:13" ht="18" customHeight="1">
      <c r="A88" s="96" t="s">
        <v>1440</v>
      </c>
      <c r="B88" s="120" t="s">
        <v>2357</v>
      </c>
      <c r="C88" s="97"/>
      <c r="D88" s="148"/>
      <c r="E88" s="230"/>
      <c r="F88" s="230"/>
      <c r="G88" s="230"/>
      <c r="H88" s="230"/>
      <c r="I88" s="230"/>
      <c r="J88" s="230"/>
      <c r="K88" s="230"/>
      <c r="L88" s="230"/>
      <c r="M88" s="230"/>
    </row>
    <row r="89" spans="1:13" ht="18" customHeight="1">
      <c r="A89" s="96" t="s">
        <v>1441</v>
      </c>
      <c r="B89" s="120" t="s">
        <v>1885</v>
      </c>
      <c r="C89" s="97"/>
      <c r="D89" s="148"/>
      <c r="E89" s="230"/>
      <c r="F89" s="230"/>
      <c r="G89" s="230"/>
      <c r="H89" s="230"/>
      <c r="I89" s="230"/>
      <c r="J89" s="230"/>
      <c r="K89" s="230"/>
      <c r="L89" s="230"/>
      <c r="M89" s="230"/>
    </row>
    <row r="90" spans="1:13" ht="18" customHeight="1">
      <c r="A90" s="96" t="s">
        <v>2326</v>
      </c>
      <c r="B90" s="120"/>
      <c r="C90" s="97"/>
      <c r="D90" s="148"/>
      <c r="E90" s="230"/>
      <c r="F90" s="230"/>
      <c r="G90" s="230"/>
      <c r="H90" s="230"/>
      <c r="I90" s="230"/>
      <c r="J90" s="230"/>
      <c r="K90" s="230"/>
      <c r="L90" s="230"/>
      <c r="M90" s="230"/>
    </row>
    <row r="91" spans="1:13" ht="18" customHeight="1">
      <c r="A91" s="96" t="s">
        <v>1442</v>
      </c>
      <c r="B91" s="120">
        <v>306</v>
      </c>
      <c r="C91" s="97"/>
      <c r="D91" s="148"/>
      <c r="E91" s="230"/>
      <c r="F91" s="230"/>
      <c r="G91" s="230"/>
      <c r="H91" s="230"/>
      <c r="I91" s="230"/>
      <c r="J91" s="230"/>
      <c r="K91" s="230"/>
      <c r="L91" s="230"/>
      <c r="M91" s="230"/>
    </row>
    <row r="92" spans="1:13" ht="18" customHeight="1">
      <c r="A92" s="96" t="s">
        <v>742</v>
      </c>
      <c r="B92" s="120">
        <v>121</v>
      </c>
      <c r="C92" s="97"/>
      <c r="D92" s="148"/>
      <c r="E92" s="230"/>
      <c r="F92" s="230"/>
      <c r="G92" s="230"/>
      <c r="H92" s="230"/>
      <c r="I92" s="230"/>
      <c r="J92" s="230"/>
      <c r="K92" s="230"/>
      <c r="L92" s="230"/>
      <c r="M92" s="230"/>
    </row>
    <row r="93" spans="1:13" ht="18" customHeight="1">
      <c r="A93" s="96" t="s">
        <v>743</v>
      </c>
      <c r="B93" s="120">
        <v>300</v>
      </c>
      <c r="C93" s="97"/>
      <c r="D93" s="148"/>
      <c r="E93" s="230"/>
      <c r="F93" s="230"/>
      <c r="G93" s="230"/>
      <c r="H93" s="230"/>
      <c r="I93" s="230"/>
      <c r="J93" s="230"/>
      <c r="K93" s="230"/>
      <c r="L93" s="230"/>
      <c r="M93" s="230"/>
    </row>
    <row r="94" spans="1:13" ht="18" customHeight="1">
      <c r="A94" s="96" t="s">
        <v>386</v>
      </c>
      <c r="B94" s="120">
        <v>306</v>
      </c>
      <c r="C94" s="97"/>
      <c r="D94" s="148"/>
      <c r="E94" s="230"/>
      <c r="F94" s="230"/>
      <c r="G94" s="230"/>
      <c r="H94" s="230"/>
      <c r="I94" s="230"/>
      <c r="J94" s="230"/>
      <c r="K94" s="230"/>
      <c r="L94" s="230"/>
      <c r="M94" s="230"/>
    </row>
    <row r="95" spans="1:13" ht="18" customHeight="1">
      <c r="A95" s="96" t="s">
        <v>387</v>
      </c>
      <c r="B95" s="120">
        <v>354</v>
      </c>
      <c r="C95" s="97"/>
      <c r="D95" s="148"/>
      <c r="E95" s="230"/>
      <c r="F95" s="230"/>
      <c r="G95" s="230"/>
      <c r="H95" s="230"/>
      <c r="I95" s="230"/>
      <c r="J95" s="230"/>
      <c r="K95" s="230"/>
      <c r="L95" s="230"/>
      <c r="M95" s="230"/>
    </row>
    <row r="96" spans="1:13" ht="18" customHeight="1">
      <c r="A96" s="96" t="s">
        <v>1252</v>
      </c>
      <c r="B96" s="107"/>
      <c r="C96" s="97"/>
      <c r="D96" s="148"/>
      <c r="E96" s="230"/>
      <c r="F96" s="230"/>
      <c r="G96" s="230"/>
      <c r="H96" s="230"/>
      <c r="I96" s="230"/>
      <c r="J96" s="230"/>
      <c r="K96" s="230"/>
      <c r="L96" s="230"/>
      <c r="M96" s="230"/>
    </row>
    <row r="97" spans="1:13" ht="18" customHeight="1">
      <c r="A97" s="96" t="s">
        <v>388</v>
      </c>
      <c r="B97" s="120">
        <v>305</v>
      </c>
      <c r="C97" s="97"/>
      <c r="D97" s="148"/>
      <c r="E97" s="230"/>
      <c r="F97" s="230"/>
      <c r="G97" s="230"/>
      <c r="H97" s="230"/>
      <c r="I97" s="230"/>
      <c r="J97" s="230"/>
      <c r="K97" s="230"/>
      <c r="L97" s="230"/>
      <c r="M97" s="230"/>
    </row>
    <row r="98" spans="1:13" ht="18" customHeight="1">
      <c r="A98" s="96" t="s">
        <v>389</v>
      </c>
      <c r="B98" s="120" t="s">
        <v>979</v>
      </c>
      <c r="C98" s="97"/>
      <c r="D98" s="148"/>
      <c r="E98" s="230"/>
      <c r="F98" s="230"/>
      <c r="G98" s="230"/>
      <c r="H98" s="230"/>
      <c r="I98" s="230"/>
      <c r="J98" s="230"/>
      <c r="K98" s="230"/>
      <c r="L98" s="230"/>
      <c r="M98" s="230"/>
    </row>
    <row r="99" spans="1:13" ht="18" customHeight="1">
      <c r="A99" s="96" t="s">
        <v>390</v>
      </c>
      <c r="B99" s="120">
        <v>301</v>
      </c>
      <c r="C99" s="97"/>
      <c r="D99" s="148"/>
      <c r="E99" s="230"/>
      <c r="F99" s="230"/>
      <c r="G99" s="230"/>
      <c r="H99" s="230"/>
      <c r="I99" s="230"/>
      <c r="J99" s="230"/>
      <c r="K99" s="230"/>
      <c r="L99" s="230"/>
      <c r="M99" s="230"/>
    </row>
    <row r="100" spans="1:13" ht="18" customHeight="1">
      <c r="A100" s="96" t="s">
        <v>1295</v>
      </c>
      <c r="B100" s="120">
        <v>409</v>
      </c>
      <c r="C100" s="97"/>
      <c r="D100" s="148"/>
      <c r="E100" s="230"/>
      <c r="F100" s="230"/>
      <c r="G100" s="230"/>
      <c r="H100" s="230"/>
      <c r="I100" s="230"/>
      <c r="J100" s="230"/>
      <c r="K100" s="230"/>
      <c r="L100" s="230"/>
      <c r="M100" s="230"/>
    </row>
    <row r="101" spans="1:13" ht="18" customHeight="1">
      <c r="A101" s="96" t="s">
        <v>391</v>
      </c>
      <c r="B101" s="120" t="s">
        <v>2305</v>
      </c>
      <c r="C101" s="97"/>
      <c r="D101" s="148"/>
      <c r="E101" s="230"/>
      <c r="F101" s="230"/>
      <c r="G101" s="230"/>
      <c r="H101" s="230"/>
      <c r="I101" s="230"/>
      <c r="J101" s="230"/>
      <c r="K101" s="230"/>
      <c r="L101" s="230"/>
      <c r="M101" s="230"/>
    </row>
    <row r="102" spans="1:13" ht="18" customHeight="1">
      <c r="A102" s="96" t="s">
        <v>392</v>
      </c>
      <c r="B102" s="120" t="s">
        <v>2305</v>
      </c>
      <c r="C102" s="97"/>
      <c r="D102" s="148"/>
      <c r="E102" s="230"/>
      <c r="F102" s="230"/>
      <c r="G102" s="230"/>
      <c r="H102" s="230"/>
      <c r="I102" s="230"/>
      <c r="J102" s="230"/>
      <c r="K102" s="230"/>
      <c r="L102" s="230"/>
      <c r="M102" s="230"/>
    </row>
    <row r="103" spans="1:13" ht="18" customHeight="1">
      <c r="A103" s="96" t="s">
        <v>393</v>
      </c>
      <c r="B103" s="120">
        <v>406</v>
      </c>
      <c r="C103" s="97"/>
      <c r="D103" s="148"/>
      <c r="E103" s="230"/>
      <c r="F103" s="230"/>
      <c r="G103" s="230"/>
      <c r="H103" s="230"/>
      <c r="I103" s="230"/>
      <c r="J103" s="230"/>
      <c r="K103" s="230"/>
      <c r="L103" s="230"/>
      <c r="M103" s="230"/>
    </row>
    <row r="104" spans="1:13" ht="18" customHeight="1" thickBot="1">
      <c r="A104" s="172" t="s">
        <v>394</v>
      </c>
      <c r="B104" s="1357" t="s">
        <v>3376</v>
      </c>
      <c r="C104" s="124"/>
      <c r="D104" s="1610"/>
      <c r="E104" s="230"/>
      <c r="F104" s="230"/>
      <c r="G104" s="230"/>
      <c r="H104" s="230"/>
      <c r="I104" s="230"/>
      <c r="J104" s="230"/>
      <c r="K104" s="230"/>
      <c r="L104" s="230"/>
      <c r="M104" s="230"/>
    </row>
    <row r="105" spans="1:13">
      <c r="A105" s="97" t="s">
        <v>4066</v>
      </c>
      <c r="B105" s="128"/>
      <c r="C105" s="128"/>
      <c r="D105" s="128"/>
      <c r="E105" s="230"/>
      <c r="F105" s="230"/>
      <c r="G105" s="230"/>
      <c r="H105" s="230"/>
      <c r="I105" s="230"/>
      <c r="J105" s="230"/>
      <c r="K105" s="230"/>
      <c r="L105" s="230"/>
      <c r="M105" s="230"/>
    </row>
    <row r="106" spans="1:13">
      <c r="A106" s="128" t="s">
        <v>395</v>
      </c>
      <c r="B106" s="128"/>
      <c r="C106" s="128"/>
      <c r="D106" s="128"/>
      <c r="E106" s="230"/>
      <c r="F106" s="230"/>
      <c r="G106" s="230"/>
      <c r="H106" s="230"/>
      <c r="I106" s="230"/>
      <c r="J106" s="230"/>
      <c r="K106" s="230"/>
      <c r="L106" s="230"/>
      <c r="M106" s="230"/>
    </row>
    <row r="107" spans="1:13">
      <c r="A107" s="230"/>
      <c r="B107" s="230"/>
      <c r="C107" s="230"/>
      <c r="D107" s="230"/>
      <c r="E107" s="230"/>
      <c r="F107" s="230"/>
      <c r="G107" s="230"/>
      <c r="H107" s="230"/>
      <c r="I107" s="230"/>
      <c r="J107" s="230"/>
      <c r="K107" s="230"/>
      <c r="L107" s="230"/>
      <c r="M107" s="230"/>
    </row>
    <row r="108" spans="1:13">
      <c r="A108" s="230"/>
      <c r="B108" s="230"/>
      <c r="C108" s="230"/>
      <c r="D108" s="230"/>
      <c r="E108" s="230"/>
      <c r="F108" s="230"/>
      <c r="G108" s="230"/>
      <c r="H108" s="230"/>
      <c r="I108" s="230"/>
      <c r="J108" s="230"/>
      <c r="K108" s="230"/>
      <c r="L108" s="230"/>
      <c r="M108" s="230"/>
    </row>
    <row r="109" spans="1:13">
      <c r="A109" s="230"/>
      <c r="B109" s="230"/>
      <c r="C109" s="230"/>
      <c r="D109" s="230"/>
      <c r="E109" s="230"/>
      <c r="F109" s="230"/>
      <c r="G109" s="230"/>
      <c r="H109" s="230"/>
      <c r="I109" s="230"/>
      <c r="J109" s="230"/>
      <c r="K109" s="230"/>
      <c r="L109" s="230"/>
      <c r="M109" s="230"/>
    </row>
    <row r="110" spans="1:13">
      <c r="A110" s="230"/>
      <c r="B110" s="230"/>
      <c r="C110" s="230"/>
      <c r="D110" s="230"/>
      <c r="E110" s="230"/>
      <c r="F110" s="230"/>
      <c r="G110" s="230"/>
      <c r="H110" s="230"/>
      <c r="I110" s="230"/>
      <c r="J110" s="230"/>
      <c r="K110" s="230"/>
      <c r="L110" s="230"/>
      <c r="M110" s="230"/>
    </row>
    <row r="111" spans="1:13">
      <c r="A111" s="97"/>
      <c r="B111" s="230"/>
      <c r="C111" s="230"/>
      <c r="D111" s="230"/>
      <c r="E111" s="230"/>
      <c r="F111" s="230"/>
      <c r="G111" s="230"/>
      <c r="H111" s="230"/>
      <c r="I111" s="230"/>
      <c r="J111" s="230"/>
      <c r="K111" s="230"/>
      <c r="L111" s="230"/>
      <c r="M111" s="230"/>
    </row>
    <row r="112" spans="1:13">
      <c r="A112" s="97"/>
      <c r="B112" s="230"/>
      <c r="C112" s="230"/>
      <c r="D112" s="230"/>
      <c r="E112" s="230"/>
      <c r="F112" s="230"/>
      <c r="G112" s="230"/>
      <c r="H112" s="230"/>
      <c r="I112" s="230"/>
      <c r="J112" s="230"/>
      <c r="K112" s="230"/>
      <c r="L112" s="230"/>
      <c r="M112" s="230"/>
    </row>
    <row r="113" spans="1:5">
      <c r="A113" s="97"/>
      <c r="B113" s="230"/>
      <c r="C113" s="230"/>
      <c r="D113" s="230"/>
      <c r="E113" s="230"/>
    </row>
    <row r="114" spans="1:5">
      <c r="A114" s="97"/>
      <c r="B114" s="230"/>
      <c r="C114" s="230"/>
      <c r="D114" s="230"/>
      <c r="E114" s="230"/>
    </row>
    <row r="115" spans="1:5">
      <c r="A115" s="97"/>
      <c r="B115" s="230"/>
      <c r="C115" s="230"/>
      <c r="D115" s="230"/>
      <c r="E115" s="230"/>
    </row>
    <row r="116" spans="1:5">
      <c r="A116" s="97"/>
      <c r="B116" s="230"/>
      <c r="C116" s="230"/>
      <c r="D116" s="230"/>
      <c r="E116" s="230"/>
    </row>
    <row r="117" spans="1:5">
      <c r="A117" s="97"/>
      <c r="B117" s="230"/>
      <c r="C117" s="230"/>
      <c r="D117" s="230"/>
      <c r="E117" s="230"/>
    </row>
    <row r="118" spans="1:5">
      <c r="A118" s="97"/>
    </row>
    <row r="119" spans="1:5">
      <c r="A119" s="97"/>
    </row>
    <row r="120" spans="1:5">
      <c r="A120" s="97"/>
    </row>
    <row r="121" spans="1:5">
      <c r="A121" s="97"/>
    </row>
  </sheetData>
  <customSheetViews>
    <customSheetView guid="{1BA452AD-1A45-4D9C-9666-ADFFA6F2F567}" scale="60" colorId="22" showPageBreaks="1" printArea="1" view="pageBreakPreview">
      <rowBreaks count="1" manualBreakCount="1">
        <brk id="53" max="3" man="1"/>
      </rowBreaks>
      <pageMargins left="0.4" right="0.4" top="0.3" bottom="0.3" header="0" footer="0"/>
      <printOptions horizontalCentered="1" verticalCentered="1"/>
      <pageSetup scale="79" fitToHeight="2" orientation="portrait" r:id="rId1"/>
      <headerFooter alignWithMargins="0"/>
    </customSheetView>
    <customSheetView guid="{EEF7ABD6-0F96-4791-B749-C06F707E7673}" scale="60" colorId="22" showPageBreaks="1" printArea="1" view="pageBreakPreview" showRuler="0">
      <selection activeCell="C104" sqref="C104"/>
      <rowBreaks count="1" manualBreakCount="1">
        <brk id="53" max="3" man="1"/>
      </rowBreaks>
      <pageMargins left="0.4" right="0.4" top="0.3" bottom="0.3" header="0" footer="0"/>
      <printOptions horizontalCentered="1" verticalCentered="1"/>
      <pageSetup scale="79" fitToHeight="2" orientation="portrait" r:id="rId2"/>
      <headerFooter alignWithMargins="0"/>
    </customSheetView>
    <customSheetView guid="{A7D7DB3C-AFE6-468E-8C6B-9531F6711497}" scale="60" colorId="22" showPageBreaks="1" printArea="1" view="pageBreakPreview" showRuler="0">
      <selection activeCell="H5" sqref="H5"/>
      <rowBreaks count="1" manualBreakCount="1">
        <brk id="53" max="3" man="1"/>
      </rowBreaks>
      <pageMargins left="0.4" right="0.4" top="0.3" bottom="0.3" header="0" footer="0"/>
      <printOptions horizontalCentered="1" verticalCentered="1"/>
      <pageSetup scale="79" fitToHeight="2" orientation="portrait" r:id="rId3"/>
      <headerFooter alignWithMargins="0"/>
    </customSheetView>
    <customSheetView guid="{4436FEB5-BFEC-4348-9286-CB706802873E}" scale="60" colorId="22" showPageBreaks="1" printArea="1" view="pageBreakPreview" showRuler="0">
      <selection activeCell="H5" sqref="H5"/>
      <rowBreaks count="1" manualBreakCount="1">
        <brk id="53" max="3" man="1"/>
      </rowBreaks>
      <pageMargins left="0.4" right="0.4" top="0.3" bottom="0.3" header="0" footer="0"/>
      <printOptions horizontalCentered="1" verticalCentered="1"/>
      <pageSetup scale="79" fitToHeight="2" orientation="portrait" r:id="rId4"/>
      <headerFooter alignWithMargins="0"/>
    </customSheetView>
    <customSheetView guid="{044CF00C-469F-44B3-B2C4-9B4049CE70CB}" scale="60" colorId="22" showPageBreaks="1" printArea="1" view="pageBreakPreview" showRuler="0">
      <selection activeCell="A2" sqref="A2"/>
      <rowBreaks count="1" manualBreakCount="1">
        <brk id="53" max="3" man="1"/>
      </rowBreaks>
      <pageMargins left="0.4" right="0.4" top="0.3" bottom="0.3" header="0" footer="0"/>
      <printOptions horizontalCentered="1" verticalCentered="1"/>
      <pageSetup scale="79" fitToHeight="2" orientation="portrait" r:id="rId5"/>
      <headerFooter alignWithMargins="0"/>
    </customSheetView>
    <customSheetView guid="{4826FCC0-BDD6-4B2C-ACC6-ACE271DDF0E3}" scale="60" colorId="22" showPageBreaks="1" printArea="1" view="pageBreakPreview" showRuler="0">
      <selection activeCell="C104" sqref="C104"/>
      <rowBreaks count="1" manualBreakCount="1">
        <brk id="53" max="3" man="1"/>
      </rowBreaks>
      <pageMargins left="0.4" right="0.4" top="0.3" bottom="0.3" header="0" footer="0"/>
      <printOptions horizontalCentered="1" verticalCentered="1"/>
      <pageSetup scale="79" fitToHeight="2" orientation="portrait" r:id="rId6"/>
      <headerFooter alignWithMargins="0"/>
    </customSheetView>
    <customSheetView guid="{EF376D10-23D6-4FE2-AB5B-4460D52CC93F}" scale="60" colorId="22" showPageBreaks="1" printArea="1" view="pageBreakPreview" showRuler="0">
      <selection activeCell="C104" sqref="C104"/>
      <rowBreaks count="1" manualBreakCount="1">
        <brk id="53" max="3" man="1"/>
      </rowBreaks>
      <pageMargins left="0.4" right="0.4" top="0.3" bottom="0.3" header="0" footer="0"/>
      <printOptions horizontalCentered="1" verticalCentered="1"/>
      <pageSetup scale="79" fitToHeight="2" orientation="portrait" r:id="rId7"/>
      <headerFooter alignWithMargins="0"/>
    </customSheetView>
    <customSheetView guid="{1C046605-15CE-44F1-BFCD-2CA8588E7ACF}" scale="60" colorId="22" showPageBreaks="1" printArea="1" view="pageBreakPreview" showRuler="0">
      <selection activeCell="C104" sqref="C104"/>
      <rowBreaks count="1" manualBreakCount="1">
        <brk id="53" max="3" man="1"/>
      </rowBreaks>
      <pageMargins left="0.4" right="0.4" top="0.3" bottom="0.3" header="0" footer="0"/>
      <printOptions horizontalCentered="1" verticalCentered="1"/>
      <pageSetup scale="79" fitToHeight="2" orientation="portrait" r:id="rId8"/>
      <headerFooter alignWithMargins="0"/>
    </customSheetView>
    <customSheetView guid="{3911D713-188C-46A1-A299-F21DD3B7A146}" scale="60" colorId="22" showPageBreaks="1" printArea="1" view="pageBreakPreview" showRuler="0">
      <selection activeCell="C104" sqref="C104"/>
      <rowBreaks count="1" manualBreakCount="1">
        <brk id="53" max="3" man="1"/>
      </rowBreaks>
      <pageMargins left="0.4" right="0.4" top="0.3" bottom="0.3" header="0" footer="0"/>
      <printOptions horizontalCentered="1" verticalCentered="1"/>
      <pageSetup scale="79" fitToHeight="2" orientation="portrait" r:id="rId9"/>
      <headerFooter alignWithMargins="0"/>
    </customSheetView>
    <customSheetView guid="{78BB1E60-60BE-4F56-9763-075185EFEFAB}" scale="60" colorId="22" showPageBreaks="1" printArea="1" view="pageBreakPreview">
      <rowBreaks count="1" manualBreakCount="1">
        <brk id="53" max="3" man="1"/>
      </rowBreaks>
      <pageMargins left="0.4" right="0.4" top="0.3" bottom="0.3" header="0" footer="0"/>
      <printOptions horizontalCentered="1" verticalCentered="1"/>
      <pageSetup scale="79" fitToHeight="2" orientation="portrait" r:id="rId10"/>
      <headerFooter alignWithMargins="0"/>
    </customSheetView>
    <customSheetView guid="{9C30803E-1E2D-4850-B0A5-591CA6F246A1}" scale="60" colorId="22" showPageBreaks="1" printArea="1" view="pageBreakPreview">
      <rowBreaks count="1" manualBreakCount="1">
        <brk id="53" max="3" man="1"/>
      </rowBreaks>
      <pageMargins left="0.4" right="0.4" top="0.3" bottom="0.3" header="0" footer="0"/>
      <printOptions horizontalCentered="1" verticalCentered="1"/>
      <pageSetup scale="79" fitToHeight="2" orientation="portrait" r:id="rId11"/>
      <headerFooter alignWithMargins="0"/>
    </customSheetView>
    <customSheetView guid="{3B1006FF-A2CA-49E7-9B25-DAC8815279AF}" scale="60" colorId="22" showPageBreaks="1" printArea="1" view="pageBreakPreview">
      <rowBreaks count="1" manualBreakCount="1">
        <brk id="53" max="3" man="1"/>
      </rowBreaks>
      <pageMargins left="0.4" right="0.4" top="0.3" bottom="0.3" header="0" footer="0"/>
      <printOptions horizontalCentered="1" verticalCentered="1"/>
      <pageSetup scale="79" fitToHeight="2" orientation="portrait" r:id="rId12"/>
      <headerFooter alignWithMargins="0"/>
    </customSheetView>
    <customSheetView guid="{FB1A60C8-E1F9-4DF0-8E0E-1C965F86027F}" scale="60" colorId="22" showPageBreaks="1" printArea="1" view="pageBreakPreview">
      <rowBreaks count="1" manualBreakCount="1">
        <brk id="53" max="3" man="1"/>
      </rowBreaks>
      <pageMargins left="0.4" right="0.4" top="0.3" bottom="0.3" header="0" footer="0"/>
      <printOptions horizontalCentered="1" verticalCentered="1"/>
      <pageSetup scale="79" fitToHeight="2" orientation="portrait" r:id="rId13"/>
      <headerFooter alignWithMargins="0"/>
    </customSheetView>
    <customSheetView guid="{C5B6D812-CBE6-46AA-99F7-02494E9802B4}" scale="70" colorId="22" showPageBreaks="1" printArea="1" view="pageBreakPreview" topLeftCell="A5">
      <selection activeCell="C10" sqref="C10"/>
      <rowBreaks count="1" manualBreakCount="1">
        <brk id="53" max="3" man="1"/>
      </rowBreaks>
      <pageMargins left="0.4" right="0.4" top="0.3" bottom="0.3" header="0" footer="0"/>
      <printOptions horizontalCentered="1" verticalCentered="1"/>
      <pageSetup scale="79" fitToHeight="2" orientation="portrait" r:id="rId14"/>
      <headerFooter alignWithMargins="0"/>
    </customSheetView>
  </customSheetViews>
  <phoneticPr fontId="0" type="noConversion"/>
  <printOptions horizontalCentered="1" verticalCentered="1"/>
  <pageMargins left="0.4" right="0.4" top="0.3" bottom="0.3" header="0" footer="0"/>
  <pageSetup scale="79" fitToHeight="2" orientation="portrait" r:id="rId15"/>
  <headerFooter alignWithMargins="0"/>
  <rowBreaks count="1" manualBreakCount="1">
    <brk id="53" max="3" man="1"/>
  </rowBreaks>
  <customProperties>
    <customPr name="_pios_id" r:id="rId16"/>
  </customProperties>
</worksheet>
</file>

<file path=xl/worksheets/sheet9.xml><?xml version="1.0" encoding="utf-8"?>
<worksheet xmlns="http://schemas.openxmlformats.org/spreadsheetml/2006/main" xmlns:r="http://schemas.openxmlformats.org/officeDocument/2006/relationships">
  <sheetPr transitionEvaluation="1" codeName="Sheet76" enableFormatConditionsCalculation="0"/>
  <dimension ref="A1:O67"/>
  <sheetViews>
    <sheetView defaultGridColor="0" colorId="22" zoomScale="70" zoomScaleNormal="70" workbookViewId="0"/>
  </sheetViews>
  <sheetFormatPr defaultColWidth="16.33203125" defaultRowHeight="15"/>
  <cols>
    <col min="1" max="1" width="4.77734375" customWidth="1"/>
    <col min="2" max="2" width="40.77734375" style="1633" customWidth="1"/>
    <col min="3" max="3" width="33.77734375" customWidth="1"/>
    <col min="4" max="4" width="10.77734375" customWidth="1"/>
    <col min="5" max="5" width="15.33203125" bestFit="1" customWidth="1"/>
    <col min="6" max="6" width="15.88671875" customWidth="1"/>
    <col min="7" max="7" width="1.77734375" customWidth="1"/>
    <col min="8" max="14" width="14.77734375" customWidth="1"/>
    <col min="15" max="15" width="4.77734375" customWidth="1"/>
  </cols>
  <sheetData>
    <row r="1" spans="1:15" ht="15.75" thickBot="1">
      <c r="A1" s="48" t="str">
        <f>'Data sheet'!$A$53</f>
        <v>Annual Report of New York American Water Company, Inc. (f/k/a Long Island Water Corp)                                   Year Ended  December 31, 2013</v>
      </c>
      <c r="B1" s="1653"/>
      <c r="C1" s="97"/>
      <c r="D1" s="141"/>
      <c r="E1" s="97"/>
      <c r="F1" s="97"/>
      <c r="G1" s="97"/>
      <c r="H1" s="48" t="str">
        <f>'Data sheet'!$A$53</f>
        <v>Annual Report of New York American Water Company, Inc. (f/k/a Long Island Water Corp)                                   Year Ended  December 31, 2013</v>
      </c>
      <c r="I1" s="97"/>
      <c r="J1" s="97"/>
      <c r="K1" s="97"/>
      <c r="L1" s="97"/>
      <c r="M1" s="97"/>
      <c r="N1" s="97"/>
      <c r="O1" s="97"/>
    </row>
    <row r="2" spans="1:15">
      <c r="A2" s="142"/>
      <c r="B2" s="1708"/>
      <c r="C2" s="143"/>
      <c r="D2" s="143"/>
      <c r="E2" s="143"/>
      <c r="F2" s="144"/>
      <c r="G2" s="142"/>
      <c r="H2" s="143"/>
      <c r="I2" s="143"/>
      <c r="J2" s="143"/>
      <c r="K2" s="143"/>
      <c r="L2" s="143"/>
      <c r="M2" s="143"/>
      <c r="N2" s="143"/>
      <c r="O2" s="144"/>
    </row>
    <row r="3" spans="1:15" ht="15.75">
      <c r="A3" s="130" t="s">
        <v>1447</v>
      </c>
      <c r="B3" s="1709"/>
      <c r="C3" s="128"/>
      <c r="D3" s="128"/>
      <c r="E3" s="128"/>
      <c r="F3" s="145"/>
      <c r="G3" s="130" t="s">
        <v>478</v>
      </c>
      <c r="H3" s="94"/>
      <c r="I3" s="128"/>
      <c r="J3" s="128"/>
      <c r="K3" s="128"/>
      <c r="L3" s="128"/>
      <c r="M3" s="128"/>
      <c r="N3" s="128"/>
      <c r="O3" s="145"/>
    </row>
    <row r="4" spans="1:15">
      <c r="A4" s="96"/>
      <c r="B4" s="1709"/>
      <c r="C4" s="128"/>
      <c r="D4" s="128"/>
      <c r="E4" s="128"/>
      <c r="F4" s="98"/>
      <c r="G4" s="96"/>
      <c r="H4" s="97"/>
      <c r="I4" s="97"/>
      <c r="J4" s="97"/>
      <c r="K4" s="97"/>
      <c r="L4" s="97"/>
      <c r="M4" s="97"/>
      <c r="N4" s="97"/>
      <c r="O4" s="98"/>
    </row>
    <row r="5" spans="1:15">
      <c r="A5" s="121" t="s">
        <v>479</v>
      </c>
      <c r="B5" s="1709" t="s">
        <v>480</v>
      </c>
      <c r="C5" s="128"/>
      <c r="D5" s="128"/>
      <c r="E5" s="128"/>
      <c r="F5" s="98"/>
      <c r="G5" s="96"/>
      <c r="H5" s="97" t="s">
        <v>2384</v>
      </c>
      <c r="I5" s="97"/>
      <c r="J5" s="97"/>
      <c r="K5" s="97"/>
      <c r="L5" s="97"/>
      <c r="M5" s="97"/>
      <c r="N5" s="97"/>
      <c r="O5" s="98"/>
    </row>
    <row r="6" spans="1:15">
      <c r="A6" s="96"/>
      <c r="B6" s="1880" t="s">
        <v>1502</v>
      </c>
      <c r="C6" s="128"/>
      <c r="D6" s="128"/>
      <c r="E6" s="128"/>
      <c r="F6" s="98"/>
      <c r="G6" s="96" t="s">
        <v>1185</v>
      </c>
      <c r="H6" s="97"/>
      <c r="I6" s="97"/>
      <c r="J6" s="97"/>
      <c r="K6" s="97"/>
      <c r="L6" s="97"/>
      <c r="M6" s="97"/>
      <c r="N6" s="97"/>
      <c r="O6" s="98"/>
    </row>
    <row r="7" spans="1:15">
      <c r="A7" s="96"/>
      <c r="B7" s="1653"/>
      <c r="C7" s="128"/>
      <c r="D7" s="128"/>
      <c r="E7" s="128"/>
      <c r="F7" s="98"/>
      <c r="G7" s="96" t="s">
        <v>2915</v>
      </c>
      <c r="H7" s="97"/>
      <c r="I7" s="97"/>
      <c r="J7" s="97"/>
      <c r="K7" s="97"/>
      <c r="L7" s="97"/>
      <c r="M7" s="97"/>
      <c r="N7" s="97"/>
      <c r="O7" s="98"/>
    </row>
    <row r="8" spans="1:15">
      <c r="A8" s="121" t="s">
        <v>2916</v>
      </c>
      <c r="B8" s="1881" t="s">
        <v>780</v>
      </c>
      <c r="C8" s="128"/>
      <c r="D8" s="128"/>
      <c r="E8" s="128"/>
      <c r="F8" s="98"/>
      <c r="G8" s="96" t="s">
        <v>2693</v>
      </c>
      <c r="H8" s="97"/>
      <c r="I8" s="97"/>
      <c r="J8" s="97"/>
      <c r="K8" s="97"/>
      <c r="L8" s="97"/>
      <c r="M8" s="97"/>
      <c r="N8" s="97"/>
      <c r="O8" s="98"/>
    </row>
    <row r="9" spans="1:15">
      <c r="A9" s="96"/>
      <c r="B9" s="1880" t="s">
        <v>3162</v>
      </c>
      <c r="C9" s="128"/>
      <c r="D9" s="128"/>
      <c r="E9" s="128"/>
      <c r="F9" s="98"/>
      <c r="G9" s="96"/>
      <c r="H9" s="97"/>
      <c r="I9" s="97"/>
      <c r="J9" s="97"/>
      <c r="K9" s="97"/>
      <c r="L9" s="97"/>
      <c r="M9" s="97"/>
      <c r="N9" s="97"/>
      <c r="O9" s="98"/>
    </row>
    <row r="10" spans="1:15">
      <c r="A10" s="96"/>
      <c r="B10" s="1709"/>
      <c r="C10" s="128"/>
      <c r="D10" s="128"/>
      <c r="E10" s="128"/>
      <c r="F10" s="98"/>
      <c r="G10" s="96"/>
      <c r="H10" s="97" t="s">
        <v>3163</v>
      </c>
      <c r="I10" s="97"/>
      <c r="J10" s="97"/>
      <c r="K10" s="97"/>
      <c r="L10" s="97"/>
      <c r="M10" s="97"/>
      <c r="N10" s="97"/>
      <c r="O10" s="98"/>
    </row>
    <row r="11" spans="1:15">
      <c r="A11" s="121" t="s">
        <v>3164</v>
      </c>
      <c r="B11" s="1709" t="s">
        <v>3978</v>
      </c>
      <c r="C11" s="128"/>
      <c r="D11" s="128"/>
      <c r="E11" s="128"/>
      <c r="F11" s="98"/>
      <c r="G11" s="96" t="s">
        <v>3979</v>
      </c>
      <c r="H11" s="97" t="s">
        <v>295</v>
      </c>
      <c r="I11" s="97"/>
      <c r="J11" s="97"/>
      <c r="K11" s="97"/>
      <c r="L11" s="97"/>
      <c r="M11" s="97"/>
      <c r="N11" s="97"/>
      <c r="O11" s="98"/>
    </row>
    <row r="12" spans="1:15">
      <c r="A12" s="96"/>
      <c r="B12" s="1881" t="s">
        <v>1753</v>
      </c>
      <c r="C12" s="128"/>
      <c r="D12" s="128"/>
      <c r="E12" s="128"/>
      <c r="F12" s="98"/>
      <c r="G12" s="96"/>
      <c r="H12" s="97"/>
      <c r="I12" s="97"/>
      <c r="J12" s="97"/>
      <c r="K12" s="97"/>
      <c r="L12" s="97"/>
      <c r="M12" s="97"/>
      <c r="N12" s="97"/>
      <c r="O12" s="98"/>
    </row>
    <row r="13" spans="1:15">
      <c r="A13" s="108"/>
      <c r="B13" s="1710"/>
      <c r="C13" s="146"/>
      <c r="D13" s="146"/>
      <c r="E13" s="146"/>
      <c r="F13" s="112"/>
      <c r="G13" s="108"/>
      <c r="H13" s="109"/>
      <c r="I13" s="109"/>
      <c r="J13" s="109"/>
      <c r="K13" s="109"/>
      <c r="L13" s="109"/>
      <c r="M13" s="109"/>
      <c r="N13" s="109"/>
      <c r="O13" s="112"/>
    </row>
    <row r="14" spans="1:15">
      <c r="A14" s="96"/>
      <c r="B14" s="1729"/>
      <c r="C14" s="128" t="s">
        <v>329</v>
      </c>
      <c r="D14" s="147" t="s">
        <v>330</v>
      </c>
      <c r="E14" s="147" t="s">
        <v>331</v>
      </c>
      <c r="F14" s="145"/>
      <c r="G14" s="96"/>
      <c r="H14" s="106"/>
      <c r="I14" s="102"/>
      <c r="J14" s="106"/>
      <c r="K14" s="102"/>
      <c r="L14" s="106"/>
      <c r="M14" s="102"/>
      <c r="N14" s="97"/>
      <c r="O14" s="148"/>
    </row>
    <row r="15" spans="1:15">
      <c r="A15" s="121" t="s">
        <v>1129</v>
      </c>
      <c r="B15" s="1729"/>
      <c r="C15" s="128" t="s">
        <v>1130</v>
      </c>
      <c r="D15" s="147" t="s">
        <v>1131</v>
      </c>
      <c r="E15" s="798" t="s">
        <v>1132</v>
      </c>
      <c r="F15" s="802" t="s">
        <v>1133</v>
      </c>
      <c r="G15" s="96"/>
      <c r="H15" s="476" t="s">
        <v>1134</v>
      </c>
      <c r="I15" s="476" t="s">
        <v>665</v>
      </c>
      <c r="J15" s="476" t="s">
        <v>666</v>
      </c>
      <c r="K15" s="476" t="s">
        <v>3320</v>
      </c>
      <c r="L15" s="476" t="s">
        <v>3321</v>
      </c>
      <c r="M15" s="476" t="s">
        <v>3322</v>
      </c>
      <c r="N15" s="105" t="s">
        <v>3323</v>
      </c>
      <c r="O15" s="410" t="s">
        <v>1129</v>
      </c>
    </row>
    <row r="16" spans="1:15">
      <c r="A16" s="121" t="s">
        <v>3324</v>
      </c>
      <c r="B16" s="1807" t="s">
        <v>3325</v>
      </c>
      <c r="C16" s="128" t="s">
        <v>1207</v>
      </c>
      <c r="D16" s="147" t="s">
        <v>2266</v>
      </c>
      <c r="E16" s="120" t="s">
        <v>2267</v>
      </c>
      <c r="F16" s="462" t="s">
        <v>2268</v>
      </c>
      <c r="G16" s="96"/>
      <c r="H16" s="476" t="s">
        <v>2269</v>
      </c>
      <c r="I16" s="476" t="s">
        <v>2270</v>
      </c>
      <c r="J16" s="476" t="s">
        <v>2271</v>
      </c>
      <c r="K16" s="476" t="s">
        <v>2272</v>
      </c>
      <c r="L16" s="476" t="s">
        <v>2273</v>
      </c>
      <c r="M16" s="476" t="s">
        <v>2274</v>
      </c>
      <c r="N16" s="105" t="s">
        <v>2275</v>
      </c>
      <c r="O16" s="410" t="s">
        <v>3324</v>
      </c>
    </row>
    <row r="17" spans="1:15">
      <c r="A17" s="96"/>
      <c r="B17" s="1807" t="s">
        <v>4032</v>
      </c>
      <c r="C17" s="128" t="s">
        <v>4033</v>
      </c>
      <c r="D17" s="147" t="s">
        <v>2276</v>
      </c>
      <c r="E17" s="120" t="s">
        <v>4035</v>
      </c>
      <c r="F17" s="462" t="s">
        <v>2277</v>
      </c>
      <c r="G17" s="96"/>
      <c r="H17" s="476" t="s">
        <v>2278</v>
      </c>
      <c r="I17" s="476" t="s">
        <v>2279</v>
      </c>
      <c r="J17" s="476" t="s">
        <v>2280</v>
      </c>
      <c r="K17" s="476" t="s">
        <v>2281</v>
      </c>
      <c r="L17" s="476" t="s">
        <v>2282</v>
      </c>
      <c r="M17" s="476" t="s">
        <v>2283</v>
      </c>
      <c r="N17" s="105" t="s">
        <v>2284</v>
      </c>
      <c r="O17" s="148"/>
    </row>
    <row r="18" spans="1:15">
      <c r="A18" s="96"/>
      <c r="B18" s="1729"/>
      <c r="C18" s="97"/>
      <c r="D18" s="147" t="s">
        <v>4034</v>
      </c>
      <c r="E18" s="111"/>
      <c r="F18" s="98"/>
      <c r="G18" s="96"/>
      <c r="H18" s="106"/>
      <c r="I18" s="106"/>
      <c r="J18" s="106"/>
      <c r="K18" s="106"/>
      <c r="L18" s="106"/>
      <c r="M18" s="106"/>
      <c r="N18" s="97"/>
      <c r="O18" s="148"/>
    </row>
    <row r="19" spans="1:15">
      <c r="A19" s="409" t="s">
        <v>2699</v>
      </c>
      <c r="B19" s="1882" t="s">
        <v>3929</v>
      </c>
      <c r="C19" s="2052"/>
      <c r="D19" s="2053"/>
      <c r="E19" s="151"/>
      <c r="F19" s="152"/>
      <c r="G19" s="153"/>
      <c r="H19" s="154"/>
      <c r="I19" s="154"/>
      <c r="J19" s="154"/>
      <c r="K19" s="154"/>
      <c r="L19" s="154"/>
      <c r="M19" s="154"/>
      <c r="N19" s="155">
        <f t="shared" ref="N19:N49" si="0">SUM(F19:M19)</f>
        <v>0</v>
      </c>
      <c r="O19" s="633" t="s">
        <v>2699</v>
      </c>
    </row>
    <row r="20" spans="1:15">
      <c r="A20" s="121" t="s">
        <v>2700</v>
      </c>
      <c r="B20" s="1693" t="s">
        <v>3727</v>
      </c>
      <c r="C20" s="1709" t="s">
        <v>2620</v>
      </c>
      <c r="D20" s="1067"/>
      <c r="E20" s="1025"/>
      <c r="F20" s="1617"/>
      <c r="G20" s="163"/>
      <c r="H20" s="164"/>
      <c r="I20" s="164"/>
      <c r="J20" s="164"/>
      <c r="K20" s="164"/>
      <c r="L20" s="164"/>
      <c r="M20" s="164"/>
      <c r="N20" s="165">
        <f t="shared" si="0"/>
        <v>0</v>
      </c>
      <c r="O20" s="410" t="s">
        <v>2700</v>
      </c>
    </row>
    <row r="21" spans="1:15">
      <c r="A21" s="121" t="s">
        <v>2701</v>
      </c>
      <c r="B21" s="1693" t="s">
        <v>5165</v>
      </c>
      <c r="C21" s="1709"/>
      <c r="D21" s="1067"/>
      <c r="E21" s="1025"/>
      <c r="F21" s="1617"/>
      <c r="G21" s="163"/>
      <c r="H21" s="164"/>
      <c r="I21" s="164"/>
      <c r="J21" s="164"/>
      <c r="K21" s="164"/>
      <c r="L21" s="164"/>
      <c r="M21" s="164"/>
      <c r="N21" s="165">
        <f t="shared" si="0"/>
        <v>0</v>
      </c>
      <c r="O21" s="410" t="s">
        <v>2701</v>
      </c>
    </row>
    <row r="22" spans="1:15">
      <c r="A22" s="121" t="s">
        <v>2702</v>
      </c>
      <c r="B22" s="1693" t="s">
        <v>771</v>
      </c>
      <c r="C22" s="1709"/>
      <c r="D22" s="1067"/>
      <c r="E22" s="1025"/>
      <c r="F22" s="1617"/>
      <c r="G22" s="163"/>
      <c r="H22" s="164"/>
      <c r="I22" s="164"/>
      <c r="J22" s="164"/>
      <c r="K22" s="164"/>
      <c r="L22" s="164"/>
      <c r="M22" s="164"/>
      <c r="N22" s="165">
        <f t="shared" si="0"/>
        <v>0</v>
      </c>
      <c r="O22" s="410" t="s">
        <v>2702</v>
      </c>
    </row>
    <row r="23" spans="1:15">
      <c r="A23" s="121" t="s">
        <v>2703</v>
      </c>
      <c r="B23" s="1693"/>
      <c r="C23" s="1709"/>
      <c r="D23" s="1067"/>
      <c r="E23" s="1025"/>
      <c r="F23" s="1617"/>
      <c r="G23" s="163"/>
      <c r="H23" s="164"/>
      <c r="I23" s="164"/>
      <c r="J23" s="164"/>
      <c r="K23" s="164"/>
      <c r="L23" s="164"/>
      <c r="M23" s="164"/>
      <c r="N23" s="165">
        <f t="shared" si="0"/>
        <v>0</v>
      </c>
      <c r="O23" s="410" t="s">
        <v>2703</v>
      </c>
    </row>
    <row r="24" spans="1:15">
      <c r="A24" s="121" t="s">
        <v>2704</v>
      </c>
      <c r="B24" s="1693"/>
      <c r="C24" s="1653"/>
      <c r="D24" s="1067"/>
      <c r="E24" s="1025"/>
      <c r="F24" s="1617"/>
      <c r="G24" s="163"/>
      <c r="H24" s="164"/>
      <c r="I24" s="164"/>
      <c r="J24" s="164"/>
      <c r="K24" s="164"/>
      <c r="L24" s="164"/>
      <c r="M24" s="164"/>
      <c r="N24" s="165">
        <f t="shared" si="0"/>
        <v>0</v>
      </c>
      <c r="O24" s="410" t="s">
        <v>2704</v>
      </c>
    </row>
    <row r="25" spans="1:15">
      <c r="A25" s="121" t="s">
        <v>2705</v>
      </c>
      <c r="B25" s="1693"/>
      <c r="D25" s="1067"/>
      <c r="E25" s="1025"/>
      <c r="F25" s="1617"/>
      <c r="G25" s="163"/>
      <c r="H25" s="164"/>
      <c r="I25" s="164"/>
      <c r="J25" s="164"/>
      <c r="K25" s="164"/>
      <c r="L25" s="164"/>
      <c r="M25" s="164"/>
      <c r="N25" s="165">
        <f t="shared" si="0"/>
        <v>0</v>
      </c>
      <c r="O25" s="410" t="s">
        <v>2705</v>
      </c>
    </row>
    <row r="26" spans="1:15">
      <c r="A26" s="121" t="s">
        <v>2706</v>
      </c>
      <c r="B26" s="1693"/>
      <c r="D26" s="1067"/>
      <c r="E26" s="1025"/>
      <c r="F26" s="1617"/>
      <c r="G26" s="163"/>
      <c r="H26" s="164"/>
      <c r="I26" s="164"/>
      <c r="J26" s="164"/>
      <c r="K26" s="164"/>
      <c r="L26" s="164"/>
      <c r="M26" s="164"/>
      <c r="N26" s="165">
        <f t="shared" si="0"/>
        <v>0</v>
      </c>
      <c r="O26" s="410" t="s">
        <v>2706</v>
      </c>
    </row>
    <row r="27" spans="1:15">
      <c r="A27" s="121" t="s">
        <v>2024</v>
      </c>
      <c r="B27" s="1693"/>
      <c r="C27" s="1653"/>
      <c r="D27" s="1067"/>
      <c r="E27" s="1025"/>
      <c r="F27" s="1617"/>
      <c r="G27" s="163"/>
      <c r="H27" s="164"/>
      <c r="I27" s="164"/>
      <c r="J27" s="164"/>
      <c r="K27" s="164"/>
      <c r="L27" s="164"/>
      <c r="M27" s="164"/>
      <c r="N27" s="165">
        <f t="shared" si="0"/>
        <v>0</v>
      </c>
      <c r="O27" s="410" t="s">
        <v>2024</v>
      </c>
    </row>
    <row r="28" spans="1:15">
      <c r="A28" s="121" t="s">
        <v>2025</v>
      </c>
      <c r="B28" s="1883"/>
      <c r="C28" s="1653"/>
      <c r="D28" s="1067"/>
      <c r="E28" s="1025"/>
      <c r="F28" s="1617"/>
      <c r="G28" s="163"/>
      <c r="H28" s="164"/>
      <c r="I28" s="164"/>
      <c r="J28" s="164"/>
      <c r="K28" s="164"/>
      <c r="L28" s="164"/>
      <c r="M28" s="164"/>
      <c r="N28" s="165">
        <f t="shared" si="0"/>
        <v>0</v>
      </c>
      <c r="O28" s="410" t="s">
        <v>2025</v>
      </c>
    </row>
    <row r="29" spans="1:15">
      <c r="A29" s="121" t="s">
        <v>2026</v>
      </c>
      <c r="B29" s="1884" t="s">
        <v>150</v>
      </c>
      <c r="C29" s="1653"/>
      <c r="D29" s="1067"/>
      <c r="E29" s="1025"/>
      <c r="F29" s="1617"/>
      <c r="G29" s="163"/>
      <c r="H29" s="164"/>
      <c r="I29" s="164"/>
      <c r="J29" s="164"/>
      <c r="K29" s="164"/>
      <c r="L29" s="164"/>
      <c r="M29" s="164"/>
      <c r="N29" s="165">
        <f t="shared" si="0"/>
        <v>0</v>
      </c>
      <c r="O29" s="410" t="s">
        <v>2026</v>
      </c>
    </row>
    <row r="30" spans="1:15">
      <c r="A30" s="121" t="s">
        <v>2027</v>
      </c>
      <c r="B30" s="1693" t="s">
        <v>3727</v>
      </c>
      <c r="C30" s="1116" t="s">
        <v>671</v>
      </c>
      <c r="D30" s="1067"/>
      <c r="E30" s="1025"/>
      <c r="F30" s="1617"/>
      <c r="G30" s="163"/>
      <c r="H30" s="164"/>
      <c r="I30" s="164"/>
      <c r="J30" s="164"/>
      <c r="K30" s="164"/>
      <c r="L30" s="164"/>
      <c r="M30" s="164"/>
      <c r="N30" s="1066">
        <f t="shared" si="0"/>
        <v>0</v>
      </c>
      <c r="O30" s="410" t="s">
        <v>2027</v>
      </c>
    </row>
    <row r="31" spans="1:15">
      <c r="A31" s="1026" t="s">
        <v>2028</v>
      </c>
      <c r="B31" s="1693" t="s">
        <v>5167</v>
      </c>
      <c r="C31" s="1116" t="s">
        <v>5168</v>
      </c>
      <c r="D31" s="1067"/>
      <c r="E31" s="1025"/>
      <c r="F31" s="1617"/>
      <c r="G31" s="163"/>
      <c r="H31" s="164"/>
      <c r="I31" s="164"/>
      <c r="J31" s="164"/>
      <c r="K31" s="164"/>
      <c r="L31" s="164"/>
      <c r="M31" s="164"/>
      <c r="N31" s="165">
        <f t="shared" si="0"/>
        <v>0</v>
      </c>
      <c r="O31" s="410" t="s">
        <v>2028</v>
      </c>
    </row>
    <row r="32" spans="1:15">
      <c r="A32" s="121">
        <v>14</v>
      </c>
      <c r="B32" s="1693" t="s">
        <v>4639</v>
      </c>
      <c r="C32" s="1116" t="s">
        <v>4640</v>
      </c>
      <c r="D32" s="1067"/>
      <c r="E32" s="1025"/>
      <c r="F32" s="1617"/>
      <c r="G32" s="163"/>
      <c r="H32" s="164"/>
      <c r="I32" s="164"/>
      <c r="J32" s="164"/>
      <c r="K32" s="164"/>
      <c r="L32" s="164"/>
      <c r="M32" s="164"/>
      <c r="N32" s="165">
        <f t="shared" si="0"/>
        <v>0</v>
      </c>
      <c r="O32" s="410">
        <v>14</v>
      </c>
    </row>
    <row r="33" spans="1:15">
      <c r="A33" s="121">
        <v>15</v>
      </c>
      <c r="B33" s="1693" t="s">
        <v>5166</v>
      </c>
      <c r="C33" s="1116" t="s">
        <v>4635</v>
      </c>
      <c r="D33" s="1067"/>
      <c r="E33" s="1025"/>
      <c r="F33" s="1617"/>
      <c r="G33" s="163"/>
      <c r="H33" s="164"/>
      <c r="I33" s="164"/>
      <c r="J33" s="164"/>
      <c r="K33" s="164"/>
      <c r="L33" s="164"/>
      <c r="M33" s="164"/>
      <c r="N33" s="165">
        <f t="shared" si="0"/>
        <v>0</v>
      </c>
      <c r="O33" s="410">
        <v>15</v>
      </c>
    </row>
    <row r="34" spans="1:15">
      <c r="A34" s="121">
        <v>16</v>
      </c>
      <c r="B34" s="1693" t="s">
        <v>3606</v>
      </c>
      <c r="C34" s="1116" t="s">
        <v>2692</v>
      </c>
      <c r="D34" s="1067"/>
      <c r="E34" s="1025"/>
      <c r="F34" s="1617"/>
      <c r="G34" s="163"/>
      <c r="H34" s="164"/>
      <c r="I34" s="164"/>
      <c r="J34" s="164"/>
      <c r="K34" s="164"/>
      <c r="L34" s="164"/>
      <c r="M34" s="164"/>
      <c r="N34" s="165">
        <f t="shared" si="0"/>
        <v>0</v>
      </c>
      <c r="O34" s="410">
        <f t="shared" ref="O34:O49" si="1">O33+1</f>
        <v>16</v>
      </c>
    </row>
    <row r="35" spans="1:15">
      <c r="A35" s="121">
        <v>17</v>
      </c>
      <c r="B35" s="1693" t="s">
        <v>4636</v>
      </c>
      <c r="C35" s="1653" t="s">
        <v>4637</v>
      </c>
      <c r="D35" s="1067"/>
      <c r="E35" s="1025"/>
      <c r="F35" s="1617"/>
      <c r="G35" s="163"/>
      <c r="H35" s="164"/>
      <c r="I35" s="164"/>
      <c r="J35" s="164"/>
      <c r="K35" s="164"/>
      <c r="L35" s="164"/>
      <c r="M35" s="164"/>
      <c r="N35" s="165">
        <f t="shared" si="0"/>
        <v>0</v>
      </c>
      <c r="O35" s="410">
        <f t="shared" si="1"/>
        <v>17</v>
      </c>
    </row>
    <row r="36" spans="1:15">
      <c r="A36" s="121">
        <v>18</v>
      </c>
      <c r="B36" s="1693" t="s">
        <v>5325</v>
      </c>
      <c r="C36" s="1653" t="s">
        <v>5326</v>
      </c>
      <c r="D36" s="1067"/>
      <c r="E36" s="1025"/>
      <c r="F36" s="1617"/>
      <c r="G36" s="163"/>
      <c r="H36" s="164"/>
      <c r="I36" s="164"/>
      <c r="J36" s="164"/>
      <c r="K36" s="164"/>
      <c r="L36" s="164"/>
      <c r="M36" s="164"/>
      <c r="N36" s="165">
        <f t="shared" si="0"/>
        <v>0</v>
      </c>
      <c r="O36" s="410">
        <f t="shared" si="1"/>
        <v>18</v>
      </c>
    </row>
    <row r="37" spans="1:15">
      <c r="A37" s="121">
        <v>19</v>
      </c>
      <c r="B37" s="1693" t="s">
        <v>4638</v>
      </c>
      <c r="C37" s="1653" t="s">
        <v>672</v>
      </c>
      <c r="D37" s="1067"/>
      <c r="E37" s="1025"/>
      <c r="F37" s="1617"/>
      <c r="G37" s="163"/>
      <c r="H37" s="164"/>
      <c r="I37" s="164"/>
      <c r="J37" s="164"/>
      <c r="K37" s="164"/>
      <c r="L37" s="164"/>
      <c r="M37" s="164"/>
      <c r="N37" s="165">
        <f t="shared" si="0"/>
        <v>0</v>
      </c>
      <c r="O37" s="410">
        <f t="shared" si="1"/>
        <v>19</v>
      </c>
    </row>
    <row r="38" spans="1:15">
      <c r="A38" s="121">
        <v>20</v>
      </c>
      <c r="B38" s="1693" t="s">
        <v>2690</v>
      </c>
      <c r="C38" s="1653" t="s">
        <v>672</v>
      </c>
      <c r="D38" s="1067"/>
      <c r="E38" s="1025"/>
      <c r="F38" s="1617"/>
      <c r="G38" s="163"/>
      <c r="H38" s="164"/>
      <c r="I38" s="164"/>
      <c r="J38" s="164"/>
      <c r="K38" s="164"/>
      <c r="L38" s="164"/>
      <c r="M38" s="164"/>
      <c r="N38" s="165">
        <f t="shared" si="0"/>
        <v>0</v>
      </c>
      <c r="O38" s="410">
        <f t="shared" si="1"/>
        <v>20</v>
      </c>
    </row>
    <row r="39" spans="1:15">
      <c r="A39" s="121">
        <v>21</v>
      </c>
      <c r="B39" s="1693" t="s">
        <v>2691</v>
      </c>
      <c r="C39" s="1653" t="s">
        <v>672</v>
      </c>
      <c r="D39" s="1067"/>
      <c r="E39" s="1025"/>
      <c r="F39" s="1617"/>
      <c r="G39" s="470"/>
      <c r="H39" s="164"/>
      <c r="I39" s="164"/>
      <c r="J39" s="164"/>
      <c r="K39" s="164"/>
      <c r="L39" s="164"/>
      <c r="M39" s="164"/>
      <c r="N39" s="165">
        <f t="shared" si="0"/>
        <v>0</v>
      </c>
      <c r="O39" s="410">
        <f t="shared" si="1"/>
        <v>21</v>
      </c>
    </row>
    <row r="40" spans="1:15">
      <c r="A40" s="121">
        <v>22</v>
      </c>
      <c r="B40" s="1693"/>
      <c r="D40" s="1067"/>
      <c r="E40" s="1025"/>
      <c r="F40" s="1617"/>
      <c r="G40" s="163"/>
      <c r="H40" s="164"/>
      <c r="I40" s="164"/>
      <c r="J40" s="164"/>
      <c r="K40" s="164"/>
      <c r="L40" s="164"/>
      <c r="M40" s="164"/>
      <c r="N40" s="165">
        <f t="shared" si="0"/>
        <v>0</v>
      </c>
      <c r="O40" s="410">
        <f t="shared" si="1"/>
        <v>22</v>
      </c>
    </row>
    <row r="41" spans="1:15">
      <c r="A41" s="121">
        <v>23</v>
      </c>
      <c r="B41" s="1693"/>
      <c r="D41" s="1067"/>
      <c r="E41" s="1025"/>
      <c r="F41" s="1617"/>
      <c r="G41" s="163"/>
      <c r="H41" s="164"/>
      <c r="I41" s="164"/>
      <c r="J41" s="164"/>
      <c r="K41" s="164"/>
      <c r="L41" s="164"/>
      <c r="M41" s="164"/>
      <c r="N41" s="165">
        <f t="shared" si="0"/>
        <v>0</v>
      </c>
      <c r="O41" s="410">
        <f t="shared" si="1"/>
        <v>23</v>
      </c>
    </row>
    <row r="42" spans="1:15">
      <c r="A42" s="121">
        <v>24</v>
      </c>
      <c r="B42" s="1693"/>
      <c r="C42" s="1653"/>
      <c r="D42" s="1067"/>
      <c r="E42" s="1025"/>
      <c r="F42" s="1617"/>
      <c r="G42" s="163"/>
      <c r="H42" s="164"/>
      <c r="I42" s="164"/>
      <c r="J42" s="164"/>
      <c r="K42" s="164"/>
      <c r="L42" s="164"/>
      <c r="M42" s="164"/>
      <c r="N42" s="165">
        <f t="shared" si="0"/>
        <v>0</v>
      </c>
      <c r="O42" s="410">
        <f t="shared" si="1"/>
        <v>24</v>
      </c>
    </row>
    <row r="43" spans="1:15">
      <c r="A43" s="444">
        <v>25</v>
      </c>
      <c r="B43" s="1693"/>
      <c r="C43" s="1653"/>
      <c r="D43" s="1067"/>
      <c r="E43" s="1025"/>
      <c r="F43" s="1617"/>
      <c r="G43" s="163"/>
      <c r="H43" s="164"/>
      <c r="I43" s="164"/>
      <c r="J43" s="164"/>
      <c r="K43" s="164"/>
      <c r="L43" s="164"/>
      <c r="M43" s="164"/>
      <c r="N43" s="165">
        <f t="shared" si="0"/>
        <v>0</v>
      </c>
      <c r="O43" s="410">
        <f t="shared" si="1"/>
        <v>25</v>
      </c>
    </row>
    <row r="44" spans="1:15">
      <c r="A44" s="444">
        <v>26</v>
      </c>
      <c r="B44" s="1693"/>
      <c r="C44" s="1653"/>
      <c r="D44" s="1067"/>
      <c r="E44" s="1025"/>
      <c r="F44" s="1617"/>
      <c r="G44" s="163"/>
      <c r="H44" s="164"/>
      <c r="I44" s="164"/>
      <c r="J44" s="164"/>
      <c r="K44" s="164"/>
      <c r="L44" s="164"/>
      <c r="M44" s="164"/>
      <c r="N44" s="1619">
        <f t="shared" si="0"/>
        <v>0</v>
      </c>
      <c r="O44" s="410">
        <f t="shared" si="1"/>
        <v>26</v>
      </c>
    </row>
    <row r="45" spans="1:15">
      <c r="A45" s="444">
        <v>27</v>
      </c>
      <c r="B45" s="1693"/>
      <c r="C45" s="1653"/>
      <c r="D45" s="1067"/>
      <c r="E45" s="1025"/>
      <c r="F45" s="1617"/>
      <c r="G45" s="163"/>
      <c r="H45" s="164"/>
      <c r="I45" s="164"/>
      <c r="J45" s="164"/>
      <c r="K45" s="164"/>
      <c r="L45" s="164"/>
      <c r="M45" s="164"/>
      <c r="N45" s="1619">
        <f t="shared" si="0"/>
        <v>0</v>
      </c>
      <c r="O45" s="410">
        <f t="shared" si="1"/>
        <v>27</v>
      </c>
    </row>
    <row r="46" spans="1:15">
      <c r="A46" s="444">
        <v>28</v>
      </c>
      <c r="B46" s="1693"/>
      <c r="C46" s="1116"/>
      <c r="D46" s="1067"/>
      <c r="E46" s="1025"/>
      <c r="F46" s="1617"/>
      <c r="G46" s="163"/>
      <c r="H46" s="164"/>
      <c r="I46" s="164"/>
      <c r="J46" s="164"/>
      <c r="K46" s="164"/>
      <c r="L46" s="164"/>
      <c r="M46" s="164"/>
      <c r="N46" s="1619">
        <f t="shared" si="0"/>
        <v>0</v>
      </c>
      <c r="O46" s="410">
        <f t="shared" si="1"/>
        <v>28</v>
      </c>
    </row>
    <row r="47" spans="1:15">
      <c r="A47" s="444">
        <v>29</v>
      </c>
      <c r="B47" s="1693"/>
      <c r="C47" s="847"/>
      <c r="D47" s="1067"/>
      <c r="E47" s="1025"/>
      <c r="F47" s="1617"/>
      <c r="G47" s="163"/>
      <c r="H47" s="164"/>
      <c r="I47" s="164"/>
      <c r="J47" s="164"/>
      <c r="K47" s="164"/>
      <c r="L47" s="164"/>
      <c r="M47" s="164"/>
      <c r="N47" s="1619">
        <f t="shared" si="0"/>
        <v>0</v>
      </c>
      <c r="O47" s="410">
        <f t="shared" si="1"/>
        <v>29</v>
      </c>
    </row>
    <row r="48" spans="1:15">
      <c r="A48" s="444">
        <v>30</v>
      </c>
      <c r="B48" s="1693"/>
      <c r="C48" s="1116"/>
      <c r="D48" s="1067"/>
      <c r="E48" s="1025"/>
      <c r="F48" s="1617"/>
      <c r="G48" s="163"/>
      <c r="H48" s="164"/>
      <c r="I48" s="164"/>
      <c r="J48" s="164"/>
      <c r="K48" s="164"/>
      <c r="L48" s="164"/>
      <c r="M48" s="164"/>
      <c r="N48" s="1619">
        <f t="shared" si="0"/>
        <v>0</v>
      </c>
      <c r="O48" s="410">
        <f t="shared" si="1"/>
        <v>30</v>
      </c>
    </row>
    <row r="49" spans="1:15">
      <c r="A49" s="521">
        <v>31</v>
      </c>
      <c r="B49" s="1885"/>
      <c r="C49" s="111"/>
      <c r="D49" s="1620"/>
      <c r="E49" s="1027"/>
      <c r="F49" s="1618"/>
      <c r="G49" s="168"/>
      <c r="H49" s="169"/>
      <c r="I49" s="169"/>
      <c r="J49" s="169"/>
      <c r="K49" s="169"/>
      <c r="L49" s="169"/>
      <c r="M49" s="169"/>
      <c r="N49" s="170">
        <f t="shared" si="0"/>
        <v>0</v>
      </c>
      <c r="O49" s="410">
        <f t="shared" si="1"/>
        <v>31</v>
      </c>
    </row>
    <row r="50" spans="1:15">
      <c r="A50" s="96" t="s">
        <v>724</v>
      </c>
      <c r="B50" s="1116"/>
      <c r="C50" s="847"/>
      <c r="D50" s="847"/>
      <c r="E50" s="97"/>
      <c r="F50" s="98"/>
      <c r="G50" s="96"/>
      <c r="H50" s="97" t="s">
        <v>725</v>
      </c>
      <c r="I50" s="97"/>
      <c r="J50" s="97"/>
      <c r="K50" s="97"/>
      <c r="L50" s="97"/>
      <c r="M50" s="97"/>
      <c r="N50" s="97"/>
      <c r="O50" s="98"/>
    </row>
    <row r="51" spans="1:15">
      <c r="A51" s="96"/>
      <c r="B51" s="1653"/>
      <c r="C51" s="97"/>
      <c r="D51" s="97"/>
      <c r="E51" s="97"/>
      <c r="F51" s="98"/>
      <c r="G51" s="96"/>
      <c r="H51" s="97"/>
      <c r="I51" s="97"/>
      <c r="J51" s="97"/>
      <c r="K51" s="97"/>
      <c r="L51" s="97"/>
      <c r="M51" s="97"/>
      <c r="N51" s="97"/>
      <c r="O51" s="98"/>
    </row>
    <row r="52" spans="1:15" ht="15.75">
      <c r="A52" s="96"/>
      <c r="B52" s="1886" t="s">
        <v>1731</v>
      </c>
      <c r="C52" s="97"/>
      <c r="D52" s="97"/>
      <c r="E52" s="97"/>
      <c r="F52" s="98"/>
      <c r="G52" s="96"/>
      <c r="H52" s="97"/>
      <c r="I52" s="97"/>
      <c r="J52" s="97"/>
      <c r="K52" s="97"/>
      <c r="L52" s="97"/>
      <c r="M52" s="97"/>
      <c r="N52" s="97"/>
      <c r="O52" s="98"/>
    </row>
    <row r="53" spans="1:15" ht="15.75">
      <c r="A53" s="96"/>
      <c r="B53" s="1886" t="s">
        <v>1732</v>
      </c>
      <c r="C53" s="97"/>
      <c r="D53" s="97"/>
      <c r="E53" s="97"/>
      <c r="F53" s="98"/>
      <c r="G53" s="96"/>
      <c r="H53" s="97"/>
      <c r="I53" s="97"/>
      <c r="J53" s="97"/>
      <c r="K53" s="97"/>
      <c r="L53" s="97"/>
      <c r="M53" s="97"/>
      <c r="N53" s="97"/>
      <c r="O53" s="98"/>
    </row>
    <row r="54" spans="1:15">
      <c r="A54" s="96"/>
      <c r="B54" s="1653"/>
      <c r="C54" s="97"/>
      <c r="D54" s="97"/>
      <c r="E54" s="97"/>
      <c r="F54" s="98"/>
      <c r="G54" s="96"/>
      <c r="H54" s="97"/>
      <c r="I54" s="97"/>
      <c r="J54" s="97"/>
      <c r="K54" s="97"/>
      <c r="L54" s="97"/>
      <c r="M54" s="97"/>
      <c r="N54" s="97"/>
      <c r="O54" s="98"/>
    </row>
    <row r="55" spans="1:15" ht="15.75">
      <c r="A55" s="1668"/>
      <c r="B55" s="1653"/>
      <c r="C55" s="97"/>
      <c r="D55" s="97"/>
      <c r="E55" s="97"/>
      <c r="F55" s="98"/>
      <c r="G55" s="96"/>
      <c r="H55" s="97"/>
      <c r="I55" s="97"/>
      <c r="J55" s="97"/>
      <c r="K55" s="97"/>
      <c r="L55" s="97"/>
      <c r="M55" s="97"/>
      <c r="N55" s="97"/>
      <c r="O55" s="98"/>
    </row>
    <row r="56" spans="1:15">
      <c r="A56" s="96"/>
      <c r="B56" s="1653"/>
      <c r="C56" s="97"/>
      <c r="D56" s="97"/>
      <c r="E56" s="97"/>
      <c r="F56" s="98"/>
      <c r="G56" s="96"/>
      <c r="H56" s="97"/>
      <c r="I56" s="97"/>
      <c r="J56" s="97"/>
      <c r="K56" s="97"/>
      <c r="L56" s="97"/>
      <c r="M56" s="97"/>
      <c r="N56" s="97"/>
      <c r="O56" s="98"/>
    </row>
    <row r="57" spans="1:15">
      <c r="A57" s="96"/>
      <c r="B57" s="1653"/>
      <c r="C57" s="97"/>
      <c r="D57" s="97"/>
      <c r="E57" s="97"/>
      <c r="F57" s="98"/>
      <c r="G57" s="96"/>
      <c r="H57" s="97"/>
      <c r="I57" s="97"/>
      <c r="J57" s="97"/>
      <c r="K57" s="97"/>
      <c r="L57" s="97"/>
      <c r="M57" s="97"/>
      <c r="N57" s="97"/>
      <c r="O57" s="98"/>
    </row>
    <row r="58" spans="1:15">
      <c r="A58" s="96"/>
      <c r="B58" s="1653"/>
      <c r="C58" s="97"/>
      <c r="D58" s="97"/>
      <c r="E58" s="97"/>
      <c r="F58" s="98"/>
      <c r="G58" s="96"/>
      <c r="H58" s="97"/>
      <c r="I58" s="97"/>
      <c r="J58" s="97"/>
      <c r="K58" s="97"/>
      <c r="L58" s="97"/>
      <c r="M58" s="97"/>
      <c r="N58" s="97"/>
      <c r="O58" s="98"/>
    </row>
    <row r="59" spans="1:15">
      <c r="A59" s="96"/>
      <c r="B59" s="1653"/>
      <c r="C59" s="97"/>
      <c r="D59" s="97"/>
      <c r="E59" s="97"/>
      <c r="F59" s="98"/>
      <c r="G59" s="96"/>
      <c r="H59" s="97"/>
      <c r="I59" s="97"/>
      <c r="J59" s="97"/>
      <c r="K59" s="97"/>
      <c r="L59" s="97"/>
      <c r="M59" s="97"/>
      <c r="N59" s="97"/>
      <c r="O59" s="98"/>
    </row>
    <row r="60" spans="1:15">
      <c r="A60" s="96"/>
      <c r="B60" s="1653"/>
      <c r="C60" s="97"/>
      <c r="D60" s="97"/>
      <c r="E60" s="97"/>
      <c r="F60" s="98"/>
      <c r="G60" s="96"/>
      <c r="H60" s="97"/>
      <c r="I60" s="97"/>
      <c r="J60" s="97"/>
      <c r="K60" s="97"/>
      <c r="L60" s="97"/>
      <c r="M60" s="97"/>
      <c r="N60" s="97"/>
      <c r="O60" s="98"/>
    </row>
    <row r="61" spans="1:15" ht="15.75" thickBot="1">
      <c r="A61" s="172"/>
      <c r="B61" s="1887"/>
      <c r="C61" s="124"/>
      <c r="D61" s="124"/>
      <c r="E61" s="124"/>
      <c r="F61" s="127"/>
      <c r="G61" s="172"/>
      <c r="H61" s="124"/>
      <c r="I61" s="124"/>
      <c r="J61" s="124"/>
      <c r="K61" s="124"/>
      <c r="L61" s="124"/>
      <c r="M61" s="124"/>
      <c r="N61" s="124"/>
      <c r="O61" s="127"/>
    </row>
    <row r="62" spans="1:15">
      <c r="A62" s="97" t="s">
        <v>1733</v>
      </c>
      <c r="B62" s="1653"/>
      <c r="C62" s="97"/>
      <c r="D62" s="97"/>
      <c r="E62" s="97"/>
      <c r="F62" s="97"/>
      <c r="G62" s="97"/>
      <c r="H62" s="97"/>
      <c r="I62" s="97"/>
      <c r="J62" s="97"/>
      <c r="K62" s="97"/>
      <c r="L62" s="97"/>
      <c r="M62" s="97"/>
      <c r="N62" s="442" t="s">
        <v>1733</v>
      </c>
      <c r="O62" s="97"/>
    </row>
    <row r="63" spans="1:15">
      <c r="A63" s="128" t="s">
        <v>1734</v>
      </c>
      <c r="B63" s="1709"/>
      <c r="C63" s="128"/>
      <c r="D63" s="128"/>
      <c r="E63" s="128"/>
      <c r="F63" s="128"/>
      <c r="G63" s="128" t="s">
        <v>1735</v>
      </c>
      <c r="H63" s="128"/>
      <c r="I63" s="128"/>
      <c r="J63" s="128"/>
      <c r="K63" s="128"/>
      <c r="L63" s="128"/>
      <c r="M63" s="128"/>
      <c r="N63" s="128"/>
      <c r="O63" s="128"/>
    </row>
    <row r="64" spans="1:15">
      <c r="A64" s="128"/>
      <c r="B64" s="1709"/>
      <c r="C64" s="128"/>
      <c r="D64" s="128"/>
      <c r="E64" s="128"/>
      <c r="F64" s="128"/>
      <c r="G64" s="128"/>
      <c r="H64" s="128"/>
      <c r="I64" s="128"/>
      <c r="J64" s="128"/>
      <c r="K64" s="128"/>
      <c r="L64" s="128"/>
      <c r="M64" s="128"/>
      <c r="N64" s="128"/>
      <c r="O64" s="128"/>
    </row>
    <row r="65" spans="1:15">
      <c r="A65" s="128"/>
      <c r="B65" s="1709"/>
      <c r="C65" s="128"/>
      <c r="D65" s="128"/>
      <c r="E65" s="128"/>
      <c r="F65" s="128"/>
      <c r="G65" s="128"/>
      <c r="H65" s="128"/>
      <c r="I65" s="128"/>
      <c r="J65" s="128"/>
      <c r="K65" s="128"/>
      <c r="L65" s="128"/>
      <c r="M65" s="128"/>
      <c r="N65" s="128"/>
      <c r="O65" s="128"/>
    </row>
    <row r="66" spans="1:15">
      <c r="A66" s="128"/>
      <c r="B66" s="1709"/>
      <c r="C66" s="128"/>
      <c r="D66" s="128"/>
      <c r="E66" s="128"/>
      <c r="F66" s="128"/>
      <c r="G66" s="128"/>
      <c r="H66" s="128"/>
      <c r="I66" s="128"/>
      <c r="J66" s="128"/>
      <c r="K66" s="128"/>
      <c r="L66" s="128"/>
      <c r="M66" s="128"/>
      <c r="N66" s="128"/>
      <c r="O66" s="128"/>
    </row>
    <row r="67" spans="1:15">
      <c r="A67" s="128"/>
      <c r="B67" s="1709"/>
      <c r="C67" s="128"/>
      <c r="D67" s="128"/>
      <c r="E67" s="128"/>
      <c r="F67" s="128"/>
      <c r="G67" s="128"/>
      <c r="H67" s="128"/>
      <c r="I67" s="128"/>
      <c r="J67" s="128"/>
      <c r="K67" s="128"/>
      <c r="L67" s="128"/>
      <c r="M67" s="128"/>
      <c r="N67" s="128"/>
      <c r="O67" s="128"/>
    </row>
  </sheetData>
  <customSheetViews>
    <customSheetView guid="{1BA452AD-1A45-4D9C-9666-ADFFA6F2F567}" colorId="22">
      <selection activeCell="H2" sqref="H2"/>
      <colBreaks count="1" manualBreakCount="1">
        <brk id="6" max="59" man="1"/>
      </colBreaks>
      <pageMargins left="0.5" right="0.25" top="0.3" bottom="0.3" header="0" footer="0"/>
      <printOptions horizontalCentered="1" verticalCentered="1"/>
      <pageSetup scale="66" fitToWidth="2" orientation="portrait" r:id="rId1"/>
      <headerFooter alignWithMargins="0"/>
    </customSheetView>
    <customSheetView guid="{EEF7ABD6-0F96-4791-B749-C06F707E7673}" colorId="22" showRuler="0" topLeftCell="A22">
      <selection activeCell="B31" sqref="B31"/>
      <colBreaks count="1" manualBreakCount="1">
        <brk id="6" max="59" man="1"/>
      </colBreaks>
      <pageMargins left="0.5" right="0.25" top="0.3" bottom="0.3" header="0" footer="0"/>
      <printOptions horizontalCentered="1" verticalCentered="1"/>
      <pageSetup scale="66" fitToWidth="2" orientation="portrait" r:id="rId2"/>
      <headerFooter alignWithMargins="0"/>
    </customSheetView>
    <customSheetView guid="{4826FCC0-BDD6-4B2C-ACC6-ACE271DDF0E3}" scale="87" colorId="22" showRuler="0">
      <selection activeCell="C42" sqref="C42"/>
      <colBreaks count="1" manualBreakCount="1">
        <brk id="6" max="59" man="1"/>
      </colBreaks>
      <pageMargins left="0.5" right="0.25" top="0.3" bottom="0.3" header="0" footer="0"/>
      <printOptions horizontalCentered="1" verticalCentered="1"/>
      <pageSetup scale="66" fitToWidth="2" orientation="portrait" r:id="rId3"/>
      <headerFooter alignWithMargins="0"/>
    </customSheetView>
    <customSheetView guid="{EF376D10-23D6-4FE2-AB5B-4460D52CC93F}" colorId="22" showRuler="0" topLeftCell="A10">
      <selection activeCell="C35" sqref="C35"/>
      <colBreaks count="1" manualBreakCount="1">
        <brk id="6" max="59" man="1"/>
      </colBreaks>
      <pageMargins left="0.5" right="0.25" top="0.3" bottom="0.3" header="0" footer="0"/>
      <printOptions horizontalCentered="1" verticalCentered="1"/>
      <pageSetup scale="66" fitToWidth="2" orientation="portrait" r:id="rId4"/>
      <headerFooter alignWithMargins="0"/>
    </customSheetView>
    <customSheetView guid="{1C046605-15CE-44F1-BFCD-2CA8588E7ACF}" colorId="22" showRuler="0">
      <selection activeCell="E38" sqref="E38"/>
      <colBreaks count="1" manualBreakCount="1">
        <brk id="6" max="59" man="1"/>
      </colBreaks>
      <pageMargins left="0.5" right="0.25" top="0.3" bottom="0.3" header="0" footer="0"/>
      <printOptions horizontalCentered="1" verticalCentered="1"/>
      <pageSetup scale="66" fitToWidth="2" orientation="portrait" r:id="rId5"/>
      <headerFooter alignWithMargins="0"/>
    </customSheetView>
    <customSheetView guid="{3911D713-188C-46A1-A299-F21DD3B7A146}" colorId="22" showRuler="0">
      <selection activeCell="E38" sqref="E38"/>
      <colBreaks count="1" manualBreakCount="1">
        <brk id="6" max="59" man="1"/>
      </colBreaks>
      <pageMargins left="0.5" right="0.25" top="0.3" bottom="0.3" header="0" footer="0"/>
      <printOptions horizontalCentered="1" verticalCentered="1"/>
      <pageSetup scale="66" fitToWidth="2" orientation="portrait" r:id="rId6"/>
      <headerFooter alignWithMargins="0"/>
    </customSheetView>
    <customSheetView guid="{78BB1E60-60BE-4F56-9763-075185EFEFAB}" colorId="22">
      <selection activeCell="H2" sqref="H2"/>
      <colBreaks count="1" manualBreakCount="1">
        <brk id="6" max="59" man="1"/>
      </colBreaks>
      <pageMargins left="0.5" right="0.25" top="0.3" bottom="0.3" header="0" footer="0"/>
      <printOptions horizontalCentered="1" verticalCentered="1"/>
      <pageSetup scale="66" fitToWidth="2" orientation="portrait" r:id="rId7"/>
      <headerFooter alignWithMargins="0"/>
    </customSheetView>
    <customSheetView guid="{9C30803E-1E2D-4850-B0A5-591CA6F246A1}" colorId="22">
      <selection activeCell="H2" sqref="H2"/>
      <colBreaks count="1" manualBreakCount="1">
        <brk id="6" max="59" man="1"/>
      </colBreaks>
      <pageMargins left="0.5" right="0.25" top="0.3" bottom="0.3" header="0" footer="0"/>
      <printOptions horizontalCentered="1" verticalCentered="1"/>
      <pageSetup scale="66" fitToWidth="2" orientation="portrait" r:id="rId8"/>
      <headerFooter alignWithMargins="0"/>
    </customSheetView>
    <customSheetView guid="{3B1006FF-A2CA-49E7-9B25-DAC8815279AF}" colorId="22">
      <selection activeCell="H2" sqref="H2"/>
      <colBreaks count="1" manualBreakCount="1">
        <brk id="6" max="59" man="1"/>
      </colBreaks>
      <pageMargins left="0.5" right="0.25" top="0.3" bottom="0.3" header="0" footer="0"/>
      <printOptions horizontalCentered="1" verticalCentered="1"/>
      <pageSetup scale="66" fitToWidth="2" orientation="portrait" r:id="rId9"/>
      <headerFooter alignWithMargins="0"/>
    </customSheetView>
    <customSheetView guid="{FB1A60C8-E1F9-4DF0-8E0E-1C965F86027F}" colorId="22">
      <selection activeCell="H2" sqref="H2"/>
      <colBreaks count="1" manualBreakCount="1">
        <brk id="6" max="59" man="1"/>
      </colBreaks>
      <pageMargins left="0.5" right="0.25" top="0.3" bottom="0.3" header="0" footer="0"/>
      <printOptions horizontalCentered="1" verticalCentered="1"/>
      <pageSetup scale="66" fitToWidth="2" orientation="portrait" r:id="rId10"/>
      <headerFooter alignWithMargins="0"/>
    </customSheetView>
    <customSheetView guid="{C5B6D812-CBE6-46AA-99F7-02494E9802B4}" scale="70" colorId="22" topLeftCell="C5">
      <selection activeCell="C10" sqref="C10"/>
      <colBreaks count="1" manualBreakCount="1">
        <brk id="6" max="59" man="1"/>
      </colBreaks>
      <pageMargins left="0.5" right="0.25" top="0.3" bottom="0.3" header="0" footer="0"/>
      <printOptions horizontalCentered="1" verticalCentered="1"/>
      <pageSetup scale="66" fitToWidth="2" orientation="portrait" r:id="rId11"/>
      <headerFooter alignWithMargins="0"/>
    </customSheetView>
  </customSheetViews>
  <phoneticPr fontId="0" type="noConversion"/>
  <printOptions horizontalCentered="1" verticalCentered="1"/>
  <pageMargins left="0.5" right="0.25" top="0.3" bottom="0.3" header="0" footer="0"/>
  <pageSetup scale="66" fitToWidth="2" orientation="portrait" r:id="rId12"/>
  <headerFooter alignWithMargins="0"/>
  <colBreaks count="1" manualBreakCount="1">
    <brk id="6" max="59" man="1"/>
  </colBreaks>
  <customProperties>
    <customPr name="_pios_id" r:id="rId13"/>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85</vt:i4>
      </vt:variant>
      <vt:variant>
        <vt:lpstr>Named Ranges</vt:lpstr>
      </vt:variant>
      <vt:variant>
        <vt:i4>156</vt:i4>
      </vt:variant>
    </vt:vector>
  </HeadingPairs>
  <TitlesOfParts>
    <vt:vector size="241" baseType="lpstr">
      <vt:lpstr>Start Printing</vt:lpstr>
      <vt:lpstr>Readme</vt:lpstr>
      <vt:lpstr>Data sheet</vt:lpstr>
      <vt:lpstr>Cover</vt:lpstr>
      <vt:lpstr>Instructions</vt:lpstr>
      <vt:lpstr>Schedules</vt:lpstr>
      <vt:lpstr>101</vt:lpstr>
      <vt:lpstr>102103</vt:lpstr>
      <vt:lpstr>104105</vt:lpstr>
      <vt:lpstr>106107</vt:lpstr>
      <vt:lpstr>108109</vt:lpstr>
      <vt:lpstr>110</vt:lpstr>
      <vt:lpstr>111113</vt:lpstr>
      <vt:lpstr>114115</vt:lpstr>
      <vt:lpstr>116119</vt:lpstr>
      <vt:lpstr>120121</vt:lpstr>
      <vt:lpstr>122123</vt:lpstr>
      <vt:lpstr>124125</vt:lpstr>
      <vt:lpstr>200201</vt:lpstr>
      <vt:lpstr>202205</vt:lpstr>
      <vt:lpstr>206</vt:lpstr>
      <vt:lpstr>207</vt:lpstr>
      <vt:lpstr>208</vt:lpstr>
      <vt:lpstr>209</vt:lpstr>
      <vt:lpstr>210</vt:lpstr>
      <vt:lpstr>211</vt:lpstr>
      <vt:lpstr>212</vt:lpstr>
      <vt:lpstr>213</vt:lpstr>
      <vt:lpstr>214</vt:lpstr>
      <vt:lpstr>215</vt:lpstr>
      <vt:lpstr>216</vt:lpstr>
      <vt:lpstr>217</vt:lpstr>
      <vt:lpstr>250251</vt:lpstr>
      <vt:lpstr>252</vt:lpstr>
      <vt:lpstr>253</vt:lpstr>
      <vt:lpstr>254</vt:lpstr>
      <vt:lpstr>255</vt:lpstr>
      <vt:lpstr>256257</vt:lpstr>
      <vt:lpstr>258260</vt:lpstr>
      <vt:lpstr>261</vt:lpstr>
      <vt:lpstr>262263</vt:lpstr>
      <vt:lpstr>264265</vt:lpstr>
      <vt:lpstr>266</vt:lpstr>
      <vt:lpstr>267</vt:lpstr>
      <vt:lpstr>300</vt:lpstr>
      <vt:lpstr>301</vt:lpstr>
      <vt:lpstr>302304</vt:lpstr>
      <vt:lpstr>305</vt:lpstr>
      <vt:lpstr>306</vt:lpstr>
      <vt:lpstr>307309</vt:lpstr>
      <vt:lpstr>310</vt:lpstr>
      <vt:lpstr>311312</vt:lpstr>
      <vt:lpstr>313</vt:lpstr>
      <vt:lpstr>314</vt:lpstr>
      <vt:lpstr>314_attachment</vt:lpstr>
      <vt:lpstr>315</vt:lpstr>
      <vt:lpstr>316</vt:lpstr>
      <vt:lpstr>317</vt:lpstr>
      <vt:lpstr>318320</vt:lpstr>
      <vt:lpstr>321</vt:lpstr>
      <vt:lpstr>350351</vt:lpstr>
      <vt:lpstr>352353</vt:lpstr>
      <vt:lpstr>354</vt:lpstr>
      <vt:lpstr>355356</vt:lpstr>
      <vt:lpstr>357358</vt:lpstr>
      <vt:lpstr>359360</vt:lpstr>
      <vt:lpstr>361362</vt:lpstr>
      <vt:lpstr>363</vt:lpstr>
      <vt:lpstr>364</vt:lpstr>
      <vt:lpstr>365</vt:lpstr>
      <vt:lpstr>366</vt:lpstr>
      <vt:lpstr>367</vt:lpstr>
      <vt:lpstr>400</vt:lpstr>
      <vt:lpstr>401</vt:lpstr>
      <vt:lpstr>402</vt:lpstr>
      <vt:lpstr>403404</vt:lpstr>
      <vt:lpstr>405</vt:lpstr>
      <vt:lpstr>406</vt:lpstr>
      <vt:lpstr>407408</vt:lpstr>
      <vt:lpstr>409</vt:lpstr>
      <vt:lpstr>410</vt:lpstr>
      <vt:lpstr>411412</vt:lpstr>
      <vt:lpstr>Book</vt:lpstr>
      <vt:lpstr>Verify</vt:lpstr>
      <vt:lpstr>Zindex</vt:lpstr>
      <vt:lpstr>'405'!\Y</vt:lpstr>
      <vt:lpstr>_001COVER</vt:lpstr>
      <vt:lpstr>_002INSTR</vt:lpstr>
      <vt:lpstr>_003SCHEDULES</vt:lpstr>
      <vt:lpstr>_101</vt:lpstr>
      <vt:lpstr>_102103</vt:lpstr>
      <vt:lpstr>'104105'!_104105</vt:lpstr>
      <vt:lpstr>_106107</vt:lpstr>
      <vt:lpstr>'108109'!_108109</vt:lpstr>
      <vt:lpstr>_114115</vt:lpstr>
      <vt:lpstr>_116119</vt:lpstr>
      <vt:lpstr>_120121</vt:lpstr>
      <vt:lpstr>_122123</vt:lpstr>
      <vt:lpstr>_124125</vt:lpstr>
      <vt:lpstr>_200201</vt:lpstr>
      <vt:lpstr>_202205</vt:lpstr>
      <vt:lpstr>_206</vt:lpstr>
      <vt:lpstr>_207</vt:lpstr>
      <vt:lpstr>_208</vt:lpstr>
      <vt:lpstr>_209</vt:lpstr>
      <vt:lpstr>_210</vt:lpstr>
      <vt:lpstr>_211</vt:lpstr>
      <vt:lpstr>_212</vt:lpstr>
      <vt:lpstr>_213</vt:lpstr>
      <vt:lpstr>_214</vt:lpstr>
      <vt:lpstr>_215</vt:lpstr>
      <vt:lpstr>_216</vt:lpstr>
      <vt:lpstr>_217</vt:lpstr>
      <vt:lpstr>_250251</vt:lpstr>
      <vt:lpstr>_252</vt:lpstr>
      <vt:lpstr>_254</vt:lpstr>
      <vt:lpstr>_256257</vt:lpstr>
      <vt:lpstr>_258260</vt:lpstr>
      <vt:lpstr>_261</vt:lpstr>
      <vt:lpstr>_262263</vt:lpstr>
      <vt:lpstr>_266</vt:lpstr>
      <vt:lpstr>_267</vt:lpstr>
      <vt:lpstr>_PM101</vt:lpstr>
      <vt:lpstr>_PM102103</vt:lpstr>
      <vt:lpstr>'104105'!_PM104105</vt:lpstr>
      <vt:lpstr>_PM106107</vt:lpstr>
      <vt:lpstr>'108109'!_PM108109</vt:lpstr>
      <vt:lpstr>_PM114115</vt:lpstr>
      <vt:lpstr>_PM116119</vt:lpstr>
      <vt:lpstr>_PM120121</vt:lpstr>
      <vt:lpstr>_PM122123</vt:lpstr>
      <vt:lpstr>_PM124125</vt:lpstr>
      <vt:lpstr>_PM200201</vt:lpstr>
      <vt:lpstr>_PM202205</vt:lpstr>
      <vt:lpstr>_PM206</vt:lpstr>
      <vt:lpstr>_PM207</vt:lpstr>
      <vt:lpstr>_PM209</vt:lpstr>
      <vt:lpstr>_PM210</vt:lpstr>
      <vt:lpstr>_PM211</vt:lpstr>
      <vt:lpstr>_PM212</vt:lpstr>
      <vt:lpstr>_PM213</vt:lpstr>
      <vt:lpstr>_PM214</vt:lpstr>
      <vt:lpstr>_PM215</vt:lpstr>
      <vt:lpstr>_PM216</vt:lpstr>
      <vt:lpstr>_PM250251</vt:lpstr>
      <vt:lpstr>_PM252</vt:lpstr>
      <vt:lpstr>_PM253</vt:lpstr>
      <vt:lpstr>_PM254</vt:lpstr>
      <vt:lpstr>_PM255</vt:lpstr>
      <vt:lpstr>_PM256257</vt:lpstr>
      <vt:lpstr>_PM258260</vt:lpstr>
      <vt:lpstr>_PM261</vt:lpstr>
      <vt:lpstr>_PM262263</vt:lpstr>
      <vt:lpstr>_PM266</vt:lpstr>
      <vt:lpstr>_PM267</vt:lpstr>
      <vt:lpstr>Book!BOOK</vt:lpstr>
      <vt:lpstr>COVERPM</vt:lpstr>
      <vt:lpstr>GENINSTPM</vt:lpstr>
      <vt:lpstr>'101'!Print_Area</vt:lpstr>
      <vt:lpstr>'102103'!Print_Area</vt:lpstr>
      <vt:lpstr>'104105'!Print_Area</vt:lpstr>
      <vt:lpstr>'106107'!Print_Area</vt:lpstr>
      <vt:lpstr>'108109'!Print_Area</vt:lpstr>
      <vt:lpstr>'110'!Print_Area</vt:lpstr>
      <vt:lpstr>'111113'!Print_Area</vt:lpstr>
      <vt:lpstr>'114115'!Print_Area</vt:lpstr>
      <vt:lpstr>'116119'!Print_Area</vt:lpstr>
      <vt:lpstr>'120121'!Print_Area</vt:lpstr>
      <vt:lpstr>'122123'!Print_Area</vt:lpstr>
      <vt:lpstr>'124125'!Print_Area</vt:lpstr>
      <vt:lpstr>'200201'!Print_Area</vt:lpstr>
      <vt:lpstr>'202205'!Print_Area</vt:lpstr>
      <vt:lpstr>'206'!Print_Area</vt:lpstr>
      <vt:lpstr>'207'!Print_Area</vt:lpstr>
      <vt:lpstr>'208'!Print_Area</vt:lpstr>
      <vt:lpstr>'209'!Print_Area</vt:lpstr>
      <vt:lpstr>'210'!Print_Area</vt:lpstr>
      <vt:lpstr>'211'!Print_Area</vt:lpstr>
      <vt:lpstr>'212'!Print_Area</vt:lpstr>
      <vt:lpstr>'213'!Print_Area</vt:lpstr>
      <vt:lpstr>'214'!Print_Area</vt:lpstr>
      <vt:lpstr>'215'!Print_Area</vt:lpstr>
      <vt:lpstr>'216'!Print_Area</vt:lpstr>
      <vt:lpstr>'217'!Print_Area</vt:lpstr>
      <vt:lpstr>'250251'!Print_Area</vt:lpstr>
      <vt:lpstr>'252'!Print_Area</vt:lpstr>
      <vt:lpstr>'253'!Print_Area</vt:lpstr>
      <vt:lpstr>'254'!Print_Area</vt:lpstr>
      <vt:lpstr>'255'!Print_Area</vt:lpstr>
      <vt:lpstr>'256257'!Print_Area</vt:lpstr>
      <vt:lpstr>'258260'!Print_Area</vt:lpstr>
      <vt:lpstr>'261'!Print_Area</vt:lpstr>
      <vt:lpstr>'262263'!Print_Area</vt:lpstr>
      <vt:lpstr>'264265'!Print_Area</vt:lpstr>
      <vt:lpstr>'266'!Print_Area</vt:lpstr>
      <vt:lpstr>'267'!Print_Area</vt:lpstr>
      <vt:lpstr>'300'!Print_Area</vt:lpstr>
      <vt:lpstr>'301'!Print_Area</vt:lpstr>
      <vt:lpstr>'302304'!Print_Area</vt:lpstr>
      <vt:lpstr>'305'!Print_Area</vt:lpstr>
      <vt:lpstr>'306'!Print_Area</vt:lpstr>
      <vt:lpstr>'307309'!Print_Area</vt:lpstr>
      <vt:lpstr>'310'!Print_Area</vt:lpstr>
      <vt:lpstr>'311312'!Print_Area</vt:lpstr>
      <vt:lpstr>'313'!Print_Area</vt:lpstr>
      <vt:lpstr>'314'!Print_Area</vt:lpstr>
      <vt:lpstr>'314_attachment'!Print_Area</vt:lpstr>
      <vt:lpstr>'315'!Print_Area</vt:lpstr>
      <vt:lpstr>'316'!Print_Area</vt:lpstr>
      <vt:lpstr>'317'!Print_Area</vt:lpstr>
      <vt:lpstr>'318320'!Print_Area</vt:lpstr>
      <vt:lpstr>'321'!Print_Area</vt:lpstr>
      <vt:lpstr>'350351'!Print_Area</vt:lpstr>
      <vt:lpstr>'352353'!Print_Area</vt:lpstr>
      <vt:lpstr>'354'!Print_Area</vt:lpstr>
      <vt:lpstr>'355356'!Print_Area</vt:lpstr>
      <vt:lpstr>'357358'!Print_Area</vt:lpstr>
      <vt:lpstr>'359360'!Print_Area</vt:lpstr>
      <vt:lpstr>'361362'!Print_Area</vt:lpstr>
      <vt:lpstr>'363'!Print_Area</vt:lpstr>
      <vt:lpstr>'364'!Print_Area</vt:lpstr>
      <vt:lpstr>'365'!Print_Area</vt:lpstr>
      <vt:lpstr>'366'!Print_Area</vt:lpstr>
      <vt:lpstr>'367'!Print_Area</vt:lpstr>
      <vt:lpstr>'400'!Print_Area</vt:lpstr>
      <vt:lpstr>'401'!Print_Area</vt:lpstr>
      <vt:lpstr>'402'!Print_Area</vt:lpstr>
      <vt:lpstr>'403404'!Print_Area</vt:lpstr>
      <vt:lpstr>'405'!Print_Area</vt:lpstr>
      <vt:lpstr>'406'!Print_Area</vt:lpstr>
      <vt:lpstr>'407408'!Print_Area</vt:lpstr>
      <vt:lpstr>'411412'!Print_Area</vt:lpstr>
      <vt:lpstr>Book!Print_Area</vt:lpstr>
      <vt:lpstr>Cover!Print_Area</vt:lpstr>
      <vt:lpstr>'Data sheet'!Print_Area</vt:lpstr>
      <vt:lpstr>Instructions!Print_Area</vt:lpstr>
      <vt:lpstr>Schedules!Print_Area</vt:lpstr>
      <vt:lpstr>Verify!Print_Area</vt:lpstr>
      <vt:lpstr>Zindex!Print_Area</vt:lpstr>
      <vt:lpstr>'206'!Print_Titles</vt:lpstr>
      <vt:lpstr>TABLEPM</vt:lpstr>
    </vt:vector>
  </TitlesOfParts>
  <Company>Dept. of Public Service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New York</dc:creator>
  <cp:lastModifiedBy>n025us</cp:lastModifiedBy>
  <cp:lastPrinted>2014-05-19T16:07:52Z</cp:lastPrinted>
  <dcterms:created xsi:type="dcterms:W3CDTF">1999-04-15T19:25:10Z</dcterms:created>
  <dcterms:modified xsi:type="dcterms:W3CDTF">2014-05-19T19:34:32Z</dcterms:modified>
</cp:coreProperties>
</file>