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P:\VDER\"/>
    </mc:Choice>
  </mc:AlternateContent>
  <xr:revisionPtr revIDLastSave="0" documentId="8_{EB83339B-4B56-41C4-9E3F-73051399E8F5}" xr6:coauthVersionLast="36" xr6:coauthVersionMax="36" xr10:uidLastSave="{00000000-0000-0000-0000-000000000000}"/>
  <bookViews>
    <workbookView xWindow="0" yWindow="0" windowWidth="28800" windowHeight="12210" tabRatio="893" xr2:uid="{92517043-4322-4897-B0CE-7E478AF8783F}"/>
  </bookViews>
  <sheets>
    <sheet name="Delivery" sheetId="1" r:id="rId1"/>
    <sheet name="Supply &amp; RECs ZECs" sheetId="2" r:id="rId2"/>
    <sheet name="CH Expenditures" sheetId="9" r:id="rId3"/>
    <sheet name="CH Alloc-Rates" sheetId="10" r:id="rId4"/>
    <sheet name="Con Edison" sheetId="8" r:id="rId5"/>
    <sheet name="NG Low Income" sheetId="12" r:id="rId6"/>
    <sheet name="NG Energy Efficiency" sheetId="13" r:id="rId7"/>
    <sheet name="NG Rate Information" sheetId="14" r:id="rId8"/>
    <sheet name="NYSEG &amp; RGE" sheetId="3" r:id="rId9"/>
    <sheet name="O&amp;R" sheetId="4" r:id="rId10"/>
  </sheets>
  <definedNames>
    <definedName name="_Key1" localSheetId="8" hidden="1">#REF!</definedName>
    <definedName name="_Key1" hidden="1">#REF!</definedName>
    <definedName name="_Key2" localSheetId="8" hidden="1">#REF!</definedName>
    <definedName name="_Key2" hidden="1">#REF!</definedName>
    <definedName name="_Order1" hidden="1">255</definedName>
    <definedName name="_Order2" hidden="1">255</definedName>
    <definedName name="_Sort" localSheetId="8" hidden="1">#REF!</definedName>
    <definedName name="_Sort" hidden="1">#REF!</definedName>
    <definedName name="_xlnm.Print_Area" localSheetId="3">'CH Alloc-Rates'!$A:$E</definedName>
    <definedName name="_xlnm.Print_Area" localSheetId="8">'NYSEG &amp; RGE'!$A$1:$F$31</definedName>
    <definedName name="SAPBEXrevision" hidden="1">7</definedName>
    <definedName name="SAPBEXsysID" hidden="1">"PBW"</definedName>
    <definedName name="SAPBEXwbID" hidden="1">"45VHZTSTFDGVEP1HZXE57HOP2"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7" i="1" l="1"/>
  <c r="H31" i="1"/>
  <c r="H22" i="1"/>
  <c r="E37" i="1"/>
  <c r="E22" i="1"/>
  <c r="D31" i="1"/>
  <c r="D22" i="1"/>
  <c r="G37" i="1"/>
  <c r="G16" i="1"/>
  <c r="G31" i="1"/>
  <c r="G22" i="1"/>
  <c r="C21" i="1"/>
  <c r="C22" i="1"/>
  <c r="F37" i="1"/>
  <c r="F22" i="1"/>
  <c r="F31" i="1"/>
  <c r="E29" i="1"/>
  <c r="E31" i="1" s="1"/>
  <c r="E28" i="1"/>
  <c r="E35" i="1"/>
  <c r="P17" i="14"/>
  <c r="C24" i="13" s="1"/>
  <c r="O17" i="14"/>
  <c r="C23" i="13" s="1"/>
  <c r="N17" i="14"/>
  <c r="C22" i="13" s="1"/>
  <c r="M17" i="14"/>
  <c r="L17" i="14"/>
  <c r="C20" i="13" s="1"/>
  <c r="K17" i="14"/>
  <c r="J17" i="14"/>
  <c r="C18" i="13" s="1"/>
  <c r="I17" i="14"/>
  <c r="H17" i="14"/>
  <c r="C16" i="13" s="1"/>
  <c r="C34" i="13" s="1"/>
  <c r="E34" i="13" s="1"/>
  <c r="G17" i="14"/>
  <c r="F17" i="14"/>
  <c r="E34" i="1" s="1"/>
  <c r="P16" i="14"/>
  <c r="O16" i="14"/>
  <c r="N16" i="14"/>
  <c r="M16" i="14"/>
  <c r="C20" i="12" s="1"/>
  <c r="L16" i="14"/>
  <c r="K16" i="14"/>
  <c r="J16" i="14"/>
  <c r="I16" i="14"/>
  <c r="C16" i="12" s="1"/>
  <c r="H16" i="14"/>
  <c r="G16" i="14"/>
  <c r="F16" i="14"/>
  <c r="C30" i="13"/>
  <c r="E30" i="13" s="1"/>
  <c r="C21" i="13"/>
  <c r="C19" i="13"/>
  <c r="C17" i="13"/>
  <c r="C15" i="13"/>
  <c r="C14" i="13"/>
  <c r="C28" i="13" s="1"/>
  <c r="E28" i="13" s="1"/>
  <c r="C23" i="12"/>
  <c r="C22" i="12"/>
  <c r="C21" i="12"/>
  <c r="C19" i="12"/>
  <c r="C18" i="12"/>
  <c r="C17" i="12"/>
  <c r="C15" i="12"/>
  <c r="C33" i="12" s="1"/>
  <c r="E33" i="12" s="1"/>
  <c r="C14" i="12"/>
  <c r="C29" i="12" s="1"/>
  <c r="E29" i="12" s="1"/>
  <c r="C13" i="12"/>
  <c r="C27" i="12" s="1"/>
  <c r="E27" i="12" s="1"/>
  <c r="F36" i="8" l="1"/>
  <c r="D34" i="1"/>
  <c r="F13" i="3" l="1"/>
  <c r="E13" i="3"/>
  <c r="C13" i="3"/>
  <c r="B13" i="3"/>
  <c r="C29" i="1"/>
  <c r="C31" i="1" s="1"/>
  <c r="C28" i="1"/>
  <c r="C30" i="1" s="1"/>
  <c r="E36" i="1"/>
  <c r="N36" i="10"/>
  <c r="N37" i="10"/>
  <c r="M51" i="10"/>
  <c r="F37" i="8"/>
  <c r="D35" i="1" s="1"/>
  <c r="D37" i="1" s="1"/>
  <c r="G36" i="1" l="1"/>
  <c r="F40" i="8"/>
  <c r="C4" i="2" l="1"/>
  <c r="D36" i="1" l="1"/>
  <c r="G40" i="8"/>
  <c r="H36" i="1"/>
  <c r="F36" i="1"/>
  <c r="C35" i="1"/>
  <c r="C37" i="1" s="1"/>
  <c r="C34" i="1"/>
  <c r="C36" i="1" s="1"/>
  <c r="H30" i="1"/>
  <c r="G30" i="1"/>
  <c r="E30" i="1"/>
  <c r="D30" i="1"/>
  <c r="G15" i="1" l="1"/>
  <c r="D12" i="1"/>
  <c r="M37" i="10"/>
  <c r="M36" i="10"/>
  <c r="M54" i="10"/>
  <c r="M52" i="10"/>
  <c r="C47" i="10"/>
  <c r="B47" i="10"/>
  <c r="D46" i="10"/>
  <c r="D45" i="10"/>
  <c r="D44" i="10"/>
  <c r="D43" i="10"/>
  <c r="D42" i="10"/>
  <c r="D41" i="10"/>
  <c r="D40" i="10"/>
  <c r="D39" i="10"/>
  <c r="D38" i="10"/>
  <c r="D37" i="10"/>
  <c r="D36" i="10"/>
  <c r="L26" i="10"/>
  <c r="I26" i="10"/>
  <c r="M26" i="10" s="1"/>
  <c r="L24" i="10"/>
  <c r="I24" i="10"/>
  <c r="L23" i="10"/>
  <c r="I23" i="10"/>
  <c r="C19" i="10"/>
  <c r="B19" i="10"/>
  <c r="D18" i="10"/>
  <c r="D17" i="10"/>
  <c r="D16" i="10"/>
  <c r="D15" i="10"/>
  <c r="D14" i="10"/>
  <c r="D13" i="10"/>
  <c r="D12" i="10"/>
  <c r="D11" i="10"/>
  <c r="D10" i="10"/>
  <c r="D9" i="10"/>
  <c r="D8" i="10"/>
  <c r="C30" i="9"/>
  <c r="C28" i="9"/>
  <c r="C27" i="9"/>
  <c r="C26" i="9"/>
  <c r="C25" i="9"/>
  <c r="C20" i="9"/>
  <c r="C19" i="9"/>
  <c r="C18" i="9"/>
  <c r="C17" i="9"/>
  <c r="C11" i="9"/>
  <c r="C25" i="1" s="1"/>
  <c r="C27" i="1" s="1"/>
  <c r="D47" i="10" l="1"/>
  <c r="M24" i="10"/>
  <c r="C26" i="1"/>
  <c r="M23" i="10"/>
  <c r="C21" i="9"/>
  <c r="C29" i="9"/>
  <c r="C31" i="9" s="1"/>
  <c r="E39" i="10"/>
  <c r="E43" i="10"/>
  <c r="O37" i="10"/>
  <c r="E40" i="10"/>
  <c r="E44" i="10"/>
  <c r="E37" i="10"/>
  <c r="E41" i="10"/>
  <c r="E45" i="10"/>
  <c r="E38" i="10"/>
  <c r="E42" i="10"/>
  <c r="E46" i="10"/>
  <c r="D19" i="10"/>
  <c r="E12" i="10" s="1"/>
  <c r="E36" i="10"/>
  <c r="H21" i="1"/>
  <c r="F21" i="1"/>
  <c r="G21" i="1"/>
  <c r="E21" i="1"/>
  <c r="D21" i="1"/>
  <c r="G4" i="1" l="1"/>
  <c r="G6" i="1" s="1"/>
  <c r="G3" i="1"/>
  <c r="G5" i="1" s="1"/>
  <c r="E47" i="10"/>
  <c r="E14" i="10"/>
  <c r="E11" i="10"/>
  <c r="E17" i="10"/>
  <c r="E15" i="10"/>
  <c r="E13" i="10"/>
  <c r="E9" i="10"/>
  <c r="E18" i="10"/>
  <c r="E16" i="10"/>
  <c r="E10" i="10"/>
  <c r="E8" i="10"/>
  <c r="E19" i="10" l="1"/>
  <c r="C21" i="3"/>
  <c r="C22" i="3" s="1"/>
  <c r="F21" i="3"/>
  <c r="F22" i="3" s="1"/>
  <c r="E21" i="3"/>
  <c r="E22" i="3" s="1"/>
  <c r="B21" i="3"/>
  <c r="B22" i="3" s="1"/>
  <c r="F28" i="1" l="1"/>
  <c r="F30" i="1" s="1"/>
  <c r="F27" i="1"/>
  <c r="F26" i="1"/>
  <c r="H27" i="1"/>
  <c r="H26" i="1"/>
  <c r="B19" i="2" l="1"/>
  <c r="B12" i="2"/>
  <c r="G4" i="2"/>
  <c r="F4" i="2"/>
  <c r="E4" i="2"/>
  <c r="B4" i="2"/>
  <c r="D14" i="1"/>
  <c r="D16" i="1" s="1"/>
  <c r="E14" i="1"/>
  <c r="E16" i="1" s="1"/>
  <c r="F14" i="1"/>
  <c r="F16" i="1" s="1"/>
  <c r="H14" i="1"/>
  <c r="H16" i="1" s="1"/>
  <c r="C14" i="1"/>
  <c r="C16" i="1" l="1"/>
  <c r="C15" i="1"/>
  <c r="D15" i="1"/>
  <c r="H15" i="1"/>
  <c r="F15" i="1"/>
  <c r="E15" i="1"/>
  <c r="O36" i="10"/>
  <c r="F3" i="1" l="1"/>
  <c r="F5" i="1" s="1"/>
  <c r="D4" i="1"/>
  <c r="D6" i="1" s="1"/>
  <c r="F4" i="1"/>
  <c r="F6" i="1" s="1"/>
  <c r="D3" i="1"/>
  <c r="D5" i="1" s="1"/>
  <c r="E3" i="1"/>
  <c r="E5" i="1" s="1"/>
  <c r="H3" i="1"/>
  <c r="H5" i="1" s="1"/>
  <c r="C3" i="1"/>
  <c r="C5" i="1" s="1"/>
  <c r="E4" i="1"/>
  <c r="E6" i="1" s="1"/>
  <c r="H4" i="1"/>
  <c r="H6" i="1" s="1"/>
  <c r="C4" i="1"/>
  <c r="C6" i="1" s="1"/>
</calcChain>
</file>

<file path=xl/sharedStrings.xml><?xml version="1.0" encoding="utf-8"?>
<sst xmlns="http://schemas.openxmlformats.org/spreadsheetml/2006/main" count="417" uniqueCount="230">
  <si>
    <t>Central Hudson</t>
  </si>
  <si>
    <t>Con Edison</t>
  </si>
  <si>
    <t>National Grid</t>
  </si>
  <si>
    <t>NYSEG</t>
  </si>
  <si>
    <t>O&amp;R</t>
  </si>
  <si>
    <t>RG&amp;E</t>
  </si>
  <si>
    <t xml:space="preserve">Clean Energy Fund (CEF) per kWh </t>
  </si>
  <si>
    <t xml:space="preserve">Energy Efficiency Tracker (EET) per kWh </t>
  </si>
  <si>
    <t xml:space="preserve">Total System Benefit Charge (SBC) per kWh </t>
  </si>
  <si>
    <t xml:space="preserve">*Central Hudson, National Grid, and O&amp;R use standard Staff calculated </t>
  </si>
  <si>
    <t>4/2017-3/2018 ZEC</t>
  </si>
  <si>
    <t>2017 REC</t>
  </si>
  <si>
    <t>LSE Obligation                                  </t>
  </si>
  <si>
    <t>Obligated Load kWh                           </t>
  </si>
  <si>
    <t>Cost per kWh                                  </t>
  </si>
  <si>
    <t>2017 Total REC Cost                      </t>
  </si>
  <si>
    <t>Cost per REC                                 </t>
  </si>
  <si>
    <t>Requires Number of RECs           </t>
  </si>
  <si>
    <t xml:space="preserve">Obligated Load kWh                                 </t>
  </si>
  <si>
    <t>ZECs Acquired                                 </t>
  </si>
  <si>
    <t>Cost per REC                                      </t>
  </si>
  <si>
    <t>2017/18 Total ZEC Cost                 </t>
  </si>
  <si>
    <t xml:space="preserve">Cost per kWh                                     </t>
  </si>
  <si>
    <t>Residential - SC1 per kWh</t>
  </si>
  <si>
    <t>Non-Demand Comm per kWh</t>
  </si>
  <si>
    <t>RECs* per kWh</t>
  </si>
  <si>
    <t>ZECs* per kWh</t>
  </si>
  <si>
    <t>Clean Energy Standard per kWh</t>
  </si>
  <si>
    <t>Dynamic Load Management (DLM)</t>
  </si>
  <si>
    <t>Low Income Program</t>
  </si>
  <si>
    <t xml:space="preserve">1. Low Income Program </t>
  </si>
  <si>
    <t xml:space="preserve">a. Actual spent $ for last 12 months </t>
  </si>
  <si>
    <t>SC1</t>
  </si>
  <si>
    <t>SC2</t>
  </si>
  <si>
    <t>b. Allocation of budgeted $ to each service class</t>
  </si>
  <si>
    <r>
      <t xml:space="preserve">c. The billed unit rate (kWh or kW) - </t>
    </r>
    <r>
      <rPr>
        <sz val="11"/>
        <color rgb="FFFF0000"/>
        <rFont val="Calibri"/>
        <family val="2"/>
      </rPr>
      <t>Estimated</t>
    </r>
  </si>
  <si>
    <r>
      <t xml:space="preserve">d. Average $ collected per residential customer - </t>
    </r>
    <r>
      <rPr>
        <sz val="11"/>
        <color rgb="FFFF0000"/>
        <rFont val="Calibri"/>
        <family val="2"/>
      </rPr>
      <t>Annually</t>
    </r>
  </si>
  <si>
    <r>
      <t xml:space="preserve">e. Average $ collected per small commercial customer - </t>
    </r>
    <r>
      <rPr>
        <sz val="11"/>
        <color rgb="FFFF0000"/>
        <rFont val="Calibri"/>
        <family val="2"/>
      </rPr>
      <t>Annually</t>
    </r>
  </si>
  <si>
    <t xml:space="preserve">2. Energy Efficiency Program </t>
  </si>
  <si>
    <t>a. Actual spent $ for last 12 months</t>
  </si>
  <si>
    <t>Average Annual KWh Per Customer</t>
  </si>
  <si>
    <t>c. The billed unit rate (kWh or kW)</t>
  </si>
  <si>
    <t>Low Income Notes:</t>
  </si>
  <si>
    <t>Low Income Program "Actual spent" consists of:</t>
  </si>
  <si>
    <t>Elec Low Inc - Arrears Forgiveness 12 Months Through September 2018</t>
  </si>
  <si>
    <t>Elec Low Inc - Bill Reduction 12 Months Through September 2018</t>
  </si>
  <si>
    <t>Energy Efficiency Notes:</t>
  </si>
  <si>
    <t>Energy Efficiency "Actual spent" consists of System Benefits Charge 2018 Estimated Required Collections</t>
  </si>
  <si>
    <t>Energy Efficiency billed unit rate (kWh or kW) is per the SBC Rate Statement</t>
  </si>
  <si>
    <t>Both Program Notes:</t>
  </si>
  <si>
    <t xml:space="preserve">Estimated Annual Usage Per Customer used to calculate Average $ collected is based on 2017 average kwh </t>
  </si>
  <si>
    <t>Allocation of budgeted $ to each service class based on Rate Case Revenue Allocation</t>
  </si>
  <si>
    <t>Based on the 12-month period through November 2018, the actual spent dollars was approximately $4.5 million.</t>
  </si>
  <si>
    <t xml:space="preserve">The estimated allocation for the Residential (SC1) and Small Commercial non-demand billed (“NDB”) service classes (SC2 NDB) based on delivery revenue proportions from the currently effective rate plan are as follows: </t>
  </si>
  <si>
    <t>SC1 = $1,480,000</t>
  </si>
  <si>
    <t>SC2 NDB = $18,700</t>
  </si>
  <si>
    <t>Please note that low income costs are reflected at various changes in levels.  Those levels may have been allocated over the years at different proportions.</t>
  </si>
  <si>
    <t>After allocating the low income costs to the service classes, the costs for low income are included in delivery rates, which may be assessed using fixed, demand (where applicable), or energy based rates.  For purposes of responding to this question, the estimates used to respond to question 1.b. were unitized based on estimated per kWh charges as follows:</t>
  </si>
  <si>
    <t>SC1 = $0.00092 per kWh</t>
  </si>
  <si>
    <t>SC2 NDB = $0.00115 per kWh</t>
  </si>
  <si>
    <t>d. Average $ collected per residential customer</t>
  </si>
  <si>
    <t>Based on residential customers using 600 kWh per month and the rates above, the annual collection amount would be $6.62.</t>
  </si>
  <si>
    <t>e. Average $ collected per small commercial customer</t>
  </si>
  <si>
    <t>Based on a small commercial customer using 286 kWh per month and the rates above, the annual collection amount would be $3.95.</t>
  </si>
  <si>
    <t>Based on the 12-month period through November 2018 for Company-run energy efficiency programs and the 12-month period through October 2018 for SBC remittance dollars, the actual spent dollars was approximately $22.2 million.</t>
  </si>
  <si>
    <t>SC1 = $11,800,00</t>
  </si>
  <si>
    <t>SC2 (NDB) = $81,000</t>
  </si>
  <si>
    <t>SC1 = $0.00752 per kWh</t>
  </si>
  <si>
    <t>SC2 NDB = $0.00752 per kWh</t>
  </si>
  <si>
    <t>Based on residential customers using 600 kWh per month and the rates above, the annual collection amount would be $54.14.</t>
  </si>
  <si>
    <t>Based on a small commercial customer using 286 kWh per month and the rates above, the annual collection amount would be $25.81.</t>
  </si>
  <si>
    <t>Actual spent last 12 months</t>
  </si>
  <si>
    <t>Allocation to Small Comm</t>
  </si>
  <si>
    <t>Allocation to Residential</t>
  </si>
  <si>
    <t>Unit Rate Res</t>
  </si>
  <si>
    <t>Unit Rate Small Comm</t>
  </si>
  <si>
    <t>Average Annual Collected Res</t>
  </si>
  <si>
    <t>Average Annual Collected Small Comm</t>
  </si>
  <si>
    <t>Energy Efficiency Program</t>
  </si>
  <si>
    <t>(Year Ending November 2018)</t>
  </si>
  <si>
    <t>/kWh</t>
  </si>
  <si>
    <t>SC1C</t>
  </si>
  <si>
    <t>SC2ND</t>
  </si>
  <si>
    <t>SC2D</t>
  </si>
  <si>
    <t>/kW</t>
  </si>
  <si>
    <t>SC3_Sec</t>
  </si>
  <si>
    <t>SC3_Sec_Pri</t>
  </si>
  <si>
    <t>SC3_Sub T_T</t>
  </si>
  <si>
    <t>SC3A_Sec_Pri</t>
  </si>
  <si>
    <t>SC3A_Sub T</t>
  </si>
  <si>
    <t>SC3A_T</t>
  </si>
  <si>
    <t>SL</t>
  </si>
  <si>
    <t>1. Energy Efficiency</t>
  </si>
  <si>
    <t>NOTE:</t>
  </si>
  <si>
    <t>These dollars are inclusive of EEPS2, ETIP &amp; Rate Base Energy Efficiency.  Includes EM&amp;V and Residential Efficiency Platform.</t>
  </si>
  <si>
    <t>The Company does not budget or design the EE programs by service class.  Programs can serve customers in multiple services classes. </t>
  </si>
  <si>
    <t>Line</t>
  </si>
  <si>
    <t>Account</t>
  </si>
  <si>
    <t>No.</t>
  </si>
  <si>
    <t>Balance</t>
  </si>
  <si>
    <t>Check</t>
  </si>
  <si>
    <t>Residential</t>
  </si>
  <si>
    <t>Resid. TOU</t>
  </si>
  <si>
    <t>Small Gen No Dem</t>
  </si>
  <si>
    <t>Small Gen Demand</t>
  </si>
  <si>
    <t>Large Gen-Sec</t>
  </si>
  <si>
    <t>Large Gen-Pri</t>
  </si>
  <si>
    <t>Large Gen-Tran</t>
  </si>
  <si>
    <t>Lge Gen TOU-S/P</t>
  </si>
  <si>
    <t>Lge Gen TOU-SubT</t>
  </si>
  <si>
    <t>Lge Gen TOU-Tran</t>
  </si>
  <si>
    <t>Lighting</t>
  </si>
  <si>
    <t>Supervision</t>
  </si>
  <si>
    <t>Customer Assist</t>
  </si>
  <si>
    <t>Low Inc Disc</t>
  </si>
  <si>
    <t>908LI</t>
  </si>
  <si>
    <t>Econ Dev, Adv Prog</t>
  </si>
  <si>
    <t>908EDAdv</t>
  </si>
  <si>
    <t>Customer Assist- Comp</t>
  </si>
  <si>
    <t>908Comp</t>
  </si>
  <si>
    <t>Customer Assist- EE</t>
  </si>
  <si>
    <t>908EE</t>
  </si>
  <si>
    <t>Customer Assistance</t>
  </si>
  <si>
    <t>910</t>
  </si>
  <si>
    <t>Customer Serv. Exp.</t>
  </si>
  <si>
    <t>Customer Accts. &amp; Serv. Exp.</t>
  </si>
  <si>
    <t>901-919</t>
  </si>
  <si>
    <t>Usage kWh/kW</t>
  </si>
  <si>
    <t>Low Income "Surcharge"</t>
  </si>
  <si>
    <t>EE "Surcharge"</t>
  </si>
  <si>
    <r>
      <t>a. Actual spent $ for last 12 months</t>
    </r>
    <r>
      <rPr>
        <sz val="11"/>
        <color rgb="FF1F497D"/>
        <rFont val="Calibri"/>
        <family val="2"/>
      </rPr>
      <t xml:space="preserve"> – based on the 12-month period through 3</t>
    </r>
    <r>
      <rPr>
        <vertAlign val="superscript"/>
        <sz val="11"/>
        <color rgb="FF1F497D"/>
        <rFont val="Calibri"/>
        <family val="2"/>
      </rPr>
      <t>rd</t>
    </r>
    <r>
      <rPr>
        <sz val="11"/>
        <color rgb="FF1F497D"/>
        <rFont val="Calibri"/>
        <family val="2"/>
      </rPr>
      <t xml:space="preserve"> quarter 2018, the actual spent dollars was approximately $54.6 million.</t>
    </r>
  </si>
  <si>
    <r>
      <t xml:space="preserve">b. Allocation of budgeted $ to each service class – </t>
    </r>
    <r>
      <rPr>
        <sz val="11"/>
        <color rgb="FF1F497D"/>
        <rFont val="Calibri"/>
        <family val="2"/>
      </rPr>
      <t xml:space="preserve">the estimated allocation for the Residential (SC1) and Small Commercial (SC2) service classes based on delivery revenue proportions from 2018 are as follows: </t>
    </r>
  </si>
  <si>
    <t>SC1 = $22.0 million</t>
  </si>
  <si>
    <t>SC2 = $4.0 million</t>
  </si>
  <si>
    <r>
      <t xml:space="preserve">c. The billed unit rate (kWh or kW) – </t>
    </r>
    <r>
      <rPr>
        <sz val="11"/>
        <color rgb="FF1F497D"/>
        <rFont val="Calibri"/>
        <family val="2"/>
      </rPr>
      <t>After allocating the low income costs to the service classes the costs for low income are included in delivery rates, which may be assessed using fixed, demand or energy based rates.  For purposes of responding to this question, the estimates used to respond to question 1.b. were unitized based on estimated per kWh charges as follows:</t>
    </r>
  </si>
  <si>
    <t>SC1 = $0.00152 per kWh</t>
  </si>
  <si>
    <t>SC2 = $0.00173 per kWh</t>
  </si>
  <si>
    <r>
      <t xml:space="preserve">d. Average $ collected per residential customer </t>
    </r>
    <r>
      <rPr>
        <sz val="11"/>
        <color rgb="FF1F497D"/>
        <rFont val="Calibri"/>
        <family val="2"/>
      </rPr>
      <t>– Based on a residential customer using 300 kWh per month and the rates above, the annual collection amount would be $5.52.</t>
    </r>
  </si>
  <si>
    <r>
      <t xml:space="preserve">e. Average $ collected per small commercial customer - </t>
    </r>
    <r>
      <rPr>
        <sz val="11"/>
        <color rgb="FF1F497D"/>
        <rFont val="Calibri"/>
        <family val="2"/>
      </rPr>
      <t>Based on a small commercial customer using 500 kWh per month and the rates above, the monthly collection amount would be $10.44.</t>
    </r>
  </si>
  <si>
    <r>
      <t xml:space="preserve">a. Actual spent $ for last 12 months – </t>
    </r>
    <r>
      <rPr>
        <sz val="11"/>
        <color rgb="FF1F497D"/>
        <rFont val="Calibri"/>
        <family val="2"/>
      </rPr>
      <t>please see the below summary based on 2018 estimates:</t>
    </r>
    <r>
      <rPr>
        <sz val="10"/>
        <color rgb="FF1F497D"/>
        <rFont val="Arial"/>
        <family val="2"/>
      </rPr>
      <t xml:space="preserve"> </t>
    </r>
  </si>
  <si>
    <t>SBC (CEF/RPS) = n/a, NYSERDA has actual spend amounts.  However, the Company tracks disbursements</t>
  </si>
  <si>
    <t>SBC (EE Tracker/ETIP) = $58,785,612</t>
  </si>
  <si>
    <t>EE in Base Rates = $20,408,043</t>
  </si>
  <si>
    <t xml:space="preserve">b. Allocation of budgeted $ to each service class – </t>
  </si>
  <si>
    <t xml:space="preserve">SBC (in total) = </t>
  </si>
  <si>
    <t>1. SC1 = $94,356,561</t>
  </si>
  <si>
    <t>2. SC2 = $15,861,117</t>
  </si>
  <si>
    <r>
      <t>Connected Devices Pilot in MAC = approved budget is $7.5 million over three years starting in 2018.  Although the budgeted amounts are not spread evenly over the three years, the below assumes $2.5 million:</t>
    </r>
    <r>
      <rPr>
        <sz val="10"/>
        <color rgb="FF1F497D"/>
        <rFont val="Arial"/>
        <family val="2"/>
      </rPr>
      <t xml:space="preserve"> </t>
    </r>
  </si>
  <si>
    <t>1. SC1 = $831,335</t>
  </si>
  <si>
    <t>2. SC2 = $139,746</t>
  </si>
  <si>
    <r>
      <t>EE in Base Rates = $23 million.  You may not want to include this since it is in delivery rates:</t>
    </r>
    <r>
      <rPr>
        <sz val="10"/>
        <color rgb="FF1F497D"/>
        <rFont val="Arial"/>
        <family val="2"/>
      </rPr>
      <t xml:space="preserve"> </t>
    </r>
  </si>
  <si>
    <t>1. SC1 = $9,157,365</t>
  </si>
  <si>
    <t>2. SC2 = $1,678,547</t>
  </si>
  <si>
    <r>
      <t>c. The billed unit rate (kWh or kW)</t>
    </r>
    <r>
      <rPr>
        <sz val="10"/>
        <color theme="1"/>
        <rFont val="Arial"/>
        <family val="2"/>
      </rPr>
      <t xml:space="preserve"> </t>
    </r>
  </si>
  <si>
    <t>SBC (in total) = $0.00681 per kWh</t>
  </si>
  <si>
    <r>
      <t>Connected Devices Pilot in MAC (assuming $2.5 million per year) =</t>
    </r>
    <r>
      <rPr>
        <sz val="11"/>
        <rFont val="Calibri"/>
        <family val="2"/>
      </rPr>
      <t xml:space="preserve"> </t>
    </r>
    <r>
      <rPr>
        <sz val="11"/>
        <color rgb="FF1F497D"/>
        <rFont val="Calibri"/>
        <family val="2"/>
      </rPr>
      <t>$0.00006 per kWh</t>
    </r>
  </si>
  <si>
    <t xml:space="preserve">EE in Base Rates </t>
  </si>
  <si>
    <t>1. SC1 = $0.00063 per kWh</t>
  </si>
  <si>
    <t>2. SC2 = $0.00072 per kWh</t>
  </si>
  <si>
    <r>
      <t xml:space="preserve">d. Average $ collected per residential customer – </t>
    </r>
    <r>
      <rPr>
        <sz val="11"/>
        <color rgb="FF1F497D"/>
        <rFont val="Calibri"/>
        <family val="2"/>
      </rPr>
      <t>Annual amount below based on an SC1 customer using 300 kWh per month and an SC2 customer using 500 kWh per month</t>
    </r>
    <r>
      <rPr>
        <sz val="10"/>
        <color theme="1"/>
        <rFont val="Arial"/>
        <family val="2"/>
      </rPr>
      <t xml:space="preserve"> </t>
    </r>
  </si>
  <si>
    <t xml:space="preserve">SBC (in total) </t>
  </si>
  <si>
    <t>1. SC1 = $24.48</t>
  </si>
  <si>
    <t>2. SC2 = $40.92</t>
  </si>
  <si>
    <r>
      <t>Connected Devices Pilot in MAC (assuming $2.5 million per year)</t>
    </r>
    <r>
      <rPr>
        <sz val="10"/>
        <color rgb="FF1F497D"/>
        <rFont val="Arial"/>
        <family val="2"/>
      </rPr>
      <t xml:space="preserve"> </t>
    </r>
  </si>
  <si>
    <t>1. SC1 = $0.24</t>
  </si>
  <si>
    <t>2. SC2 = $0.36</t>
  </si>
  <si>
    <t>1. SC1 = $2.28</t>
  </si>
  <si>
    <t>2. SC2 = $4.32</t>
  </si>
  <si>
    <r>
      <t xml:space="preserve">e. Average $ collected per small commercial customer – </t>
    </r>
    <r>
      <rPr>
        <sz val="11"/>
        <color rgb="FF1F497D"/>
        <rFont val="Calibri"/>
        <family val="2"/>
      </rPr>
      <t>see response to 2.d.</t>
    </r>
  </si>
  <si>
    <r>
      <t xml:space="preserve">Connected Devices Pilot in MAC = </t>
    </r>
    <r>
      <rPr>
        <strike/>
        <sz val="11"/>
        <color rgb="FF1F497D"/>
        <rFont val="Calibri"/>
        <family val="2"/>
      </rPr>
      <t>$15,861,117</t>
    </r>
    <r>
      <rPr>
        <sz val="11"/>
        <color rgb="FF1F497D"/>
        <rFont val="Calibri"/>
        <family val="2"/>
      </rPr>
      <t xml:space="preserve"> $974,298</t>
    </r>
  </si>
  <si>
    <t>Central Hudson Gas &amp; Electric Corporation</t>
  </si>
  <si>
    <t>Public Benefit Expenditures Requested by Staff 12/6/18</t>
  </si>
  <si>
    <t>Electric Low Income Program Expenditures</t>
  </si>
  <si>
    <t>12 months ended 11/30/2018</t>
  </si>
  <si>
    <t>Low Income Bill Discounts</t>
  </si>
  <si>
    <t>Reconnection Fee Waiver</t>
  </si>
  <si>
    <t>Arrears Forgiveness</t>
  </si>
  <si>
    <t>Electric Energy Efficiency Expenditures</t>
  </si>
  <si>
    <t>Last 12 months of filed Scorecards</t>
  </si>
  <si>
    <t>Expenditures</t>
  </si>
  <si>
    <t>2017 - Q3</t>
  </si>
  <si>
    <t>2017 - Q4</t>
  </si>
  <si>
    <t>2018 - Q1</t>
  </si>
  <si>
    <t>2018 - Q2</t>
  </si>
  <si>
    <t>Total</t>
  </si>
  <si>
    <t>2017 - December</t>
  </si>
  <si>
    <t>2018 July-November (Rate Allowance)</t>
  </si>
  <si>
    <t>*</t>
  </si>
  <si>
    <t>Total EE Expenditures</t>
  </si>
  <si>
    <t>Carbon Reduction Program (Rate Allowance)</t>
  </si>
  <si>
    <t>Total EE and Carbon Reduction</t>
  </si>
  <si>
    <t>* Note: We expect our expenditures to be closely aligned with the amounts collected in rates.</t>
  </si>
  <si>
    <t>For the 12 Months Ended 11/30/2018</t>
  </si>
  <si>
    <t>Allocation of Rate Allowance</t>
  </si>
  <si>
    <t>Billed Unit Rate</t>
  </si>
  <si>
    <t>12/17 - 6/18</t>
  </si>
  <si>
    <t>7/18 - 11/18</t>
  </si>
  <si>
    <t>%</t>
  </si>
  <si>
    <t>Customer Chg</t>
  </si>
  <si>
    <t>kWh</t>
  </si>
  <si>
    <t>kW</t>
  </si>
  <si>
    <t>SC 1 Residential</t>
  </si>
  <si>
    <t>SC 2 Non Demand</t>
  </si>
  <si>
    <t>SC 2 Secondary</t>
  </si>
  <si>
    <t>SC 2 Primary</t>
  </si>
  <si>
    <t>SC 3 Primary</t>
  </si>
  <si>
    <t>SC 5 Area Lighting*</t>
  </si>
  <si>
    <t>SC 6 Residential TOU</t>
  </si>
  <si>
    <t>SC 8 Street Lighting*</t>
  </si>
  <si>
    <t>SC 9 Traffic Signals*</t>
  </si>
  <si>
    <t>SC 13 Substation</t>
  </si>
  <si>
    <t>SC 13 Transmission</t>
  </si>
  <si>
    <t>Average Collected</t>
  </si>
  <si>
    <t>12 Month</t>
  </si>
  <si>
    <t>Energy Efficiency</t>
  </si>
  <si>
    <t>Allocation of Rate Responsibility</t>
  </si>
  <si>
    <t>* Recovery reflected on a fixture or signal face basis.</t>
  </si>
  <si>
    <t>The average monthly kWh usage for the 12 months ending November 2018 is as follows:</t>
  </si>
  <si>
    <t>SC 1 (residential)                   688 kWh/month</t>
  </si>
  <si>
    <t>SC 6 (res TOU)                   1,489 kWh/month</t>
  </si>
  <si>
    <t>SC 2 ND (small com)             480 kWh/month</t>
  </si>
  <si>
    <t>Annually</t>
  </si>
  <si>
    <t>per Month</t>
  </si>
  <si>
    <t>Average Monthly kWh Usage</t>
  </si>
  <si>
    <t>6 kW Residential System ($/month)</t>
  </si>
  <si>
    <t>6 kW Small Commercial System ($/month)</t>
  </si>
  <si>
    <t>Small Commercial System ($/kW-month)</t>
  </si>
  <si>
    <t>Residential System ($/kW-month)</t>
  </si>
  <si>
    <t>Representative 6 kW System (kWh)</t>
  </si>
  <si>
    <t>Avoided Costs - Utility Benefit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</si>
</sst>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_(&quot;$&quot;* \(#,##0.00\);_(&quot;$&quot;* &quot;-&quot;??_);_(@_)"/>
    <numFmt numFmtId="43" formatCode="_(* #,##0.00_);_(* \(#,##0.00\);_(* &quot;-&quot;??_);_(@_)"/>
    <numFmt numFmtId="164" formatCode="_(&quot;$&quot;* #,##0.00000_);_(&quot;$&quot;* \(#,##0.00000\);_(&quot;$&quot;* &quot;-&quot;??_);_(@_)"/>
    <numFmt numFmtId="165" formatCode="_(&quot;$&quot;* #,##0.000000_);_(&quot;$&quot;* \(#,##0.000000\);_(&quot;$&quot;* &quot;-&quot;??_);_(@_)"/>
    <numFmt numFmtId="166" formatCode="_(&quot;$&quot;* #,##0.0000_);_(&quot;$&quot;* \(#,##0.0000\);_(&quot;$&quot;* &quot;-&quot;??_);_(@_)"/>
    <numFmt numFmtId="167" formatCode="_(&quot;$&quot;* #,##0.000_);_(&quot;$&quot;* \(#,##0.000\);_(&quot;$&quot;* &quot;-&quot;??_);_(@_)"/>
    <numFmt numFmtId="168" formatCode="0.000%"/>
    <numFmt numFmtId="169" formatCode="_(&quot;$&quot;* #,##0_);_(&quot;$&quot;* \(#,##0\);_(&quot;$&quot;* &quot;-&quot;??_);_(@_)"/>
    <numFmt numFmtId="170" formatCode="_(* #,##0_);_(* \(#,##0\);_(* &quot;-&quot;??_);_(@_)"/>
    <numFmt numFmtId="171" formatCode="0.000000"/>
    <numFmt numFmtId="172" formatCode="0_);\(0\)"/>
    <numFmt numFmtId="173" formatCode="0;\(0\);"/>
    <numFmt numFmtId="174" formatCode="#,##0_);\(#,##0\);"/>
    <numFmt numFmtId="175" formatCode="0.0%"/>
    <numFmt numFmtId="176" formatCode="_(* #,##0.000000_);_(* \(#,##0.000000\);_(* &quot;-&quot;??_);_(@_)"/>
  </numFmts>
  <fonts count="34" x14ac:knownFonts="1">
    <font>
      <sz val="11"/>
      <color theme="1"/>
      <name val="Calibri"/>
      <family val="2"/>
      <scheme val="minor"/>
    </font>
    <font>
      <sz val="11"/>
      <color theme="1"/>
      <name val="Calibri"/>
      <family val="2"/>
      <scheme val="minor"/>
    </font>
    <font>
      <b/>
      <sz val="11"/>
      <color theme="1"/>
      <name val="Calibri"/>
      <family val="2"/>
      <scheme val="minor"/>
    </font>
    <font>
      <u val="singleAccounting"/>
      <sz val="11"/>
      <color theme="1"/>
      <name val="Calibri"/>
      <family val="2"/>
      <scheme val="minor"/>
    </font>
    <font>
      <u/>
      <sz val="11"/>
      <color theme="1"/>
      <name val="Calibri"/>
      <family val="2"/>
      <scheme val="minor"/>
    </font>
    <font>
      <b/>
      <u/>
      <sz val="11"/>
      <color theme="1"/>
      <name val="Calibri"/>
      <family val="2"/>
      <scheme val="minor"/>
    </font>
    <font>
      <sz val="10"/>
      <color theme="1"/>
      <name val="Arial"/>
      <family val="2"/>
    </font>
    <font>
      <sz val="11"/>
      <color theme="1"/>
      <name val="Calibri"/>
      <family val="2"/>
    </font>
    <font>
      <sz val="11"/>
      <color rgb="FFFF0000"/>
      <name val="Calibri"/>
      <family val="2"/>
    </font>
    <font>
      <b/>
      <sz val="10"/>
      <color theme="1"/>
      <name val="Arial"/>
      <family val="2"/>
    </font>
    <font>
      <sz val="10"/>
      <color rgb="FF1F497D"/>
      <name val="Calibri"/>
      <family val="2"/>
    </font>
    <font>
      <sz val="11"/>
      <color rgb="FF1F497D"/>
      <name val="Calibri"/>
      <family val="2"/>
    </font>
    <font>
      <sz val="11"/>
      <name val="Calibri"/>
      <family val="2"/>
    </font>
    <font>
      <b/>
      <sz val="14"/>
      <color theme="1"/>
      <name val="Calibri"/>
      <family val="2"/>
    </font>
    <font>
      <b/>
      <sz val="11"/>
      <color theme="1"/>
      <name val="Calibri"/>
      <family val="2"/>
    </font>
    <font>
      <b/>
      <i/>
      <sz val="11"/>
      <color theme="1"/>
      <name val="Calibri"/>
      <family val="2"/>
      <scheme val="minor"/>
    </font>
    <font>
      <i/>
      <sz val="11"/>
      <color rgb="FF000000"/>
      <name val="Calibri"/>
      <family val="2"/>
      <scheme val="minor"/>
    </font>
    <font>
      <sz val="11"/>
      <color theme="1"/>
      <name val="Times New Roman"/>
      <family val="1"/>
    </font>
    <font>
      <b/>
      <sz val="10"/>
      <color theme="1"/>
      <name val="Times New Roman"/>
      <family val="1"/>
    </font>
    <font>
      <b/>
      <sz val="11"/>
      <color theme="1"/>
      <name val="Times New Roman"/>
      <family val="1"/>
    </font>
    <font>
      <b/>
      <sz val="8"/>
      <color theme="1"/>
      <name val="Times New Roman"/>
      <family val="1"/>
    </font>
    <font>
      <b/>
      <sz val="9"/>
      <color theme="0"/>
      <name val="Times New Roman"/>
      <family val="1"/>
    </font>
    <font>
      <b/>
      <sz val="9"/>
      <color theme="1"/>
      <name val="Times New Roman"/>
      <family val="1"/>
    </font>
    <font>
      <sz val="9"/>
      <color theme="1"/>
      <name val="Times New Roman"/>
      <family val="1"/>
    </font>
    <font>
      <sz val="11"/>
      <name val="Times New Roman"/>
      <family val="1"/>
    </font>
    <font>
      <sz val="8"/>
      <name val="Times New Roman"/>
      <family val="1"/>
    </font>
    <font>
      <b/>
      <sz val="11"/>
      <color rgb="FFFF0000"/>
      <name val="Times New Roman"/>
      <family val="1"/>
    </font>
    <font>
      <vertAlign val="superscript"/>
      <sz val="11"/>
      <color rgb="FF1F497D"/>
      <name val="Calibri"/>
      <family val="2"/>
    </font>
    <font>
      <sz val="10"/>
      <color rgb="FF1F497D"/>
      <name val="Arial"/>
      <family val="2"/>
    </font>
    <font>
      <strike/>
      <sz val="11"/>
      <color rgb="FF1F497D"/>
      <name val="Calibri"/>
      <family val="2"/>
    </font>
    <font>
      <sz val="11"/>
      <color theme="0"/>
      <name val="Calibri"/>
      <family val="2"/>
      <scheme val="minor"/>
    </font>
    <font>
      <u val="doubleAccounting"/>
      <sz val="11"/>
      <color theme="1"/>
      <name val="Calibri"/>
      <family val="2"/>
      <scheme val="minor"/>
    </font>
    <font>
      <b/>
      <sz val="14"/>
      <color theme="1"/>
      <name val="Calibri"/>
      <family val="2"/>
      <scheme val="minor"/>
    </font>
    <font>
      <sz val="11"/>
      <color rgb="FF000000"/>
      <name val="Calibri"/>
      <family val="2"/>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Dashed">
        <color indexed="64"/>
      </left>
      <right/>
      <top/>
      <bottom/>
      <diagonal/>
    </border>
    <border>
      <left/>
      <right style="mediumDashed">
        <color indexed="64"/>
      </right>
      <top/>
      <bottom/>
      <diagonal/>
    </border>
    <border>
      <left style="mediumDashed">
        <color indexed="64"/>
      </left>
      <right/>
      <top style="medium">
        <color indexed="64"/>
      </top>
      <bottom style="mediumDashed">
        <color indexed="64"/>
      </bottom>
      <diagonal/>
    </border>
    <border>
      <left/>
      <right/>
      <top style="medium">
        <color indexed="64"/>
      </top>
      <bottom style="mediumDashed">
        <color indexed="64"/>
      </bottom>
      <diagonal/>
    </border>
    <border>
      <left/>
      <right style="mediumDashed">
        <color indexed="64"/>
      </right>
      <top style="medium">
        <color indexed="64"/>
      </top>
      <bottom style="mediumDashed">
        <color indexed="64"/>
      </bottom>
      <diagonal/>
    </border>
    <border>
      <left style="medium">
        <color indexed="64"/>
      </left>
      <right style="medium">
        <color indexed="64"/>
      </right>
      <top style="medium">
        <color indexed="64"/>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172" fontId="17" fillId="0" borderId="0">
      <alignment vertical="center"/>
    </xf>
  </cellStyleXfs>
  <cellXfs count="226">
    <xf numFmtId="0" fontId="0" fillId="0" borderId="0" xfId="0"/>
    <xf numFmtId="0" fontId="0" fillId="0" borderId="4" xfId="0" applyBorder="1"/>
    <xf numFmtId="164" fontId="0" fillId="0" borderId="0" xfId="2" applyNumberFormat="1" applyFont="1" applyBorder="1"/>
    <xf numFmtId="166" fontId="0" fillId="0" borderId="0" xfId="2" applyNumberFormat="1" applyFont="1" applyBorder="1"/>
    <xf numFmtId="165" fontId="0" fillId="0" borderId="0" xfId="2" applyNumberFormat="1" applyFont="1" applyBorder="1"/>
    <xf numFmtId="165" fontId="0" fillId="0" borderId="5" xfId="2" applyNumberFormat="1" applyFont="1" applyBorder="1"/>
    <xf numFmtId="164" fontId="0" fillId="0" borderId="7" xfId="2" applyNumberFormat="1" applyFont="1" applyBorder="1"/>
    <xf numFmtId="0" fontId="2" fillId="0" borderId="1" xfId="0" applyFont="1" applyBorder="1"/>
    <xf numFmtId="0" fontId="2" fillId="0" borderId="2" xfId="0" applyFont="1" applyBorder="1" applyAlignment="1">
      <alignment horizontal="center"/>
    </xf>
    <xf numFmtId="0" fontId="2" fillId="0" borderId="3" xfId="0" applyFont="1" applyBorder="1" applyAlignment="1">
      <alignment horizontal="center"/>
    </xf>
    <xf numFmtId="164" fontId="3" fillId="0" borderId="0" xfId="2" applyNumberFormat="1" applyFont="1" applyBorder="1"/>
    <xf numFmtId="164" fontId="4" fillId="0" borderId="0" xfId="2" applyNumberFormat="1" applyFont="1" applyBorder="1"/>
    <xf numFmtId="164" fontId="3" fillId="0" borderId="5" xfId="2" applyNumberFormat="1" applyFont="1" applyBorder="1"/>
    <xf numFmtId="0" fontId="0" fillId="0" borderId="0" xfId="0" applyBorder="1"/>
    <xf numFmtId="164" fontId="0" fillId="0" borderId="0" xfId="0" applyNumberFormat="1" applyBorder="1"/>
    <xf numFmtId="164" fontId="0" fillId="0" borderId="5" xfId="0" applyNumberFormat="1" applyBorder="1"/>
    <xf numFmtId="44" fontId="0" fillId="0" borderId="0" xfId="2" applyFont="1" applyBorder="1"/>
    <xf numFmtId="165" fontId="3" fillId="0" borderId="0" xfId="2" applyNumberFormat="1" applyFont="1" applyBorder="1"/>
    <xf numFmtId="165" fontId="3" fillId="0" borderId="5" xfId="2" applyNumberFormat="1" applyFont="1" applyBorder="1"/>
    <xf numFmtId="0" fontId="2" fillId="0" borderId="4" xfId="0" applyFont="1" applyBorder="1"/>
    <xf numFmtId="167" fontId="0" fillId="0" borderId="0" xfId="2" applyNumberFormat="1" applyFont="1" applyBorder="1"/>
    <xf numFmtId="0" fontId="0" fillId="0" borderId="4" xfId="0" applyBorder="1" applyAlignment="1">
      <alignment horizontal="right"/>
    </xf>
    <xf numFmtId="165" fontId="0" fillId="0" borderId="0" xfId="2" applyNumberFormat="1" applyFont="1" applyBorder="1" applyAlignment="1">
      <alignment vertical="center"/>
    </xf>
    <xf numFmtId="165" fontId="0" fillId="0" borderId="5" xfId="2" applyNumberFormat="1" applyFont="1" applyBorder="1" applyAlignment="1">
      <alignment vertical="center"/>
    </xf>
    <xf numFmtId="0" fontId="0" fillId="0" borderId="0" xfId="0" applyBorder="1" applyAlignment="1">
      <alignment horizontal="right"/>
    </xf>
    <xf numFmtId="0" fontId="2" fillId="0" borderId="0" xfId="0" applyFont="1" applyBorder="1"/>
    <xf numFmtId="0" fontId="5" fillId="0" borderId="4" xfId="0" applyFont="1" applyBorder="1" applyAlignment="1">
      <alignment vertical="center"/>
    </xf>
    <xf numFmtId="0" fontId="0" fillId="0" borderId="5" xfId="0" applyBorder="1"/>
    <xf numFmtId="0" fontId="0" fillId="0" borderId="4" xfId="0" applyBorder="1" applyAlignment="1">
      <alignment vertical="center"/>
    </xf>
    <xf numFmtId="3" fontId="0" fillId="0" borderId="0" xfId="0" applyNumberFormat="1" applyBorder="1"/>
    <xf numFmtId="168" fontId="0" fillId="0" borderId="0" xfId="3" applyNumberFormat="1" applyFont="1" applyBorder="1"/>
    <xf numFmtId="170" fontId="0" fillId="0" borderId="0" xfId="1" applyNumberFormat="1" applyFont="1" applyBorder="1"/>
    <xf numFmtId="169" fontId="0" fillId="0" borderId="0" xfId="2" applyNumberFormat="1" applyFont="1" applyBorder="1"/>
    <xf numFmtId="0" fontId="0" fillId="0" borderId="6" xfId="0" applyBorder="1" applyAlignment="1">
      <alignment vertical="center"/>
    </xf>
    <xf numFmtId="0" fontId="0" fillId="0" borderId="7" xfId="0" applyBorder="1"/>
    <xf numFmtId="0" fontId="0" fillId="0" borderId="8" xfId="0" applyBorder="1"/>
    <xf numFmtId="0" fontId="6" fillId="0" borderId="0" xfId="4" applyAlignment="1">
      <alignment vertical="center"/>
    </xf>
    <xf numFmtId="0" fontId="6" fillId="0" borderId="0" xfId="4"/>
    <xf numFmtId="0" fontId="7" fillId="0" borderId="0" xfId="4" applyFont="1" applyAlignment="1">
      <alignment horizontal="left" vertical="center" indent="1"/>
    </xf>
    <xf numFmtId="0" fontId="6" fillId="0" borderId="1" xfId="4" applyBorder="1"/>
    <xf numFmtId="0" fontId="6" fillId="0" borderId="3" xfId="4" applyBorder="1"/>
    <xf numFmtId="0" fontId="6" fillId="2" borderId="2" xfId="4" applyFill="1" applyBorder="1"/>
    <xf numFmtId="0" fontId="7" fillId="0" borderId="9" xfId="4" applyFont="1" applyBorder="1" applyAlignment="1">
      <alignment horizontal="left" vertical="center" indent="2"/>
    </xf>
    <xf numFmtId="169" fontId="0" fillId="0" borderId="10" xfId="5" applyNumberFormat="1" applyFont="1" applyBorder="1"/>
    <xf numFmtId="0" fontId="6" fillId="0" borderId="5" xfId="4" applyBorder="1"/>
    <xf numFmtId="0" fontId="6" fillId="2" borderId="11" xfId="4" applyFill="1" applyBorder="1"/>
    <xf numFmtId="0" fontId="7" fillId="0" borderId="0" xfId="4" applyFont="1" applyAlignment="1">
      <alignment horizontal="left" vertical="center" indent="2"/>
    </xf>
    <xf numFmtId="169" fontId="0" fillId="0" borderId="4" xfId="5" applyNumberFormat="1" applyFont="1" applyBorder="1"/>
    <xf numFmtId="0" fontId="6" fillId="2" borderId="0" xfId="4" applyFill="1" applyBorder="1"/>
    <xf numFmtId="0" fontId="6" fillId="0" borderId="9" xfId="4" applyBorder="1"/>
    <xf numFmtId="0" fontId="6" fillId="0" borderId="10" xfId="4" applyBorder="1"/>
    <xf numFmtId="0" fontId="6" fillId="0" borderId="12" xfId="4" applyBorder="1"/>
    <xf numFmtId="10" fontId="0" fillId="0" borderId="10" xfId="6" applyNumberFormat="1" applyFont="1" applyBorder="1"/>
    <xf numFmtId="10" fontId="0" fillId="0" borderId="12" xfId="6" applyNumberFormat="1" applyFont="1" applyBorder="1"/>
    <xf numFmtId="164" fontId="0" fillId="0" borderId="10" xfId="5" applyNumberFormat="1" applyFont="1" applyBorder="1"/>
    <xf numFmtId="164" fontId="0" fillId="0" borderId="12" xfId="5" applyNumberFormat="1" applyFont="1" applyBorder="1"/>
    <xf numFmtId="164" fontId="0" fillId="2" borderId="11" xfId="5" applyNumberFormat="1" applyFont="1" applyFill="1" applyBorder="1"/>
    <xf numFmtId="44" fontId="0" fillId="0" borderId="10" xfId="5" applyFont="1" applyBorder="1"/>
    <xf numFmtId="44" fontId="0" fillId="0" borderId="12" xfId="5" applyFont="1" applyBorder="1"/>
    <xf numFmtId="44" fontId="0" fillId="2" borderId="11" xfId="5" applyFont="1" applyFill="1" applyBorder="1"/>
    <xf numFmtId="0" fontId="6" fillId="0" borderId="4" xfId="4" applyBorder="1"/>
    <xf numFmtId="44" fontId="0" fillId="0" borderId="5" xfId="5" applyFont="1" applyBorder="1"/>
    <xf numFmtId="0" fontId="7" fillId="0" borderId="9" xfId="4" applyFont="1" applyBorder="1" applyAlignment="1">
      <alignment horizontal="left" vertical="center" indent="1"/>
    </xf>
    <xf numFmtId="0" fontId="6" fillId="0" borderId="13" xfId="4" applyBorder="1"/>
    <xf numFmtId="0" fontId="6" fillId="2" borderId="13" xfId="4" applyFill="1" applyBorder="1"/>
    <xf numFmtId="169" fontId="0" fillId="0" borderId="13" xfId="5" applyNumberFormat="1" applyFont="1" applyBorder="1"/>
    <xf numFmtId="170" fontId="0" fillId="0" borderId="10" xfId="7" applyNumberFormat="1" applyFont="1" applyBorder="1"/>
    <xf numFmtId="170" fontId="0" fillId="0" borderId="13" xfId="7" applyNumberFormat="1" applyFont="1" applyBorder="1"/>
    <xf numFmtId="170" fontId="6" fillId="2" borderId="13" xfId="4" applyNumberFormat="1" applyFill="1" applyBorder="1"/>
    <xf numFmtId="170" fontId="0" fillId="0" borderId="12" xfId="7" applyNumberFormat="1" applyFont="1" applyBorder="1"/>
    <xf numFmtId="10" fontId="6" fillId="0" borderId="10" xfId="4" applyNumberFormat="1" applyBorder="1"/>
    <xf numFmtId="10" fontId="6" fillId="0" borderId="13" xfId="4" applyNumberFormat="1" applyBorder="1"/>
    <xf numFmtId="10" fontId="6" fillId="2" borderId="13" xfId="4" applyNumberFormat="1" applyFill="1" applyBorder="1"/>
    <xf numFmtId="10" fontId="6" fillId="0" borderId="12" xfId="4" applyNumberFormat="1" applyBorder="1"/>
    <xf numFmtId="44" fontId="0" fillId="0" borderId="13" xfId="5" applyFont="1" applyBorder="1"/>
    <xf numFmtId="44" fontId="0" fillId="2" borderId="13" xfId="5" applyFont="1" applyFill="1" applyBorder="1"/>
    <xf numFmtId="44" fontId="0" fillId="0" borderId="14" xfId="5" applyFont="1" applyBorder="1"/>
    <xf numFmtId="44" fontId="0" fillId="0" borderId="15" xfId="5" applyFont="1" applyBorder="1"/>
    <xf numFmtId="44" fontId="0" fillId="2" borderId="15" xfId="5" applyFont="1" applyFill="1" applyBorder="1"/>
    <xf numFmtId="44" fontId="0" fillId="0" borderId="16" xfId="5" applyFont="1" applyBorder="1"/>
    <xf numFmtId="0" fontId="9" fillId="0" borderId="0" xfId="4" applyFont="1"/>
    <xf numFmtId="170" fontId="0" fillId="0" borderId="0" xfId="7" applyNumberFormat="1" applyFont="1"/>
    <xf numFmtId="169" fontId="0" fillId="0" borderId="0" xfId="5" applyNumberFormat="1" applyFont="1"/>
    <xf numFmtId="169" fontId="6" fillId="0" borderId="0" xfId="4" applyNumberFormat="1"/>
    <xf numFmtId="171" fontId="6" fillId="0" borderId="0" xfId="4" applyNumberFormat="1"/>
    <xf numFmtId="0" fontId="7" fillId="0" borderId="0" xfId="0" applyFont="1" applyAlignment="1">
      <alignment horizontal="left" vertical="center" indent="1"/>
    </xf>
    <xf numFmtId="0" fontId="7" fillId="0" borderId="0" xfId="0" applyFont="1" applyAlignment="1">
      <alignment horizontal="left" vertical="center" indent="2"/>
    </xf>
    <xf numFmtId="0" fontId="10" fillId="0" borderId="0" xfId="0" applyFont="1" applyAlignment="1">
      <alignment horizontal="left" vertical="center" indent="10"/>
    </xf>
    <xf numFmtId="0" fontId="10" fillId="0" borderId="0" xfId="0" applyFont="1" applyAlignment="1">
      <alignment horizontal="left" vertical="center" indent="3"/>
    </xf>
    <xf numFmtId="0" fontId="12" fillId="0" borderId="0" xfId="0" applyFont="1" applyAlignment="1">
      <alignment horizontal="left" vertical="center" indent="2"/>
    </xf>
    <xf numFmtId="0" fontId="11" fillId="0" borderId="0" xfId="0" applyFont="1" applyAlignment="1">
      <alignment vertical="center"/>
    </xf>
    <xf numFmtId="0" fontId="0" fillId="0" borderId="4" xfId="0" applyFill="1" applyBorder="1"/>
    <xf numFmtId="0" fontId="0" fillId="0" borderId="6" xfId="0" applyFill="1" applyBorder="1"/>
    <xf numFmtId="164" fontId="0" fillId="0" borderId="0" xfId="2" applyNumberFormat="1" applyFont="1" applyFill="1" applyBorder="1"/>
    <xf numFmtId="169" fontId="0" fillId="0" borderId="0" xfId="2" applyNumberFormat="1" applyFont="1" applyFill="1" applyBorder="1"/>
    <xf numFmtId="44" fontId="0" fillId="0" borderId="0" xfId="0" applyNumberFormat="1" applyBorder="1"/>
    <xf numFmtId="44" fontId="0" fillId="0" borderId="5" xfId="2" applyFont="1" applyBorder="1"/>
    <xf numFmtId="164" fontId="0" fillId="0" borderId="5" xfId="2" applyNumberFormat="1" applyFont="1" applyBorder="1"/>
    <xf numFmtId="0" fontId="14" fillId="0" borderId="0" xfId="0" applyFont="1" applyAlignment="1">
      <alignment horizontal="left" vertical="center" indent="2"/>
    </xf>
    <xf numFmtId="44" fontId="0" fillId="0" borderId="0" xfId="2" applyFont="1"/>
    <xf numFmtId="165" fontId="0" fillId="0" borderId="0" xfId="2" applyNumberFormat="1" applyFont="1"/>
    <xf numFmtId="0" fontId="0" fillId="0" borderId="0" xfId="0" quotePrefix="1"/>
    <xf numFmtId="44" fontId="0" fillId="0" borderId="0" xfId="2" applyNumberFormat="1" applyFont="1"/>
    <xf numFmtId="170" fontId="0" fillId="0" borderId="0" xfId="1" applyNumberFormat="1" applyFont="1"/>
    <xf numFmtId="0" fontId="14" fillId="0" borderId="0" xfId="0" applyFont="1" applyFill="1" applyAlignment="1">
      <alignment horizontal="left" vertical="center" indent="2"/>
    </xf>
    <xf numFmtId="0" fontId="0" fillId="0" borderId="0" xfId="0" applyFill="1"/>
    <xf numFmtId="169" fontId="0" fillId="0" borderId="0" xfId="2" applyNumberFormat="1" applyFont="1"/>
    <xf numFmtId="0" fontId="15" fillId="0" borderId="0" xfId="0" applyFont="1" applyAlignment="1">
      <alignment horizontal="right"/>
    </xf>
    <xf numFmtId="0" fontId="16" fillId="0" borderId="0" xfId="0" applyFont="1"/>
    <xf numFmtId="0" fontId="15" fillId="0" borderId="0" xfId="0" applyFont="1"/>
    <xf numFmtId="172" fontId="18" fillId="0" borderId="0" xfId="8" applyFont="1" applyAlignment="1">
      <alignment horizontal="center" vertical="center"/>
    </xf>
    <xf numFmtId="172" fontId="19" fillId="0" borderId="0" xfId="8" applyFont="1" applyAlignment="1">
      <alignment horizontal="center" vertical="center"/>
    </xf>
    <xf numFmtId="173" fontId="20" fillId="0" borderId="0" xfId="8" applyNumberFormat="1" applyFont="1" applyFill="1" applyAlignment="1">
      <alignment horizontal="center" vertical="center"/>
    </xf>
    <xf numFmtId="172" fontId="19" fillId="0" borderId="0" xfId="8" applyFont="1" applyAlignment="1">
      <alignment horizontal="center" vertical="center" wrapText="1"/>
    </xf>
    <xf numFmtId="172" fontId="21" fillId="0" borderId="0" xfId="8" applyFont="1" applyAlignment="1">
      <alignment horizontal="center" vertical="center"/>
    </xf>
    <xf numFmtId="172" fontId="18" fillId="0" borderId="0" xfId="8" applyFont="1" applyAlignment="1">
      <alignment horizontal="center" vertical="center" wrapText="1"/>
    </xf>
    <xf numFmtId="172" fontId="22" fillId="0" borderId="0" xfId="8" applyFont="1" applyAlignment="1">
      <alignment horizontal="center" vertical="center" wrapText="1"/>
    </xf>
    <xf numFmtId="173" fontId="20" fillId="2" borderId="0" xfId="8" applyNumberFormat="1" applyFont="1" applyFill="1" applyAlignment="1">
      <alignment horizontal="center" vertical="center"/>
    </xf>
    <xf numFmtId="173" fontId="22" fillId="2" borderId="0" xfId="8" applyNumberFormat="1" applyFont="1" applyFill="1" applyAlignment="1">
      <alignment horizontal="center" vertical="center"/>
    </xf>
    <xf numFmtId="37" fontId="23" fillId="2" borderId="0" xfId="8" applyNumberFormat="1" applyFont="1" applyFill="1" applyAlignment="1">
      <alignment horizontal="center" vertical="center" wrapText="1"/>
    </xf>
    <xf numFmtId="172" fontId="23" fillId="0" borderId="0" xfId="8" applyFont="1" applyAlignment="1">
      <alignment horizontal="center" vertical="center"/>
    </xf>
    <xf numFmtId="174" fontId="24" fillId="0" borderId="0" xfId="8" applyNumberFormat="1" applyFont="1" applyFill="1" applyAlignment="1" applyProtection="1">
      <alignment horizontal="left"/>
    </xf>
    <xf numFmtId="173" fontId="25" fillId="0" borderId="0" xfId="8" applyNumberFormat="1" applyFont="1" applyFill="1" applyAlignment="1" applyProtection="1">
      <alignment horizontal="center"/>
    </xf>
    <xf numFmtId="37" fontId="24" fillId="0" borderId="0" xfId="8" applyNumberFormat="1" applyFont="1" applyFill="1" applyAlignment="1" applyProtection="1">
      <protection locked="0"/>
    </xf>
    <xf numFmtId="174" fontId="26" fillId="0" borderId="0" xfId="8" applyNumberFormat="1" applyFont="1" applyAlignment="1">
      <alignment horizontal="center" vertical="center"/>
    </xf>
    <xf numFmtId="174" fontId="24" fillId="3" borderId="0" xfId="8" applyNumberFormat="1" applyFont="1" applyFill="1" applyAlignment="1" applyProtection="1">
      <alignment horizontal="left"/>
    </xf>
    <xf numFmtId="174" fontId="24" fillId="0" borderId="0" xfId="8" applyNumberFormat="1" applyFont="1" applyAlignment="1" applyProtection="1">
      <alignment horizontal="left"/>
    </xf>
    <xf numFmtId="37" fontId="24" fillId="0" borderId="11" xfId="8" applyNumberFormat="1" applyFont="1" applyFill="1" applyBorder="1" applyAlignment="1" applyProtection="1"/>
    <xf numFmtId="174" fontId="24" fillId="0" borderId="0" xfId="8" applyNumberFormat="1" applyFont="1" applyFill="1" applyAlignment="1" applyProtection="1">
      <alignment horizontal="center"/>
    </xf>
    <xf numFmtId="0" fontId="17" fillId="0" borderId="0" xfId="0" applyFont="1"/>
    <xf numFmtId="0" fontId="11" fillId="0" borderId="0" xfId="0" applyFont="1" applyAlignment="1">
      <alignment horizontal="left" vertical="center" indent="10"/>
    </xf>
    <xf numFmtId="0" fontId="11" fillId="0" borderId="0" xfId="0" applyFont="1" applyAlignment="1">
      <alignment horizontal="left" vertical="center" indent="3"/>
    </xf>
    <xf numFmtId="0" fontId="7" fillId="0" borderId="0" xfId="0" applyFont="1" applyAlignment="1">
      <alignment horizontal="left" vertical="center" indent="5"/>
    </xf>
    <xf numFmtId="0" fontId="0" fillId="0" borderId="0" xfId="0" applyAlignment="1">
      <alignment horizontal="left" vertical="center" indent="5"/>
    </xf>
    <xf numFmtId="0" fontId="7" fillId="0" borderId="0" xfId="0" applyFont="1" applyAlignment="1">
      <alignment horizontal="left" vertical="center" indent="10"/>
    </xf>
    <xf numFmtId="0" fontId="11" fillId="0" borderId="0" xfId="0" applyFont="1" applyAlignment="1">
      <alignment horizontal="left" vertical="center" indent="4"/>
    </xf>
    <xf numFmtId="44" fontId="0" fillId="0" borderId="7" xfId="2" applyNumberFormat="1" applyFont="1" applyBorder="1"/>
    <xf numFmtId="44" fontId="0" fillId="0" borderId="0" xfId="2" applyNumberFormat="1" applyFont="1" applyBorder="1"/>
    <xf numFmtId="44" fontId="0" fillId="0" borderId="5" xfId="2" applyNumberFormat="1" applyFont="1" applyBorder="1"/>
    <xf numFmtId="44" fontId="0" fillId="0" borderId="8" xfId="2" applyNumberFormat="1" applyFont="1" applyBorder="1"/>
    <xf numFmtId="0" fontId="0" fillId="0" borderId="6" xfId="0" applyBorder="1"/>
    <xf numFmtId="0" fontId="2" fillId="0" borderId="17" xfId="0" applyFont="1" applyBorder="1"/>
    <xf numFmtId="0" fontId="0" fillId="0" borderId="17" xfId="0" applyBorder="1"/>
    <xf numFmtId="170" fontId="0" fillId="0" borderId="17" xfId="1" applyNumberFormat="1" applyFont="1" applyBorder="1"/>
    <xf numFmtId="169" fontId="0" fillId="0" borderId="0" xfId="0" applyNumberFormat="1"/>
    <xf numFmtId="0" fontId="0" fillId="0" borderId="17" xfId="0" applyBorder="1" applyAlignment="1">
      <alignment horizontal="center"/>
    </xf>
    <xf numFmtId="170" fontId="0" fillId="0" borderId="0" xfId="0" applyNumberFormat="1"/>
    <xf numFmtId="43" fontId="0" fillId="0" borderId="0" xfId="0" applyNumberFormat="1"/>
    <xf numFmtId="0" fontId="0" fillId="0" borderId="0" xfId="0" applyAlignment="1">
      <alignment horizontal="left"/>
    </xf>
    <xf numFmtId="17" fontId="0" fillId="0" borderId="0" xfId="0" applyNumberFormat="1"/>
    <xf numFmtId="170" fontId="3" fillId="0" borderId="0" xfId="1" applyNumberFormat="1" applyFont="1"/>
    <xf numFmtId="44" fontId="31" fillId="0" borderId="0" xfId="2" applyFont="1"/>
    <xf numFmtId="0" fontId="32" fillId="0" borderId="0" xfId="0" applyFont="1"/>
    <xf numFmtId="0" fontId="2" fillId="0" borderId="0" xfId="0" applyFont="1"/>
    <xf numFmtId="0" fontId="15" fillId="0" borderId="18" xfId="0" applyFont="1" applyBorder="1" applyAlignment="1">
      <alignment horizontal="centerContinuous"/>
    </xf>
    <xf numFmtId="0" fontId="15" fillId="0" borderId="19" xfId="0" applyFont="1" applyBorder="1" applyAlignment="1">
      <alignment horizontal="centerContinuous"/>
    </xf>
    <xf numFmtId="0" fontId="15" fillId="0" borderId="20" xfId="0" applyFont="1" applyBorder="1" applyAlignment="1">
      <alignment horizontal="centerContinuous"/>
    </xf>
    <xf numFmtId="0" fontId="15" fillId="0" borderId="21" xfId="0" applyFont="1" applyBorder="1" applyAlignment="1">
      <alignment horizontal="centerContinuous"/>
    </xf>
    <xf numFmtId="0" fontId="0" fillId="0" borderId="22" xfId="0" applyBorder="1" applyAlignment="1">
      <alignment horizontal="centerContinuous"/>
    </xf>
    <xf numFmtId="0" fontId="0" fillId="0" borderId="23" xfId="0" applyBorder="1" applyAlignment="1">
      <alignment horizontal="centerContinuous"/>
    </xf>
    <xf numFmtId="0" fontId="15" fillId="0" borderId="0" xfId="0" applyFont="1" applyAlignment="1">
      <alignment horizontal="center"/>
    </xf>
    <xf numFmtId="0" fontId="15" fillId="0" borderId="24" xfId="0" applyFont="1" applyBorder="1" applyAlignment="1">
      <alignment horizontal="center"/>
    </xf>
    <xf numFmtId="0" fontId="15" fillId="0" borderId="0" xfId="0" applyFont="1" applyBorder="1" applyAlignment="1">
      <alignment horizontal="center"/>
    </xf>
    <xf numFmtId="0" fontId="15" fillId="0" borderId="25" xfId="0" applyFont="1" applyBorder="1" applyAlignment="1">
      <alignment horizontal="center"/>
    </xf>
    <xf numFmtId="175" fontId="0" fillId="0" borderId="0" xfId="3" applyNumberFormat="1" applyFont="1"/>
    <xf numFmtId="44" fontId="0" fillId="0" borderId="24" xfId="2" applyFont="1" applyBorder="1"/>
    <xf numFmtId="44" fontId="0" fillId="0" borderId="25" xfId="2" applyFont="1" applyBorder="1"/>
    <xf numFmtId="169" fontId="3" fillId="0" borderId="0" xfId="2" applyNumberFormat="1" applyFont="1"/>
    <xf numFmtId="169" fontId="3" fillId="0" borderId="0" xfId="0" applyNumberFormat="1" applyFont="1"/>
    <xf numFmtId="175" fontId="4" fillId="0" borderId="0" xfId="3" applyNumberFormat="1" applyFont="1"/>
    <xf numFmtId="44" fontId="0" fillId="0" borderId="21" xfId="2" applyFont="1" applyBorder="1"/>
    <xf numFmtId="166" fontId="0" fillId="0" borderId="22" xfId="2" applyNumberFormat="1" applyFont="1" applyBorder="1"/>
    <xf numFmtId="44" fontId="0" fillId="0" borderId="23" xfId="2" applyFont="1" applyBorder="1"/>
    <xf numFmtId="175" fontId="0" fillId="0" borderId="0" xfId="0" applyNumberFormat="1"/>
    <xf numFmtId="0" fontId="15" fillId="0" borderId="26" xfId="0" applyFont="1" applyBorder="1" applyAlignment="1">
      <alignment horizontal="centerContinuous"/>
    </xf>
    <xf numFmtId="0" fontId="0" fillId="0" borderId="27" xfId="0" applyBorder="1" applyAlignment="1">
      <alignment horizontal="centerContinuous"/>
    </xf>
    <xf numFmtId="0" fontId="0" fillId="0" borderId="28" xfId="0" applyBorder="1" applyAlignment="1">
      <alignment horizontal="centerContinuous"/>
    </xf>
    <xf numFmtId="0" fontId="15" fillId="0" borderId="29" xfId="0" applyFont="1" applyBorder="1" applyAlignment="1">
      <alignment horizontal="center"/>
    </xf>
    <xf numFmtId="0" fontId="15" fillId="0" borderId="30" xfId="0" applyFont="1" applyBorder="1" applyAlignment="1">
      <alignment horizontal="center"/>
    </xf>
    <xf numFmtId="0" fontId="15" fillId="0" borderId="31" xfId="0" applyFont="1" applyBorder="1" applyAlignment="1">
      <alignment horizontal="center"/>
    </xf>
    <xf numFmtId="0" fontId="15" fillId="0" borderId="32" xfId="0" applyFont="1" applyBorder="1" applyAlignment="1">
      <alignment horizontal="center"/>
    </xf>
    <xf numFmtId="0" fontId="15" fillId="0" borderId="33" xfId="0" applyFont="1" applyBorder="1" applyAlignment="1">
      <alignment horizontal="center"/>
    </xf>
    <xf numFmtId="44" fontId="0" fillId="0" borderId="24" xfId="0" applyNumberFormat="1" applyBorder="1"/>
    <xf numFmtId="44" fontId="0" fillId="0" borderId="25" xfId="0" applyNumberFormat="1" applyBorder="1"/>
    <xf numFmtId="44" fontId="2" fillId="0" borderId="34" xfId="0" applyNumberFormat="1" applyFont="1" applyBorder="1"/>
    <xf numFmtId="0" fontId="0" fillId="0" borderId="24" xfId="0" applyBorder="1"/>
    <xf numFmtId="0" fontId="0" fillId="0" borderId="25" xfId="0" applyBorder="1"/>
    <xf numFmtId="0" fontId="2" fillId="0" borderId="34" xfId="0" applyFont="1" applyBorder="1"/>
    <xf numFmtId="44" fontId="0" fillId="0" borderId="21" xfId="0" applyNumberFormat="1" applyBorder="1"/>
    <xf numFmtId="44" fontId="0" fillId="0" borderId="22" xfId="0" applyNumberFormat="1" applyBorder="1"/>
    <xf numFmtId="44" fontId="0" fillId="0" borderId="23" xfId="0" applyNumberFormat="1" applyBorder="1"/>
    <xf numFmtId="44" fontId="0" fillId="0" borderId="22" xfId="2" applyFont="1" applyBorder="1"/>
    <xf numFmtId="44" fontId="2" fillId="0" borderId="33" xfId="0" applyNumberFormat="1" applyFont="1" applyBorder="1"/>
    <xf numFmtId="44" fontId="2" fillId="0" borderId="29" xfId="0" applyNumberFormat="1" applyFont="1" applyBorder="1"/>
    <xf numFmtId="166" fontId="0" fillId="0" borderId="0" xfId="0" applyNumberFormat="1"/>
    <xf numFmtId="166" fontId="30" fillId="0" borderId="0" xfId="0" applyNumberFormat="1" applyFont="1"/>
    <xf numFmtId="0" fontId="12" fillId="0" borderId="0" xfId="0" applyFont="1" applyAlignment="1">
      <alignment vertical="center"/>
    </xf>
    <xf numFmtId="44" fontId="0" fillId="0" borderId="0" xfId="0" applyNumberFormat="1"/>
    <xf numFmtId="166" fontId="0" fillId="3" borderId="0" xfId="2" applyNumberFormat="1" applyFont="1" applyFill="1" applyBorder="1"/>
    <xf numFmtId="1" fontId="0" fillId="0" borderId="7" xfId="0" applyNumberFormat="1" applyBorder="1"/>
    <xf numFmtId="2" fontId="7" fillId="0" borderId="0" xfId="0" applyNumberFormat="1" applyFont="1" applyFill="1" applyBorder="1"/>
    <xf numFmtId="0" fontId="33" fillId="0" borderId="0" xfId="0" applyFont="1" applyAlignment="1">
      <alignment horizontal="right" vertical="center"/>
    </xf>
    <xf numFmtId="9" fontId="0" fillId="0" borderId="0" xfId="3" applyFont="1"/>
    <xf numFmtId="44" fontId="0" fillId="0" borderId="7" xfId="2" applyFont="1" applyBorder="1"/>
    <xf numFmtId="44" fontId="0" fillId="0" borderId="8" xfId="2" applyFont="1" applyBorder="1"/>
    <xf numFmtId="165" fontId="4" fillId="0" borderId="0" xfId="2" applyNumberFormat="1" applyFont="1" applyBorder="1"/>
    <xf numFmtId="165" fontId="0" fillId="0" borderId="0" xfId="0" applyNumberFormat="1" applyBorder="1"/>
    <xf numFmtId="2" fontId="0" fillId="0" borderId="0" xfId="0" applyNumberFormat="1"/>
    <xf numFmtId="0" fontId="13" fillId="0" borderId="0" xfId="0" applyFont="1" applyAlignment="1">
      <alignment horizontal="center" vertical="center"/>
    </xf>
    <xf numFmtId="0" fontId="33" fillId="0" borderId="0" xfId="0" applyFont="1" applyBorder="1" applyAlignment="1">
      <alignment horizontal="right" vertical="center"/>
    </xf>
    <xf numFmtId="44" fontId="6" fillId="0" borderId="10" xfId="4" applyNumberFormat="1" applyBorder="1"/>
    <xf numFmtId="44" fontId="6" fillId="0" borderId="13" xfId="4" applyNumberFormat="1" applyBorder="1"/>
    <xf numFmtId="44" fontId="6" fillId="0" borderId="12" xfId="4" applyNumberFormat="1" applyBorder="1"/>
    <xf numFmtId="176" fontId="0" fillId="0" borderId="10" xfId="7" applyNumberFormat="1" applyFont="1" applyBorder="1"/>
    <xf numFmtId="176" fontId="0" fillId="0" borderId="13" xfId="7" applyNumberFormat="1" applyFont="1" applyBorder="1"/>
    <xf numFmtId="176" fontId="0" fillId="0" borderId="12" xfId="7" applyNumberFormat="1" applyFont="1" applyBorder="1"/>
    <xf numFmtId="1" fontId="0" fillId="0" borderId="8" xfId="0" applyNumberFormat="1" applyBorder="1"/>
    <xf numFmtId="44" fontId="0" fillId="0" borderId="5" xfId="0" applyNumberFormat="1" applyBorder="1"/>
    <xf numFmtId="44" fontId="0" fillId="0" borderId="7" xfId="0" applyNumberFormat="1" applyBorder="1"/>
    <xf numFmtId="44" fontId="0" fillId="0" borderId="8" xfId="0" applyNumberFormat="1" applyBorder="1"/>
    <xf numFmtId="0" fontId="0" fillId="0" borderId="4" xfId="0" applyBorder="1" applyAlignment="1">
      <alignment horizontal="left"/>
    </xf>
    <xf numFmtId="0" fontId="0" fillId="0" borderId="0" xfId="0" applyBorder="1" applyAlignment="1">
      <alignment horizontal="left"/>
    </xf>
    <xf numFmtId="0" fontId="0" fillId="0" borderId="5" xfId="0" applyBorder="1" applyAlignment="1">
      <alignment horizontal="left"/>
    </xf>
    <xf numFmtId="0" fontId="2" fillId="0" borderId="0" xfId="0" applyFont="1" applyAlignment="1">
      <alignment horizontal="center"/>
    </xf>
    <xf numFmtId="0" fontId="0" fillId="0" borderId="0" xfId="0" applyAlignment="1">
      <alignment horizontal="left" wrapText="1"/>
    </xf>
    <xf numFmtId="0" fontId="13" fillId="0" borderId="0" xfId="0" applyFont="1" applyAlignment="1">
      <alignment horizontal="center" vertical="center"/>
    </xf>
  </cellXfs>
  <cellStyles count="9">
    <cellStyle name="Comma" xfId="1" builtinId="3"/>
    <cellStyle name="Comma 2" xfId="7" xr:uid="{DE9DD613-307D-447F-8FAA-E8CE4F56BBD1}"/>
    <cellStyle name="Currency" xfId="2" builtinId="4"/>
    <cellStyle name="Currency 2" xfId="5" xr:uid="{E9DF4DE9-92BB-45DB-85EB-10FF3AB0D0DF}"/>
    <cellStyle name="Normal" xfId="0" builtinId="0"/>
    <cellStyle name="Normal 2" xfId="4" xr:uid="{B23B5C52-BBD8-4D17-A2D1-3CB5EA1EB812}"/>
    <cellStyle name="Normal 2 2" xfId="8" xr:uid="{974AACCD-6FD6-4C5B-AE5C-0D5DC0EAE19D}"/>
    <cellStyle name="Percent" xfId="3" builtinId="5"/>
    <cellStyle name="Percent 2" xfId="6" xr:uid="{9465ABF7-5457-4D8E-891A-134533373E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Delivery!$B$2</c:f>
          <c:strCache>
            <c:ptCount val="1"/>
            <c:pt idx="0">
              <c:v>Avoided Costs - Utility Benefit Programs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Delivery!$B$5</c:f>
              <c:strCache>
                <c:ptCount val="1"/>
                <c:pt idx="0">
                  <c:v>Residential System ($/kW-month)</c:v>
                </c:pt>
              </c:strCache>
            </c:strRef>
          </c:tx>
          <c:spPr>
            <a:ln w="28575" cap="rnd">
              <a:noFill/>
              <a:round/>
            </a:ln>
            <a:effectLst/>
          </c:spPr>
          <c:marker>
            <c:symbol val="circle"/>
            <c:size val="5"/>
            <c:spPr>
              <a:solidFill>
                <a:schemeClr val="accent1"/>
              </a:solidFill>
              <a:ln w="9525">
                <a:noFill/>
              </a:ln>
              <a:effectLst/>
            </c:spPr>
          </c:marker>
          <c:cat>
            <c:strRef>
              <c:f>Delivery!$C$2:$H$2</c:f>
              <c:strCache>
                <c:ptCount val="6"/>
                <c:pt idx="0">
                  <c:v>Central Hudson</c:v>
                </c:pt>
                <c:pt idx="1">
                  <c:v>Con Edison</c:v>
                </c:pt>
                <c:pt idx="2">
                  <c:v>National Grid</c:v>
                </c:pt>
                <c:pt idx="3">
                  <c:v>NYSEG</c:v>
                </c:pt>
                <c:pt idx="4">
                  <c:v>O&amp;R</c:v>
                </c:pt>
                <c:pt idx="5">
                  <c:v>RG&amp;E</c:v>
                </c:pt>
              </c:strCache>
            </c:strRef>
          </c:cat>
          <c:val>
            <c:numRef>
              <c:f>Delivery!$C$5:$H$5</c:f>
              <c:numCache>
                <c:formatCode>_("$"* #,##0.00_);_("$"* \(#,##0.00\);_("$"* "-"??_);_(@_)</c:formatCode>
                <c:ptCount val="6"/>
                <c:pt idx="0">
                  <c:v>0.92238353508461002</c:v>
                </c:pt>
                <c:pt idx="1">
                  <c:v>1.0897633358216854</c:v>
                </c:pt>
                <c:pt idx="2">
                  <c:v>0.95260248176595985</c:v>
                </c:pt>
                <c:pt idx="3">
                  <c:v>0.69141340466657264</c:v>
                </c:pt>
                <c:pt idx="4">
                  <c:v>0.92671249964964908</c:v>
                </c:pt>
                <c:pt idx="5">
                  <c:v>0.84208223804855808</c:v>
                </c:pt>
              </c:numCache>
            </c:numRef>
          </c:val>
          <c:smooth val="0"/>
          <c:extLst>
            <c:ext xmlns:c16="http://schemas.microsoft.com/office/drawing/2014/chart" uri="{C3380CC4-5D6E-409C-BE32-E72D297353CC}">
              <c16:uniqueId val="{00000000-6A48-4F83-A87F-0CF8F3B447CB}"/>
            </c:ext>
          </c:extLst>
        </c:ser>
        <c:ser>
          <c:idx val="1"/>
          <c:order val="1"/>
          <c:tx>
            <c:strRef>
              <c:f>Delivery!$B$6</c:f>
              <c:strCache>
                <c:ptCount val="1"/>
                <c:pt idx="0">
                  <c:v>Small Commercial System ($/kW-month)</c:v>
                </c:pt>
              </c:strCache>
            </c:strRef>
          </c:tx>
          <c:spPr>
            <a:ln w="28575" cap="rnd">
              <a:noFill/>
              <a:round/>
            </a:ln>
            <a:effectLst/>
          </c:spPr>
          <c:marker>
            <c:symbol val="circle"/>
            <c:size val="5"/>
            <c:spPr>
              <a:solidFill>
                <a:schemeClr val="accent2"/>
              </a:solidFill>
              <a:ln w="9525">
                <a:noFill/>
              </a:ln>
              <a:effectLst/>
            </c:spPr>
          </c:marker>
          <c:cat>
            <c:strRef>
              <c:f>Delivery!$C$2:$H$2</c:f>
              <c:strCache>
                <c:ptCount val="6"/>
                <c:pt idx="0">
                  <c:v>Central Hudson</c:v>
                </c:pt>
                <c:pt idx="1">
                  <c:v>Con Edison</c:v>
                </c:pt>
                <c:pt idx="2">
                  <c:v>National Grid</c:v>
                </c:pt>
                <c:pt idx="3">
                  <c:v>NYSEG</c:v>
                </c:pt>
                <c:pt idx="4">
                  <c:v>O&amp;R</c:v>
                </c:pt>
                <c:pt idx="5">
                  <c:v>RG&amp;E</c:v>
                </c:pt>
              </c:strCache>
            </c:strRef>
          </c:cat>
          <c:val>
            <c:numRef>
              <c:f>Delivery!$C$6:$H$6</c:f>
              <c:numCache>
                <c:formatCode>_("$"* #,##0.00_);_("$"* \(#,##0.00\);_("$"* "-"??_);_(@_)</c:formatCode>
                <c:ptCount val="6"/>
                <c:pt idx="0">
                  <c:v>0.83898519706049202</c:v>
                </c:pt>
                <c:pt idx="1">
                  <c:v>1.1001321591882092</c:v>
                </c:pt>
                <c:pt idx="2">
                  <c:v>1.0119633957162002</c:v>
                </c:pt>
                <c:pt idx="3">
                  <c:v>0.72321579376015321</c:v>
                </c:pt>
                <c:pt idx="4">
                  <c:v>0.92359924377176672</c:v>
                </c:pt>
                <c:pt idx="5">
                  <c:v>0.83286971441862512</c:v>
                </c:pt>
              </c:numCache>
            </c:numRef>
          </c:val>
          <c:smooth val="0"/>
          <c:extLst>
            <c:ext xmlns:c16="http://schemas.microsoft.com/office/drawing/2014/chart" uri="{C3380CC4-5D6E-409C-BE32-E72D297353CC}">
              <c16:uniqueId val="{00000001-6A48-4F83-A87F-0CF8F3B447CB}"/>
            </c:ext>
          </c:extLst>
        </c:ser>
        <c:dLbls>
          <c:showLegendKey val="0"/>
          <c:showVal val="0"/>
          <c:showCatName val="0"/>
          <c:showSerName val="0"/>
          <c:showPercent val="0"/>
          <c:showBubbleSize val="0"/>
        </c:dLbls>
        <c:marker val="1"/>
        <c:smooth val="0"/>
        <c:axId val="598533552"/>
        <c:axId val="598539784"/>
      </c:lineChart>
      <c:catAx>
        <c:axId val="59853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539784"/>
        <c:crosses val="autoZero"/>
        <c:auto val="1"/>
        <c:lblAlgn val="ctr"/>
        <c:lblOffset val="100"/>
        <c:noMultiLvlLbl val="0"/>
      </c:catAx>
      <c:valAx>
        <c:axId val="59853978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533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2379</xdr:colOff>
      <xdr:row>2</xdr:row>
      <xdr:rowOff>14287</xdr:rowOff>
    </xdr:from>
    <xdr:to>
      <xdr:col>16</xdr:col>
      <xdr:colOff>40479</xdr:colOff>
      <xdr:row>16</xdr:row>
      <xdr:rowOff>171450</xdr:rowOff>
    </xdr:to>
    <xdr:graphicFrame macro="">
      <xdr:nvGraphicFramePr>
        <xdr:cNvPr id="2" name="Chart 1">
          <a:extLst>
            <a:ext uri="{FF2B5EF4-FFF2-40B4-BE49-F238E27FC236}">
              <a16:creationId xmlns:a16="http://schemas.microsoft.com/office/drawing/2014/main" id="{58EECB54-5E91-4217-BDC0-E16CBC7D5F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0.29427</cdr:x>
      <cdr:y>0.27431</cdr:y>
    </cdr:from>
    <cdr:to>
      <cdr:x>0.7276</cdr:x>
      <cdr:y>0.38889</cdr:y>
    </cdr:to>
    <cdr:sp macro="" textlink="">
      <cdr:nvSpPr>
        <cdr:cNvPr id="2" name="TextBox 1">
          <a:extLst xmlns:a="http://schemas.openxmlformats.org/drawingml/2006/main">
            <a:ext uri="{FF2B5EF4-FFF2-40B4-BE49-F238E27FC236}">
              <a16:creationId xmlns:a16="http://schemas.microsoft.com/office/drawing/2014/main" id="{3F08D7BF-DA07-4166-A8D2-DD841779A2F9}"/>
            </a:ext>
          </a:extLst>
        </cdr:cNvPr>
        <cdr:cNvSpPr txBox="1"/>
      </cdr:nvSpPr>
      <cdr:spPr>
        <a:xfrm xmlns:a="http://schemas.openxmlformats.org/drawingml/2006/main">
          <a:off x="1345409" y="752475"/>
          <a:ext cx="198120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a:t>Avoided</a:t>
          </a:r>
          <a:r>
            <a:rPr lang="en-US" sz="1100" baseline="0"/>
            <a:t> cost of ~$1/kW-month</a:t>
          </a:r>
          <a:endParaRPr 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D4292-691F-48BD-B10A-C653EEBE9EF6}">
  <dimension ref="B1:AA39"/>
  <sheetViews>
    <sheetView tabSelected="1" workbookViewId="0">
      <selection activeCell="I5" sqref="I5"/>
    </sheetView>
  </sheetViews>
  <sheetFormatPr defaultRowHeight="15" x14ac:dyDescent="0.25"/>
  <cols>
    <col min="1" max="1" width="4.140625" customWidth="1"/>
    <col min="2" max="2" width="36.85546875" bestFit="1" customWidth="1"/>
    <col min="3" max="3" width="15.5703125" bestFit="1" customWidth="1"/>
    <col min="4" max="4" width="14.5703125" bestFit="1" customWidth="1"/>
    <col min="5" max="5" width="15.140625" bestFit="1" customWidth="1"/>
    <col min="6" max="6" width="14.5703125" bestFit="1" customWidth="1"/>
    <col min="7" max="7" width="16.5703125" bestFit="1" customWidth="1"/>
    <col min="8" max="8" width="14.5703125" bestFit="1" customWidth="1"/>
  </cols>
  <sheetData>
    <row r="1" spans="2:8" ht="15.75" thickBot="1" x14ac:dyDescent="0.3"/>
    <row r="2" spans="2:8" x14ac:dyDescent="0.25">
      <c r="B2" s="7" t="s">
        <v>229</v>
      </c>
      <c r="C2" s="8" t="s">
        <v>0</v>
      </c>
      <c r="D2" s="8" t="s">
        <v>1</v>
      </c>
      <c r="E2" s="8" t="s">
        <v>2</v>
      </c>
      <c r="F2" s="8" t="s">
        <v>3</v>
      </c>
      <c r="G2" s="8" t="s">
        <v>4</v>
      </c>
      <c r="H2" s="9" t="s">
        <v>5</v>
      </c>
    </row>
    <row r="3" spans="2:8" x14ac:dyDescent="0.25">
      <c r="B3" s="1" t="s">
        <v>224</v>
      </c>
      <c r="C3" s="95">
        <f>(C15+C21+C30+C36)/12</f>
        <v>5.5343012105076603</v>
      </c>
      <c r="D3" s="95">
        <f t="shared" ref="D3:H3" si="0">(D15+D21+D30+D36)/12</f>
        <v>6.5385800149301119</v>
      </c>
      <c r="E3" s="95">
        <f t="shared" si="0"/>
        <v>5.7156148905957593</v>
      </c>
      <c r="F3" s="95">
        <f t="shared" si="0"/>
        <v>4.1484804279994361</v>
      </c>
      <c r="G3" s="95">
        <f t="shared" si="0"/>
        <v>5.5602749978978947</v>
      </c>
      <c r="H3" s="217">
        <f t="shared" si="0"/>
        <v>5.0524934282913483</v>
      </c>
    </row>
    <row r="4" spans="2:8" x14ac:dyDescent="0.25">
      <c r="B4" s="1" t="s">
        <v>225</v>
      </c>
      <c r="C4" s="95">
        <f t="shared" ref="C4:H4" si="1">(C16+C22+C31+C37)/12</f>
        <v>5.0339111823629521</v>
      </c>
      <c r="D4" s="95">
        <f t="shared" si="1"/>
        <v>6.600792955129255</v>
      </c>
      <c r="E4" s="95">
        <f t="shared" si="1"/>
        <v>6.0717803742972007</v>
      </c>
      <c r="F4" s="95">
        <f t="shared" si="1"/>
        <v>4.3392947625609191</v>
      </c>
      <c r="G4" s="95">
        <f t="shared" si="1"/>
        <v>5.5415954626306005</v>
      </c>
      <c r="H4" s="217">
        <f t="shared" si="1"/>
        <v>4.9972182865117505</v>
      </c>
    </row>
    <row r="5" spans="2:8" x14ac:dyDescent="0.25">
      <c r="B5" s="1" t="s">
        <v>227</v>
      </c>
      <c r="C5" s="95">
        <f>C3/6</f>
        <v>0.92238353508461002</v>
      </c>
      <c r="D5" s="95">
        <f t="shared" ref="D5:H5" si="2">D3/6</f>
        <v>1.0897633358216854</v>
      </c>
      <c r="E5" s="95">
        <f t="shared" si="2"/>
        <v>0.95260248176595985</v>
      </c>
      <c r="F5" s="95">
        <f t="shared" si="2"/>
        <v>0.69141340466657264</v>
      </c>
      <c r="G5" s="95">
        <f t="shared" si="2"/>
        <v>0.92671249964964908</v>
      </c>
      <c r="H5" s="217">
        <f t="shared" si="2"/>
        <v>0.84208223804855808</v>
      </c>
    </row>
    <row r="6" spans="2:8" ht="15.75" thickBot="1" x14ac:dyDescent="0.3">
      <c r="B6" s="140" t="s">
        <v>226</v>
      </c>
      <c r="C6" s="218">
        <f t="shared" ref="C6:H6" si="3">C4/6</f>
        <v>0.83898519706049202</v>
      </c>
      <c r="D6" s="218">
        <f t="shared" si="3"/>
        <v>1.1001321591882092</v>
      </c>
      <c r="E6" s="218">
        <f t="shared" si="3"/>
        <v>1.0119633957162002</v>
      </c>
      <c r="F6" s="218">
        <f t="shared" si="3"/>
        <v>0.72321579376015321</v>
      </c>
      <c r="G6" s="218">
        <f t="shared" si="3"/>
        <v>0.92359924377176672</v>
      </c>
      <c r="H6" s="219">
        <f t="shared" si="3"/>
        <v>0.83286971441862512</v>
      </c>
    </row>
    <row r="7" spans="2:8" ht="15.75" thickBot="1" x14ac:dyDescent="0.3"/>
    <row r="8" spans="2:8" x14ac:dyDescent="0.25">
      <c r="B8" s="7" t="s">
        <v>223</v>
      </c>
      <c r="C8" s="8" t="s">
        <v>0</v>
      </c>
      <c r="D8" s="8" t="s">
        <v>1</v>
      </c>
      <c r="E8" s="8" t="s">
        <v>2</v>
      </c>
      <c r="F8" s="8" t="s">
        <v>3</v>
      </c>
      <c r="G8" s="8" t="s">
        <v>4</v>
      </c>
      <c r="H8" s="9" t="s">
        <v>5</v>
      </c>
    </row>
    <row r="9" spans="2:8" ht="15.75" thickBot="1" x14ac:dyDescent="0.3">
      <c r="B9" s="140" t="s">
        <v>228</v>
      </c>
      <c r="C9" s="199">
        <v>587.54185378679654</v>
      </c>
      <c r="D9" s="199">
        <v>622.12940199144725</v>
      </c>
      <c r="E9" s="199">
        <v>572.01758111361642</v>
      </c>
      <c r="F9" s="199">
        <v>563.04023181316984</v>
      </c>
      <c r="G9" s="199">
        <v>622.65117557647193</v>
      </c>
      <c r="H9" s="216">
        <v>575.78272687080892</v>
      </c>
    </row>
    <row r="10" spans="2:8" ht="15.75" thickBot="1" x14ac:dyDescent="0.3"/>
    <row r="11" spans="2:8" x14ac:dyDescent="0.25">
      <c r="B11" s="7"/>
      <c r="C11" s="8" t="s">
        <v>0</v>
      </c>
      <c r="D11" s="8" t="s">
        <v>1</v>
      </c>
      <c r="E11" s="8" t="s">
        <v>2</v>
      </c>
      <c r="F11" s="8" t="s">
        <v>3</v>
      </c>
      <c r="G11" s="8" t="s">
        <v>4</v>
      </c>
      <c r="H11" s="9" t="s">
        <v>5</v>
      </c>
    </row>
    <row r="12" spans="2:8" x14ac:dyDescent="0.25">
      <c r="B12" s="19" t="s">
        <v>6</v>
      </c>
      <c r="C12" s="2">
        <v>6.0099999999999997E-3</v>
      </c>
      <c r="D12" s="2">
        <f>0.49/100</f>
        <v>4.8999999999999998E-3</v>
      </c>
      <c r="E12" s="4">
        <v>5.045E-3</v>
      </c>
      <c r="F12" s="4">
        <v>4.7730000000000003E-3</v>
      </c>
      <c r="G12" s="2"/>
      <c r="H12" s="5">
        <v>5.274E-3</v>
      </c>
    </row>
    <row r="13" spans="2:8" ht="17.25" x14ac:dyDescent="0.4">
      <c r="B13" s="19" t="s">
        <v>7</v>
      </c>
      <c r="C13" s="10">
        <v>0</v>
      </c>
      <c r="D13" s="10">
        <v>0</v>
      </c>
      <c r="E13" s="17">
        <v>0</v>
      </c>
      <c r="F13" s="17">
        <v>0</v>
      </c>
      <c r="G13" s="17">
        <v>0</v>
      </c>
      <c r="H13" s="18">
        <v>0</v>
      </c>
    </row>
    <row r="14" spans="2:8" x14ac:dyDescent="0.25">
      <c r="B14" s="19" t="s">
        <v>8</v>
      </c>
      <c r="C14" s="2">
        <f>SUM(C12+C13)</f>
        <v>6.0099999999999997E-3</v>
      </c>
      <c r="D14" s="2">
        <f>SUM(D12+D13)</f>
        <v>4.8999999999999998E-3</v>
      </c>
      <c r="E14" s="2">
        <f>SUM(E12+E13)</f>
        <v>5.045E-3</v>
      </c>
      <c r="F14" s="4">
        <f>SUM(F12+F13)</f>
        <v>4.7730000000000003E-3</v>
      </c>
      <c r="G14" s="2">
        <v>5.62E-3</v>
      </c>
      <c r="H14" s="97">
        <f>SUM(H12+H13)</f>
        <v>5.274E-3</v>
      </c>
    </row>
    <row r="15" spans="2:8" x14ac:dyDescent="0.25">
      <c r="B15" s="91" t="s">
        <v>76</v>
      </c>
      <c r="C15" s="137">
        <f t="shared" ref="C15:H15" si="4">C14*C9*12</f>
        <v>42.373518495103767</v>
      </c>
      <c r="D15" s="137">
        <f t="shared" si="4"/>
        <v>36.581208837097101</v>
      </c>
      <c r="E15" s="137">
        <f t="shared" si="4"/>
        <v>34.629944360618339</v>
      </c>
      <c r="F15" s="137">
        <f t="shared" si="4"/>
        <v>32.24869231733112</v>
      </c>
      <c r="G15" s="137">
        <f t="shared" si="4"/>
        <v>41.99159528087727</v>
      </c>
      <c r="H15" s="138">
        <f t="shared" si="4"/>
        <v>36.440137218199759</v>
      </c>
    </row>
    <row r="16" spans="2:8" ht="15.75" thickBot="1" x14ac:dyDescent="0.3">
      <c r="B16" s="92" t="s">
        <v>77</v>
      </c>
      <c r="C16" s="136">
        <f t="shared" ref="C16:H16" si="5">C14*C9*12</f>
        <v>42.373518495103767</v>
      </c>
      <c r="D16" s="136">
        <f t="shared" si="5"/>
        <v>36.581208837097101</v>
      </c>
      <c r="E16" s="136">
        <f t="shared" si="5"/>
        <v>34.629944360618339</v>
      </c>
      <c r="F16" s="136">
        <f t="shared" si="5"/>
        <v>32.24869231733112</v>
      </c>
      <c r="G16" s="136">
        <f t="shared" si="5"/>
        <v>41.99159528087727</v>
      </c>
      <c r="H16" s="139">
        <f t="shared" si="5"/>
        <v>36.440137218199759</v>
      </c>
    </row>
    <row r="17" spans="2:20" ht="15.75" thickBot="1" x14ac:dyDescent="0.3">
      <c r="B17" s="25"/>
      <c r="C17" s="2"/>
      <c r="D17" s="2"/>
      <c r="E17" s="2"/>
      <c r="F17" s="2"/>
      <c r="G17" s="2"/>
      <c r="H17" s="2"/>
      <c r="I17" s="200"/>
    </row>
    <row r="18" spans="2:20" x14ac:dyDescent="0.25">
      <c r="B18" s="7" t="s">
        <v>28</v>
      </c>
      <c r="C18" s="8" t="s">
        <v>0</v>
      </c>
      <c r="D18" s="8" t="s">
        <v>1</v>
      </c>
      <c r="E18" s="8" t="s">
        <v>2</v>
      </c>
      <c r="F18" s="8" t="s">
        <v>3</v>
      </c>
      <c r="G18" s="8" t="s">
        <v>4</v>
      </c>
      <c r="H18" s="9" t="s">
        <v>5</v>
      </c>
      <c r="I18" s="200"/>
    </row>
    <row r="19" spans="2:20" x14ac:dyDescent="0.25">
      <c r="B19" s="21" t="s">
        <v>23</v>
      </c>
      <c r="C19" s="2">
        <v>1.6000000000000001E-4</v>
      </c>
      <c r="D19" s="3">
        <v>1.5E-3</v>
      </c>
      <c r="E19" s="4">
        <v>1.1400000000000001E-4</v>
      </c>
      <c r="F19" s="4">
        <v>3.7599999999999998E-4</v>
      </c>
      <c r="G19" s="2">
        <v>7.3999999999999999E-4</v>
      </c>
      <c r="H19" s="5">
        <v>6.0899999999999995E-4</v>
      </c>
      <c r="I19" s="200"/>
    </row>
    <row r="20" spans="2:20" x14ac:dyDescent="0.25">
      <c r="B20" s="21" t="s">
        <v>24</v>
      </c>
      <c r="C20" s="2">
        <v>1.2999999999999999E-4</v>
      </c>
      <c r="D20" s="3">
        <v>1.2999999999999999E-3</v>
      </c>
      <c r="E20" s="4">
        <v>1.2300000000000001E-4</v>
      </c>
      <c r="F20" s="4">
        <v>3.5799999999999997E-4</v>
      </c>
      <c r="G20" s="2">
        <v>4.8000000000000001E-4</v>
      </c>
      <c r="H20" s="5">
        <v>6.6299999999999996E-4</v>
      </c>
      <c r="I20" s="200"/>
    </row>
    <row r="21" spans="2:20" x14ac:dyDescent="0.25">
      <c r="B21" s="91" t="s">
        <v>76</v>
      </c>
      <c r="C21" s="137">
        <f>C19*C9*12</f>
        <v>1.1280803592706494</v>
      </c>
      <c r="D21" s="137">
        <f>D19*D9*12</f>
        <v>11.19832923584605</v>
      </c>
      <c r="E21" s="137">
        <f>E19*E9*12</f>
        <v>0.78252005096342736</v>
      </c>
      <c r="F21" s="137">
        <f>F19*F9*12</f>
        <v>2.5404375259410221</v>
      </c>
      <c r="G21" s="137">
        <f>G19*G9*12</f>
        <v>5.5291424391190711</v>
      </c>
      <c r="H21" s="138">
        <f>H19*12*H9</f>
        <v>4.207820167971871</v>
      </c>
      <c r="I21" s="200"/>
    </row>
    <row r="22" spans="2:20" s="13" customFormat="1" ht="15.75" thickBot="1" x14ac:dyDescent="0.3">
      <c r="B22" s="92" t="s">
        <v>77</v>
      </c>
      <c r="C22" s="136">
        <f>C20*C9*12</f>
        <v>0.91656529190740255</v>
      </c>
      <c r="D22" s="136">
        <f>D20*D9*12</f>
        <v>9.7052186710665769</v>
      </c>
      <c r="E22" s="136">
        <f>E20*E9*12</f>
        <v>0.84429794972369787</v>
      </c>
      <c r="F22" s="136">
        <f>F20*F9*12</f>
        <v>2.4188208358693775</v>
      </c>
      <c r="G22" s="136">
        <f>G20*G9*12</f>
        <v>3.5864707713204789</v>
      </c>
      <c r="H22" s="139">
        <f>H20*12*H9</f>
        <v>4.5809273749841557</v>
      </c>
      <c r="I22" s="200"/>
      <c r="M22"/>
      <c r="N22"/>
      <c r="O22" s="197"/>
      <c r="P22" s="197"/>
      <c r="Q22" s="197"/>
      <c r="R22" s="197"/>
      <c r="S22" s="197"/>
      <c r="T22" s="197"/>
    </row>
    <row r="23" spans="2:20" ht="15.75" thickBot="1" x14ac:dyDescent="0.3">
      <c r="B23" s="24"/>
      <c r="C23" s="2"/>
      <c r="D23" s="3"/>
      <c r="E23" s="4"/>
      <c r="F23" s="4"/>
      <c r="G23" s="2"/>
      <c r="H23" s="4"/>
      <c r="I23" s="13"/>
      <c r="M23" s="13"/>
      <c r="N23" s="13"/>
      <c r="O23" s="95"/>
      <c r="P23" s="95"/>
      <c r="Q23" s="95"/>
      <c r="R23" s="95"/>
      <c r="S23" s="95"/>
      <c r="T23" s="95"/>
    </row>
    <row r="24" spans="2:20" x14ac:dyDescent="0.25">
      <c r="B24" s="7" t="s">
        <v>29</v>
      </c>
      <c r="C24" s="8" t="s">
        <v>0</v>
      </c>
      <c r="D24" s="8" t="s">
        <v>1</v>
      </c>
      <c r="E24" s="8" t="s">
        <v>2</v>
      </c>
      <c r="F24" s="8" t="s">
        <v>3</v>
      </c>
      <c r="G24" s="8" t="s">
        <v>4</v>
      </c>
      <c r="H24" s="9" t="s">
        <v>5</v>
      </c>
      <c r="I24" s="201"/>
      <c r="O24" s="197"/>
      <c r="P24" s="197"/>
      <c r="Q24" s="197"/>
      <c r="R24" s="197"/>
      <c r="S24" s="197"/>
      <c r="T24" s="197"/>
    </row>
    <row r="25" spans="2:20" x14ac:dyDescent="0.25">
      <c r="B25" s="1" t="s">
        <v>71</v>
      </c>
      <c r="C25" s="16">
        <f>'CH Expenditures'!C11</f>
        <v>4387206</v>
      </c>
      <c r="D25" s="32">
        <v>54600000</v>
      </c>
      <c r="E25" s="16">
        <v>-41185060.130000003</v>
      </c>
      <c r="F25" s="32">
        <v>10794828</v>
      </c>
      <c r="G25" s="32">
        <v>4500000</v>
      </c>
      <c r="H25" s="96">
        <v>7588613</v>
      </c>
      <c r="I25" s="201"/>
      <c r="O25" s="197"/>
      <c r="P25" s="197"/>
      <c r="Q25" s="197"/>
      <c r="R25" s="197"/>
      <c r="S25" s="197"/>
      <c r="T25" s="197"/>
    </row>
    <row r="26" spans="2:20" x14ac:dyDescent="0.25">
      <c r="B26" s="1" t="s">
        <v>73</v>
      </c>
      <c r="C26" s="16">
        <f>C25*73.4%</f>
        <v>3220209.2040000004</v>
      </c>
      <c r="D26" s="32">
        <v>22000000</v>
      </c>
      <c r="E26" s="16">
        <v>-41185060.130000003</v>
      </c>
      <c r="F26" s="32">
        <f>48.74%*F25</f>
        <v>5261399.1672</v>
      </c>
      <c r="G26" s="94">
        <v>1480000</v>
      </c>
      <c r="H26" s="96">
        <f>H25*50.05%</f>
        <v>3798100.8064999995</v>
      </c>
      <c r="I26" s="201"/>
    </row>
    <row r="27" spans="2:20" x14ac:dyDescent="0.25">
      <c r="B27" s="1" t="s">
        <v>72</v>
      </c>
      <c r="C27" s="16">
        <f>C25*1.7%</f>
        <v>74582.502000000008</v>
      </c>
      <c r="D27" s="32">
        <v>4000000</v>
      </c>
      <c r="E27" s="16">
        <v>0</v>
      </c>
      <c r="F27" s="32">
        <f>F25*4.05%</f>
        <v>437190.53399999999</v>
      </c>
      <c r="G27" s="32">
        <v>18700</v>
      </c>
      <c r="H27" s="96">
        <f>H25*3.67%</f>
        <v>278502.09709999996</v>
      </c>
      <c r="I27" s="201"/>
    </row>
    <row r="28" spans="2:20" x14ac:dyDescent="0.25">
      <c r="B28" s="1" t="s">
        <v>74</v>
      </c>
      <c r="C28" s="2">
        <f>'CH Alloc-Rates'!K8</f>
        <v>8.3403109516099101E-4</v>
      </c>
      <c r="D28" s="2">
        <v>1.5200000000000001E-3</v>
      </c>
      <c r="E28" s="4">
        <f>'NG Rate Information'!F16</f>
        <v>3.0228066109922653E-3</v>
      </c>
      <c r="F28" s="2">
        <f>0.00106</f>
        <v>1.06E-3</v>
      </c>
      <c r="G28" s="93">
        <v>9.2000000000000003E-4</v>
      </c>
      <c r="H28" s="97">
        <v>1.4499999999999999E-3</v>
      </c>
      <c r="I28" s="201"/>
    </row>
    <row r="29" spans="2:20" x14ac:dyDescent="0.25">
      <c r="B29" s="1" t="s">
        <v>75</v>
      </c>
      <c r="C29" s="3">
        <f>'CH Alloc-Rates'!K9</f>
        <v>1.4599583144894599E-4</v>
      </c>
      <c r="D29" s="2">
        <v>1.73E-3</v>
      </c>
      <c r="E29" s="4">
        <f>'NG Rate Information'!H16</f>
        <v>3.6185353442718731E-3</v>
      </c>
      <c r="F29" s="2">
        <v>1.42E-3</v>
      </c>
      <c r="G29" s="93">
        <v>1.15E-3</v>
      </c>
      <c r="H29" s="97">
        <v>1.2999999999999999E-3</v>
      </c>
      <c r="I29" s="209"/>
    </row>
    <row r="30" spans="2:20" x14ac:dyDescent="0.25">
      <c r="B30" s="91" t="s">
        <v>76</v>
      </c>
      <c r="C30" s="16">
        <f t="shared" ref="C30:H30" si="6">C9*C28*12</f>
        <v>5.8803381092006486</v>
      </c>
      <c r="D30" s="16">
        <f t="shared" si="6"/>
        <v>11.347640292323998</v>
      </c>
      <c r="E30" s="16">
        <f t="shared" si="6"/>
        <v>20.749182309528528</v>
      </c>
      <c r="F30" s="16">
        <f t="shared" si="6"/>
        <v>7.1618717486635202</v>
      </c>
      <c r="G30" s="16">
        <f t="shared" si="6"/>
        <v>6.8740689783642512</v>
      </c>
      <c r="H30" s="96">
        <f t="shared" si="6"/>
        <v>10.018619447552073</v>
      </c>
    </row>
    <row r="31" spans="2:20" ht="15.75" thickBot="1" x14ac:dyDescent="0.3">
      <c r="B31" s="92" t="s">
        <v>77</v>
      </c>
      <c r="C31" s="203">
        <f t="shared" ref="C31:H31" si="7">C9*C29*12</f>
        <v>1.029343937455901</v>
      </c>
      <c r="D31" s="203">
        <f t="shared" si="7"/>
        <v>12.915406385342447</v>
      </c>
      <c r="E31" s="203">
        <f t="shared" si="7"/>
        <v>24.838390017654291</v>
      </c>
      <c r="F31" s="203">
        <f t="shared" si="7"/>
        <v>9.5942055500964152</v>
      </c>
      <c r="G31" s="203">
        <f t="shared" si="7"/>
        <v>8.5925862229553118</v>
      </c>
      <c r="H31" s="204">
        <f t="shared" si="7"/>
        <v>8.982210539184619</v>
      </c>
    </row>
    <row r="32" spans="2:20" ht="15.75" thickBot="1" x14ac:dyDescent="0.3"/>
    <row r="33" spans="2:27" x14ac:dyDescent="0.25">
      <c r="B33" s="7" t="s">
        <v>78</v>
      </c>
      <c r="C33" s="8" t="s">
        <v>0</v>
      </c>
      <c r="D33" s="8" t="s">
        <v>1</v>
      </c>
      <c r="E33" s="8" t="s">
        <v>2</v>
      </c>
      <c r="F33" s="8" t="s">
        <v>3</v>
      </c>
      <c r="G33" s="8" t="s">
        <v>4</v>
      </c>
      <c r="H33" s="9" t="s">
        <v>5</v>
      </c>
      <c r="V33" s="197"/>
      <c r="W33" s="197"/>
      <c r="X33" s="197"/>
      <c r="Y33" s="197"/>
      <c r="Z33" s="197"/>
      <c r="AA33" s="197"/>
    </row>
    <row r="34" spans="2:27" x14ac:dyDescent="0.25">
      <c r="B34" s="1" t="s">
        <v>74</v>
      </c>
      <c r="C34" s="3">
        <f>'CH Alloc-Rates'!K36</f>
        <v>2.4153850278577321E-3</v>
      </c>
      <c r="D34" s="2">
        <f>'Con Edison'!F36+0.0019</f>
        <v>2.5900000000000003E-3</v>
      </c>
      <c r="E34" s="4">
        <f>'NG Rate Information'!F17</f>
        <v>1.8102199967712145E-3</v>
      </c>
      <c r="F34" s="2">
        <v>1.1590000000000001E-3</v>
      </c>
      <c r="G34" s="93">
        <v>1.65E-3</v>
      </c>
      <c r="H34" s="5">
        <v>1.4419999999999999E-3</v>
      </c>
      <c r="V34" s="197"/>
      <c r="W34" s="197"/>
      <c r="X34" s="197"/>
      <c r="Y34" s="197"/>
      <c r="Z34" s="197"/>
      <c r="AA34" s="197"/>
    </row>
    <row r="35" spans="2:27" x14ac:dyDescent="0.25">
      <c r="B35" s="1" t="s">
        <v>75</v>
      </c>
      <c r="C35" s="3">
        <f>'CH Alloc-Rates'!K37</f>
        <v>2.2817532572647005E-3</v>
      </c>
      <c r="D35" s="2">
        <f>'Con Edison'!F37+0.0019</f>
        <v>2.6800000000000001E-3</v>
      </c>
      <c r="E35" s="4">
        <f>'NG Rate Information'!H17</f>
        <v>1.828139055204668E-3</v>
      </c>
      <c r="F35" s="2">
        <v>1.1559000000000001E-3</v>
      </c>
      <c r="G35" s="93">
        <v>1.65E-3</v>
      </c>
      <c r="H35" s="5">
        <v>1.4419999999999999E-3</v>
      </c>
    </row>
    <row r="36" spans="2:27" x14ac:dyDescent="0.25">
      <c r="B36" s="91" t="s">
        <v>76</v>
      </c>
      <c r="C36" s="16">
        <f t="shared" ref="C36:H36" si="8">C9*C34*12</f>
        <v>17.029677562516859</v>
      </c>
      <c r="D36" s="16">
        <f t="shared" si="8"/>
        <v>19.335781813894183</v>
      </c>
      <c r="E36" s="16">
        <f t="shared" si="8"/>
        <v>12.425731966038823</v>
      </c>
      <c r="F36" s="16">
        <f t="shared" si="8"/>
        <v>7.8307635440575662</v>
      </c>
      <c r="G36" s="16">
        <f t="shared" si="8"/>
        <v>12.328493276414143</v>
      </c>
      <c r="H36" s="96">
        <f t="shared" si="8"/>
        <v>9.9633443057724769</v>
      </c>
    </row>
    <row r="37" spans="2:27" ht="15.75" thickBot="1" x14ac:dyDescent="0.3">
      <c r="B37" s="92" t="s">
        <v>77</v>
      </c>
      <c r="C37" s="203">
        <f t="shared" ref="C37:H37" si="9">C9*C35*12</f>
        <v>16.08750646388836</v>
      </c>
      <c r="D37" s="203">
        <f t="shared" si="9"/>
        <v>20.007681568044944</v>
      </c>
      <c r="E37" s="203">
        <f t="shared" si="9"/>
        <v>12.548732163570074</v>
      </c>
      <c r="F37" s="203">
        <f t="shared" si="9"/>
        <v>7.8098184474341164</v>
      </c>
      <c r="G37" s="203">
        <f t="shared" si="9"/>
        <v>12.328493276414143</v>
      </c>
      <c r="H37" s="204">
        <f t="shared" si="9"/>
        <v>9.9633443057724769</v>
      </c>
    </row>
    <row r="39" spans="2:27" x14ac:dyDescent="0.25">
      <c r="E39" s="202"/>
      <c r="F39" s="202"/>
      <c r="G39" s="202"/>
      <c r="H39" s="202"/>
      <c r="I39" s="202"/>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C360E-EC28-44D2-92E2-4B6EAD1E60D1}">
  <dimension ref="A1:A31"/>
  <sheetViews>
    <sheetView topLeftCell="A7" workbookViewId="0">
      <selection activeCell="B31" sqref="B31"/>
    </sheetView>
  </sheetViews>
  <sheetFormatPr defaultRowHeight="15" x14ac:dyDescent="0.25"/>
  <sheetData>
    <row r="1" spans="1:1" x14ac:dyDescent="0.25">
      <c r="A1" s="85" t="s">
        <v>30</v>
      </c>
    </row>
    <row r="2" spans="1:1" x14ac:dyDescent="0.25">
      <c r="A2" s="86" t="s">
        <v>39</v>
      </c>
    </row>
    <row r="3" spans="1:1" x14ac:dyDescent="0.25">
      <c r="A3" s="87" t="s">
        <v>52</v>
      </c>
    </row>
    <row r="4" spans="1:1" x14ac:dyDescent="0.25">
      <c r="A4" s="86" t="s">
        <v>34</v>
      </c>
    </row>
    <row r="5" spans="1:1" x14ac:dyDescent="0.25">
      <c r="A5" s="87" t="s">
        <v>53</v>
      </c>
    </row>
    <row r="6" spans="1:1" x14ac:dyDescent="0.25">
      <c r="A6" s="88" t="s">
        <v>54</v>
      </c>
    </row>
    <row r="7" spans="1:1" x14ac:dyDescent="0.25">
      <c r="A7" s="88" t="s">
        <v>55</v>
      </c>
    </row>
    <row r="8" spans="1:1" x14ac:dyDescent="0.25">
      <c r="A8" s="87" t="s">
        <v>56</v>
      </c>
    </row>
    <row r="9" spans="1:1" x14ac:dyDescent="0.25">
      <c r="A9" s="86" t="s">
        <v>41</v>
      </c>
    </row>
    <row r="10" spans="1:1" x14ac:dyDescent="0.25">
      <c r="A10" s="87" t="s">
        <v>57</v>
      </c>
    </row>
    <row r="11" spans="1:1" x14ac:dyDescent="0.25">
      <c r="A11" s="88" t="s">
        <v>58</v>
      </c>
    </row>
    <row r="12" spans="1:1" x14ac:dyDescent="0.25">
      <c r="A12" s="88" t="s">
        <v>59</v>
      </c>
    </row>
    <row r="13" spans="1:1" x14ac:dyDescent="0.25">
      <c r="A13" s="86" t="s">
        <v>60</v>
      </c>
    </row>
    <row r="14" spans="1:1" x14ac:dyDescent="0.25">
      <c r="A14" s="87" t="s">
        <v>61</v>
      </c>
    </row>
    <row r="15" spans="1:1" x14ac:dyDescent="0.25">
      <c r="A15" s="89" t="s">
        <v>62</v>
      </c>
    </row>
    <row r="16" spans="1:1" x14ac:dyDescent="0.25">
      <c r="A16" s="87" t="s">
        <v>63</v>
      </c>
    </row>
    <row r="17" spans="1:1" x14ac:dyDescent="0.25">
      <c r="A17" s="90"/>
    </row>
    <row r="18" spans="1:1" x14ac:dyDescent="0.25">
      <c r="A18" s="90"/>
    </row>
    <row r="19" spans="1:1" x14ac:dyDescent="0.25">
      <c r="A19" s="85" t="s">
        <v>38</v>
      </c>
    </row>
    <row r="20" spans="1:1" x14ac:dyDescent="0.25">
      <c r="A20" s="86" t="s">
        <v>39</v>
      </c>
    </row>
    <row r="21" spans="1:1" x14ac:dyDescent="0.25">
      <c r="A21" s="87" t="s">
        <v>64</v>
      </c>
    </row>
    <row r="22" spans="1:1" x14ac:dyDescent="0.25">
      <c r="A22" s="89" t="s">
        <v>34</v>
      </c>
    </row>
    <row r="23" spans="1:1" x14ac:dyDescent="0.25">
      <c r="A23" s="88" t="s">
        <v>65</v>
      </c>
    </row>
    <row r="24" spans="1:1" x14ac:dyDescent="0.25">
      <c r="A24" s="88" t="s">
        <v>66</v>
      </c>
    </row>
    <row r="25" spans="1:1" x14ac:dyDescent="0.25">
      <c r="A25" s="86" t="s">
        <v>41</v>
      </c>
    </row>
    <row r="26" spans="1:1" x14ac:dyDescent="0.25">
      <c r="A26" s="88" t="s">
        <v>67</v>
      </c>
    </row>
    <row r="27" spans="1:1" x14ac:dyDescent="0.25">
      <c r="A27" s="88" t="s">
        <v>68</v>
      </c>
    </row>
    <row r="28" spans="1:1" x14ac:dyDescent="0.25">
      <c r="A28" s="86" t="s">
        <v>60</v>
      </c>
    </row>
    <row r="29" spans="1:1" x14ac:dyDescent="0.25">
      <c r="A29" s="87" t="s">
        <v>69</v>
      </c>
    </row>
    <row r="30" spans="1:1" x14ac:dyDescent="0.25">
      <c r="A30" s="86" t="s">
        <v>62</v>
      </c>
    </row>
    <row r="31" spans="1:1" x14ac:dyDescent="0.25">
      <c r="A31" s="87" t="s">
        <v>70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B8AB9-D1AC-4310-AEC0-741F053429AF}">
  <dimension ref="A1:G19"/>
  <sheetViews>
    <sheetView workbookViewId="0">
      <selection activeCell="D10" sqref="D10"/>
    </sheetView>
  </sheetViews>
  <sheetFormatPr defaultRowHeight="15" x14ac:dyDescent="0.25"/>
  <cols>
    <col min="1" max="1" width="32.5703125" bestFit="1" customWidth="1"/>
    <col min="2" max="2" width="14.42578125" bestFit="1" customWidth="1"/>
    <col min="3" max="3" width="11.5703125" customWidth="1"/>
    <col min="4" max="4" width="12" bestFit="1" customWidth="1"/>
    <col min="5" max="5" width="9.5703125" bestFit="1" customWidth="1"/>
    <col min="6" max="6" width="10.5703125" bestFit="1" customWidth="1"/>
    <col min="7" max="7" width="9.5703125" bestFit="1" customWidth="1"/>
  </cols>
  <sheetData>
    <row r="1" spans="1:7" x14ac:dyDescent="0.25">
      <c r="A1" s="7"/>
      <c r="B1" s="8" t="s">
        <v>0</v>
      </c>
      <c r="C1" s="8" t="s">
        <v>1</v>
      </c>
      <c r="D1" s="8" t="s">
        <v>2</v>
      </c>
      <c r="E1" s="8" t="s">
        <v>3</v>
      </c>
      <c r="F1" s="8" t="s">
        <v>4</v>
      </c>
      <c r="G1" s="9" t="s">
        <v>5</v>
      </c>
    </row>
    <row r="2" spans="1:7" x14ac:dyDescent="0.25">
      <c r="A2" s="19" t="s">
        <v>25</v>
      </c>
      <c r="B2" s="22">
        <v>6.9999999999999999E-6</v>
      </c>
      <c r="C2" s="4">
        <v>3.9999999999999998E-6</v>
      </c>
      <c r="D2" s="22"/>
      <c r="E2" s="2">
        <v>0</v>
      </c>
      <c r="F2" s="22">
        <v>6.9999999999999999E-6</v>
      </c>
      <c r="G2" s="23">
        <v>0</v>
      </c>
    </row>
    <row r="3" spans="1:7" ht="17.25" x14ac:dyDescent="0.4">
      <c r="A3" s="19" t="s">
        <v>26</v>
      </c>
      <c r="B3" s="10">
        <v>3.15E-3</v>
      </c>
      <c r="C3" s="205">
        <v>3.803E-3</v>
      </c>
      <c r="D3" s="10"/>
      <c r="E3" s="11">
        <v>3.16E-3</v>
      </c>
      <c r="F3" s="10">
        <v>3.15E-3</v>
      </c>
      <c r="G3" s="12">
        <v>3.3E-3</v>
      </c>
    </row>
    <row r="4" spans="1:7" x14ac:dyDescent="0.25">
      <c r="A4" s="19" t="s">
        <v>27</v>
      </c>
      <c r="B4" s="14">
        <f>SUM(B2:B3)</f>
        <v>3.1570000000000001E-3</v>
      </c>
      <c r="C4" s="206">
        <f>SUM(C2:C3)</f>
        <v>3.8070000000000001E-3</v>
      </c>
      <c r="D4" s="2">
        <v>3.0500000000000002E-3</v>
      </c>
      <c r="E4" s="14">
        <f>SUM(E2:E3)</f>
        <v>3.16E-3</v>
      </c>
      <c r="F4" s="14">
        <f>SUM(F2:F3)</f>
        <v>3.1570000000000001E-3</v>
      </c>
      <c r="G4" s="15">
        <f>SUM(G2:G3)</f>
        <v>3.3E-3</v>
      </c>
    </row>
    <row r="5" spans="1:7" x14ac:dyDescent="0.25">
      <c r="A5" s="220" t="s">
        <v>9</v>
      </c>
      <c r="B5" s="221"/>
      <c r="C5" s="221"/>
      <c r="D5" s="221"/>
      <c r="E5" s="221"/>
      <c r="F5" s="221"/>
      <c r="G5" s="222"/>
    </row>
    <row r="6" spans="1:7" x14ac:dyDescent="0.25">
      <c r="A6" s="26" t="s">
        <v>11</v>
      </c>
      <c r="B6" s="13"/>
      <c r="C6" s="13"/>
      <c r="D6" s="13"/>
      <c r="E6" s="13"/>
      <c r="F6" s="13"/>
      <c r="G6" s="27"/>
    </row>
    <row r="7" spans="1:7" x14ac:dyDescent="0.25">
      <c r="A7" s="28" t="s">
        <v>13</v>
      </c>
      <c r="B7" s="29">
        <v>153867487000</v>
      </c>
      <c r="C7" s="13"/>
      <c r="D7" s="13"/>
      <c r="E7" s="13"/>
      <c r="F7" s="13"/>
      <c r="G7" s="27"/>
    </row>
    <row r="8" spans="1:7" x14ac:dyDescent="0.25">
      <c r="A8" s="28" t="s">
        <v>12</v>
      </c>
      <c r="B8" s="30">
        <v>3.5E-4</v>
      </c>
      <c r="C8" s="13"/>
      <c r="D8" s="13"/>
      <c r="E8" s="13"/>
      <c r="F8" s="13"/>
      <c r="G8" s="27"/>
    </row>
    <row r="9" spans="1:7" x14ac:dyDescent="0.25">
      <c r="A9" s="28" t="s">
        <v>17</v>
      </c>
      <c r="B9" s="31">
        <v>53601</v>
      </c>
      <c r="C9" s="13"/>
      <c r="D9" s="13"/>
      <c r="E9" s="13"/>
      <c r="F9" s="13"/>
      <c r="G9" s="27"/>
    </row>
    <row r="10" spans="1:7" x14ac:dyDescent="0.25">
      <c r="A10" s="28" t="s">
        <v>16</v>
      </c>
      <c r="B10" s="16">
        <v>21.17</v>
      </c>
      <c r="C10" s="13"/>
      <c r="D10" s="13"/>
      <c r="E10" s="13"/>
      <c r="F10" s="13"/>
      <c r="G10" s="27"/>
    </row>
    <row r="11" spans="1:7" x14ac:dyDescent="0.25">
      <c r="A11" s="28" t="s">
        <v>15</v>
      </c>
      <c r="B11" s="32">
        <v>1134197</v>
      </c>
      <c r="C11" s="13"/>
      <c r="D11" s="13"/>
      <c r="E11" s="13"/>
      <c r="F11" s="13"/>
      <c r="G11" s="27"/>
    </row>
    <row r="12" spans="1:7" x14ac:dyDescent="0.25">
      <c r="A12" s="28" t="s">
        <v>14</v>
      </c>
      <c r="B12" s="4">
        <f>B11/B7</f>
        <v>7.3712583607737745E-6</v>
      </c>
      <c r="C12" s="13"/>
      <c r="D12" s="13"/>
      <c r="E12" s="13"/>
      <c r="F12" s="13"/>
      <c r="G12" s="27"/>
    </row>
    <row r="13" spans="1:7" x14ac:dyDescent="0.25">
      <c r="A13" s="28"/>
      <c r="B13" s="13"/>
      <c r="C13" s="13"/>
      <c r="D13" s="13"/>
      <c r="E13" s="13"/>
      <c r="F13" s="13"/>
      <c r="G13" s="27"/>
    </row>
    <row r="14" spans="1:7" x14ac:dyDescent="0.25">
      <c r="A14" s="26" t="s">
        <v>10</v>
      </c>
      <c r="B14" s="13"/>
      <c r="C14" s="13"/>
      <c r="D14" s="13"/>
      <c r="E14" s="13"/>
      <c r="F14" s="13"/>
      <c r="G14" s="27"/>
    </row>
    <row r="15" spans="1:7" x14ac:dyDescent="0.25">
      <c r="A15" s="28" t="s">
        <v>18</v>
      </c>
      <c r="B15" s="29">
        <v>153867487000</v>
      </c>
      <c r="C15" s="13"/>
      <c r="D15" s="13"/>
      <c r="E15" s="13"/>
      <c r="F15" s="13"/>
      <c r="G15" s="27"/>
    </row>
    <row r="16" spans="1:7" x14ac:dyDescent="0.25">
      <c r="A16" s="28" t="s">
        <v>19</v>
      </c>
      <c r="B16" s="31">
        <v>27618000</v>
      </c>
      <c r="C16" s="13"/>
      <c r="D16" s="13"/>
      <c r="E16" s="13"/>
      <c r="F16" s="13"/>
      <c r="G16" s="27"/>
    </row>
    <row r="17" spans="1:7" x14ac:dyDescent="0.25">
      <c r="A17" s="28" t="s">
        <v>20</v>
      </c>
      <c r="B17" s="20">
        <v>17.539000000000001</v>
      </c>
      <c r="C17" s="13"/>
      <c r="D17" s="13"/>
      <c r="E17" s="13"/>
      <c r="F17" s="13"/>
      <c r="G17" s="27"/>
    </row>
    <row r="18" spans="1:7" x14ac:dyDescent="0.25">
      <c r="A18" s="28" t="s">
        <v>21</v>
      </c>
      <c r="B18" s="32">
        <v>484339485</v>
      </c>
      <c r="C18" s="13"/>
      <c r="D18" s="13"/>
      <c r="E18" s="13"/>
      <c r="F18" s="13"/>
      <c r="G18" s="27"/>
    </row>
    <row r="19" spans="1:7" ht="15.75" thickBot="1" x14ac:dyDescent="0.3">
      <c r="A19" s="33" t="s">
        <v>22</v>
      </c>
      <c r="B19" s="6">
        <f>B18/B15</f>
        <v>3.1477701653761332E-3</v>
      </c>
      <c r="C19" s="34"/>
      <c r="D19" s="34"/>
      <c r="E19" s="34"/>
      <c r="F19" s="34"/>
      <c r="G19" s="35"/>
    </row>
  </sheetData>
  <mergeCells count="1">
    <mergeCell ref="A5:G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94233-4CCA-493C-AF56-47FBA53D5096}">
  <dimension ref="A1:G33"/>
  <sheetViews>
    <sheetView workbookViewId="0">
      <selection activeCell="I11" sqref="I11"/>
    </sheetView>
  </sheetViews>
  <sheetFormatPr defaultRowHeight="15" x14ac:dyDescent="0.25"/>
  <cols>
    <col min="1" max="1" width="34.85546875" customWidth="1"/>
    <col min="2" max="2" width="2.5703125" customWidth="1"/>
    <col min="3" max="3" width="15.42578125" customWidth="1"/>
    <col min="4" max="5" width="11.5703125" bestFit="1" customWidth="1"/>
  </cols>
  <sheetData>
    <row r="1" spans="1:7" x14ac:dyDescent="0.25">
      <c r="A1" s="223" t="s">
        <v>170</v>
      </c>
      <c r="B1" s="223"/>
      <c r="C1" s="223"/>
      <c r="D1" s="223"/>
      <c r="G1" s="196" t="s">
        <v>217</v>
      </c>
    </row>
    <row r="2" spans="1:7" x14ac:dyDescent="0.25">
      <c r="A2" s="223" t="s">
        <v>171</v>
      </c>
      <c r="B2" s="223"/>
      <c r="C2" s="223"/>
      <c r="D2" s="223"/>
      <c r="G2" s="196"/>
    </row>
    <row r="3" spans="1:7" x14ac:dyDescent="0.25">
      <c r="G3" s="196" t="s">
        <v>218</v>
      </c>
    </row>
    <row r="4" spans="1:7" x14ac:dyDescent="0.25">
      <c r="G4" s="196" t="s">
        <v>219</v>
      </c>
    </row>
    <row r="5" spans="1:7" x14ac:dyDescent="0.25">
      <c r="A5" s="141" t="s">
        <v>172</v>
      </c>
      <c r="G5" s="196" t="s">
        <v>220</v>
      </c>
    </row>
    <row r="7" spans="1:7" x14ac:dyDescent="0.25">
      <c r="A7" s="142" t="s">
        <v>173</v>
      </c>
    </row>
    <row r="8" spans="1:7" x14ac:dyDescent="0.25">
      <c r="A8" t="s">
        <v>174</v>
      </c>
      <c r="C8" s="106">
        <v>4247480</v>
      </c>
    </row>
    <row r="9" spans="1:7" x14ac:dyDescent="0.25">
      <c r="A9" t="s">
        <v>175</v>
      </c>
      <c r="C9" s="31">
        <v>14543</v>
      </c>
    </row>
    <row r="10" spans="1:7" x14ac:dyDescent="0.25">
      <c r="A10" t="s">
        <v>176</v>
      </c>
      <c r="C10" s="143">
        <v>125183</v>
      </c>
    </row>
    <row r="11" spans="1:7" x14ac:dyDescent="0.25">
      <c r="C11" s="144">
        <f>SUM(C8:C10)</f>
        <v>4387206</v>
      </c>
    </row>
    <row r="14" spans="1:7" x14ac:dyDescent="0.25">
      <c r="A14" s="141" t="s">
        <v>177</v>
      </c>
    </row>
    <row r="16" spans="1:7" x14ac:dyDescent="0.25">
      <c r="A16" s="142" t="s">
        <v>178</v>
      </c>
      <c r="C16" s="145" t="s">
        <v>179</v>
      </c>
      <c r="E16" s="144"/>
    </row>
    <row r="17" spans="1:5" x14ac:dyDescent="0.25">
      <c r="A17" t="s">
        <v>180</v>
      </c>
      <c r="C17" s="106">
        <f>40087+556735+646061</f>
        <v>1242883</v>
      </c>
      <c r="E17" s="146"/>
    </row>
    <row r="18" spans="1:5" x14ac:dyDescent="0.25">
      <c r="A18" t="s">
        <v>181</v>
      </c>
      <c r="C18" s="103">
        <f>52062+638600+191867</f>
        <v>882529</v>
      </c>
      <c r="E18" s="146"/>
    </row>
    <row r="19" spans="1:5" x14ac:dyDescent="0.25">
      <c r="A19" t="s">
        <v>182</v>
      </c>
      <c r="C19" s="103">
        <f>55780+1122862+509303</f>
        <v>1687945</v>
      </c>
      <c r="E19" s="147"/>
    </row>
    <row r="20" spans="1:5" x14ac:dyDescent="0.25">
      <c r="A20" t="s">
        <v>183</v>
      </c>
      <c r="C20" s="143">
        <f>137727+633204+860845</f>
        <v>1631776</v>
      </c>
    </row>
    <row r="21" spans="1:5" x14ac:dyDescent="0.25">
      <c r="A21" t="s">
        <v>184</v>
      </c>
      <c r="C21" s="106">
        <f>SUM(C17:C20)</f>
        <v>5445133</v>
      </c>
    </row>
    <row r="24" spans="1:5" s="148" customFormat="1" ht="28.7" customHeight="1" x14ac:dyDescent="0.25">
      <c r="A24" s="142" t="s">
        <v>173</v>
      </c>
      <c r="B24"/>
      <c r="C24"/>
      <c r="D24"/>
    </row>
    <row r="25" spans="1:5" x14ac:dyDescent="0.25">
      <c r="A25" s="149" t="s">
        <v>185</v>
      </c>
      <c r="C25" s="106">
        <f>570750-190533</f>
        <v>380217</v>
      </c>
      <c r="D25" s="144"/>
    </row>
    <row r="26" spans="1:5" x14ac:dyDescent="0.25">
      <c r="A26" t="s">
        <v>182</v>
      </c>
      <c r="C26" s="103">
        <f>55780+1122862+509303</f>
        <v>1687945</v>
      </c>
    </row>
    <row r="27" spans="1:5" x14ac:dyDescent="0.25">
      <c r="A27" t="s">
        <v>183</v>
      </c>
      <c r="C27" s="31">
        <f>137727+633204+860845</f>
        <v>1631776</v>
      </c>
    </row>
    <row r="28" spans="1:5" x14ac:dyDescent="0.25">
      <c r="A28" t="s">
        <v>186</v>
      </c>
      <c r="C28" s="143">
        <f>(9126042/12)*5</f>
        <v>3802517.5</v>
      </c>
      <c r="D28" t="s">
        <v>187</v>
      </c>
    </row>
    <row r="29" spans="1:5" x14ac:dyDescent="0.25">
      <c r="A29" t="s">
        <v>188</v>
      </c>
      <c r="C29" s="106">
        <f>SUM(C25:C28)</f>
        <v>7502455.5</v>
      </c>
    </row>
    <row r="30" spans="1:5" ht="17.25" x14ac:dyDescent="0.4">
      <c r="A30" t="s">
        <v>189</v>
      </c>
      <c r="C30" s="150">
        <f>350000/12*5</f>
        <v>145833.33333333334</v>
      </c>
    </row>
    <row r="31" spans="1:5" ht="17.25" x14ac:dyDescent="0.4">
      <c r="A31" t="s">
        <v>190</v>
      </c>
      <c r="C31" s="151">
        <f>SUM(C29:C30)</f>
        <v>7648288.833333333</v>
      </c>
    </row>
    <row r="33" spans="1:4" ht="36" customHeight="1" x14ac:dyDescent="0.25">
      <c r="A33" s="224" t="s">
        <v>191</v>
      </c>
      <c r="B33" s="224"/>
      <c r="C33" s="224"/>
      <c r="D33" s="148"/>
    </row>
  </sheetData>
  <mergeCells count="3">
    <mergeCell ref="A1:D1"/>
    <mergeCell ref="A2:D2"/>
    <mergeCell ref="A33:C33"/>
  </mergeCells>
  <printOptions horizontalCentered="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08876-67CF-4450-A8C5-A252A2DC39E2}">
  <sheetPr>
    <pageSetUpPr fitToPage="1"/>
  </sheetPr>
  <dimension ref="A2:O59"/>
  <sheetViews>
    <sheetView workbookViewId="0">
      <selection activeCell="K9" sqref="K9"/>
    </sheetView>
  </sheetViews>
  <sheetFormatPr defaultRowHeight="15" x14ac:dyDescent="0.25"/>
  <cols>
    <col min="1" max="1" width="18.140625" bestFit="1" customWidth="1"/>
    <col min="2" max="2" width="13.85546875" bestFit="1" customWidth="1"/>
    <col min="3" max="3" width="12.140625" customWidth="1"/>
    <col min="4" max="4" width="11" bestFit="1" customWidth="1"/>
    <col min="6" max="6" width="2.85546875" customWidth="1"/>
    <col min="7" max="7" width="13.5703125" bestFit="1" customWidth="1"/>
    <col min="8" max="8" width="12" bestFit="1" customWidth="1"/>
    <col min="10" max="10" width="13.140625" bestFit="1" customWidth="1"/>
    <col min="13" max="13" width="9.85546875" bestFit="1" customWidth="1"/>
  </cols>
  <sheetData>
    <row r="2" spans="1:15" ht="18.75" x14ac:dyDescent="0.3">
      <c r="A2" s="152" t="s">
        <v>29</v>
      </c>
    </row>
    <row r="3" spans="1:15" x14ac:dyDescent="0.25">
      <c r="A3" s="153" t="s">
        <v>192</v>
      </c>
    </row>
    <row r="4" spans="1:15" ht="19.5" thickBot="1" x14ac:dyDescent="0.35">
      <c r="A4" s="152"/>
    </row>
    <row r="5" spans="1:15" ht="15.75" thickBot="1" x14ac:dyDescent="0.3">
      <c r="B5" s="154" t="s">
        <v>193</v>
      </c>
      <c r="C5" s="155"/>
      <c r="D5" s="155"/>
      <c r="E5" s="156"/>
      <c r="G5" s="154" t="s">
        <v>194</v>
      </c>
      <c r="H5" s="155"/>
      <c r="I5" s="155"/>
      <c r="J5" s="155"/>
      <c r="K5" s="155"/>
      <c r="L5" s="156"/>
    </row>
    <row r="6" spans="1:15" ht="15.75" thickBot="1" x14ac:dyDescent="0.3">
      <c r="G6" s="157" t="s">
        <v>195</v>
      </c>
      <c r="H6" s="158"/>
      <c r="I6" s="159"/>
      <c r="J6" s="157" t="s">
        <v>196</v>
      </c>
      <c r="K6" s="158"/>
      <c r="L6" s="159"/>
    </row>
    <row r="7" spans="1:15" x14ac:dyDescent="0.25">
      <c r="B7" s="160" t="s">
        <v>195</v>
      </c>
      <c r="C7" s="160" t="s">
        <v>196</v>
      </c>
      <c r="D7" s="160" t="s">
        <v>184</v>
      </c>
      <c r="E7" s="160" t="s">
        <v>197</v>
      </c>
      <c r="G7" s="161" t="s">
        <v>198</v>
      </c>
      <c r="H7" s="162" t="s">
        <v>199</v>
      </c>
      <c r="I7" s="163" t="s">
        <v>200</v>
      </c>
      <c r="J7" s="161" t="s">
        <v>198</v>
      </c>
      <c r="K7" s="162" t="s">
        <v>199</v>
      </c>
      <c r="L7" s="163" t="s">
        <v>200</v>
      </c>
    </row>
    <row r="8" spans="1:15" x14ac:dyDescent="0.25">
      <c r="A8" t="s">
        <v>201</v>
      </c>
      <c r="B8" s="106">
        <v>1778129</v>
      </c>
      <c r="C8" s="106">
        <v>1333300</v>
      </c>
      <c r="D8" s="144">
        <f>SUM(B8:C8)</f>
        <v>3111429</v>
      </c>
      <c r="E8" s="164">
        <f>D8/D$19</f>
        <v>0.73434700629053429</v>
      </c>
      <c r="G8" s="165">
        <v>0.60906994269888759</v>
      </c>
      <c r="H8" s="3">
        <v>5.8310667480621558E-4</v>
      </c>
      <c r="I8" s="166">
        <v>0</v>
      </c>
      <c r="J8" s="165">
        <v>0.50985820124004255</v>
      </c>
      <c r="K8" s="198">
        <v>8.3403109516099101E-4</v>
      </c>
      <c r="L8" s="166">
        <v>0</v>
      </c>
      <c r="M8" s="194"/>
      <c r="N8" s="194"/>
      <c r="O8" s="194"/>
    </row>
    <row r="9" spans="1:15" x14ac:dyDescent="0.25">
      <c r="A9" t="s">
        <v>202</v>
      </c>
      <c r="B9" s="106">
        <v>0</v>
      </c>
      <c r="C9" s="106">
        <v>71578</v>
      </c>
      <c r="D9" s="144">
        <f t="shared" ref="D9:D18" si="0">SUM(B9:C9)</f>
        <v>71578</v>
      </c>
      <c r="E9" s="164">
        <f t="shared" ref="E9:E18" si="1">D9/D$19</f>
        <v>1.6893552774710226E-2</v>
      </c>
      <c r="G9" s="165">
        <v>0</v>
      </c>
      <c r="H9" s="3">
        <v>0</v>
      </c>
      <c r="I9" s="166">
        <v>0</v>
      </c>
      <c r="J9" s="165">
        <v>0.41750488895671439</v>
      </c>
      <c r="K9" s="3">
        <v>1.4599583144894599E-4</v>
      </c>
      <c r="L9" s="166">
        <v>0</v>
      </c>
      <c r="M9" s="194"/>
      <c r="N9" s="194"/>
      <c r="O9" s="194"/>
    </row>
    <row r="10" spans="1:15" x14ac:dyDescent="0.25">
      <c r="A10" t="s">
        <v>203</v>
      </c>
      <c r="B10" s="106">
        <v>0</v>
      </c>
      <c r="C10" s="106">
        <v>798058</v>
      </c>
      <c r="D10" s="144">
        <f t="shared" si="0"/>
        <v>798058</v>
      </c>
      <c r="E10" s="164">
        <f t="shared" si="1"/>
        <v>0.18835445165106168</v>
      </c>
      <c r="G10" s="165">
        <v>0</v>
      </c>
      <c r="H10" s="3">
        <v>0</v>
      </c>
      <c r="I10" s="166">
        <v>0</v>
      </c>
      <c r="J10" s="165">
        <v>10.510384666345471</v>
      </c>
      <c r="K10" s="3">
        <v>0</v>
      </c>
      <c r="L10" s="166">
        <v>0.10062490442928619</v>
      </c>
    </row>
    <row r="11" spans="1:15" x14ac:dyDescent="0.25">
      <c r="A11" t="s">
        <v>204</v>
      </c>
      <c r="B11" s="106">
        <v>0</v>
      </c>
      <c r="C11" s="106">
        <v>76387</v>
      </c>
      <c r="D11" s="144">
        <f t="shared" si="0"/>
        <v>76387</v>
      </c>
      <c r="E11" s="164">
        <f t="shared" si="1"/>
        <v>1.802855368691204E-2</v>
      </c>
      <c r="G11" s="165">
        <v>0</v>
      </c>
      <c r="H11" s="3">
        <v>0</v>
      </c>
      <c r="I11" s="166">
        <v>0</v>
      </c>
      <c r="J11" s="165">
        <v>85.367763359557443</v>
      </c>
      <c r="K11" s="3">
        <v>0</v>
      </c>
      <c r="L11" s="166">
        <v>4.217174768106546E-3</v>
      </c>
    </row>
    <row r="12" spans="1:15" x14ac:dyDescent="0.25">
      <c r="A12" t="s">
        <v>205</v>
      </c>
      <c r="B12" s="106">
        <v>0</v>
      </c>
      <c r="C12" s="106">
        <v>94269</v>
      </c>
      <c r="D12" s="144">
        <f t="shared" si="0"/>
        <v>94269</v>
      </c>
      <c r="E12" s="164">
        <f t="shared" si="1"/>
        <v>2.224899168067225E-2</v>
      </c>
      <c r="G12" s="165">
        <v>0</v>
      </c>
      <c r="H12" s="3">
        <v>0</v>
      </c>
      <c r="I12" s="166">
        <v>0</v>
      </c>
      <c r="J12" s="165">
        <v>601.71704914447662</v>
      </c>
      <c r="K12" s="3">
        <v>0</v>
      </c>
      <c r="L12" s="166">
        <v>0</v>
      </c>
    </row>
    <row r="13" spans="1:15" x14ac:dyDescent="0.25">
      <c r="A13" t="s">
        <v>206</v>
      </c>
      <c r="B13" s="106">
        <v>0</v>
      </c>
      <c r="C13" s="106">
        <v>2650</v>
      </c>
      <c r="D13" s="144">
        <f t="shared" si="0"/>
        <v>2650</v>
      </c>
      <c r="E13" s="164">
        <f t="shared" si="1"/>
        <v>6.2544238247760626E-4</v>
      </c>
      <c r="G13" s="165">
        <v>0</v>
      </c>
      <c r="H13" s="3">
        <v>0</v>
      </c>
      <c r="I13" s="166">
        <v>0</v>
      </c>
      <c r="J13" s="165">
        <v>0</v>
      </c>
      <c r="K13" s="3">
        <v>0</v>
      </c>
      <c r="L13" s="166">
        <v>0</v>
      </c>
    </row>
    <row r="14" spans="1:15" x14ac:dyDescent="0.25">
      <c r="A14" t="s">
        <v>207</v>
      </c>
      <c r="B14" s="106">
        <v>8038</v>
      </c>
      <c r="C14" s="106">
        <v>10953</v>
      </c>
      <c r="D14" s="144">
        <f t="shared" si="0"/>
        <v>18991</v>
      </c>
      <c r="E14" s="164">
        <f t="shared" si="1"/>
        <v>4.4821797304272527E-3</v>
      </c>
      <c r="G14" s="165">
        <v>0.50791892854439469</v>
      </c>
      <c r="H14" s="3">
        <v>3.3848593930436755E-4</v>
      </c>
      <c r="I14" s="166">
        <v>0</v>
      </c>
      <c r="J14" s="165">
        <v>0.89702016592457767</v>
      </c>
      <c r="K14" s="3">
        <v>7.8245761962249293E-4</v>
      </c>
      <c r="L14" s="166">
        <v>0</v>
      </c>
    </row>
    <row r="15" spans="1:15" x14ac:dyDescent="0.25">
      <c r="A15" t="s">
        <v>208</v>
      </c>
      <c r="B15" s="106">
        <v>0</v>
      </c>
      <c r="C15" s="106">
        <v>4418</v>
      </c>
      <c r="D15" s="144">
        <f t="shared" si="0"/>
        <v>4418</v>
      </c>
      <c r="E15" s="164">
        <f t="shared" si="1"/>
        <v>1.0427186587871941E-3</v>
      </c>
      <c r="G15" s="165">
        <v>0</v>
      </c>
      <c r="H15" s="3">
        <v>0</v>
      </c>
      <c r="I15" s="166">
        <v>0</v>
      </c>
      <c r="J15" s="165">
        <v>0</v>
      </c>
      <c r="K15" s="3">
        <v>0</v>
      </c>
      <c r="L15" s="166">
        <v>0</v>
      </c>
    </row>
    <row r="16" spans="1:15" x14ac:dyDescent="0.25">
      <c r="A16" t="s">
        <v>209</v>
      </c>
      <c r="B16" s="106">
        <v>0</v>
      </c>
      <c r="C16" s="106">
        <v>130</v>
      </c>
      <c r="D16" s="144">
        <f t="shared" si="0"/>
        <v>130</v>
      </c>
      <c r="E16" s="164">
        <f t="shared" si="1"/>
        <v>3.0682079140410868E-5</v>
      </c>
      <c r="G16" s="165">
        <v>0</v>
      </c>
      <c r="H16" s="3">
        <v>0</v>
      </c>
      <c r="I16" s="166">
        <v>0</v>
      </c>
      <c r="J16" s="165">
        <v>0</v>
      </c>
      <c r="K16" s="3">
        <v>0</v>
      </c>
      <c r="L16" s="166">
        <v>0</v>
      </c>
    </row>
    <row r="17" spans="1:13" x14ac:dyDescent="0.25">
      <c r="A17" t="s">
        <v>210</v>
      </c>
      <c r="B17" s="106">
        <v>0</v>
      </c>
      <c r="C17" s="106">
        <v>28180</v>
      </c>
      <c r="D17" s="144">
        <f t="shared" si="0"/>
        <v>28180</v>
      </c>
      <c r="E17" s="164">
        <f t="shared" si="1"/>
        <v>6.6509306936675255E-3</v>
      </c>
      <c r="G17" s="165">
        <v>0</v>
      </c>
      <c r="H17" s="3">
        <v>0</v>
      </c>
      <c r="I17" s="166">
        <v>0</v>
      </c>
      <c r="J17" s="165">
        <v>1127.199673770104</v>
      </c>
      <c r="K17" s="3">
        <v>0</v>
      </c>
      <c r="L17" s="166">
        <v>0</v>
      </c>
    </row>
    <row r="18" spans="1:13" ht="18" thickBot="1" x14ac:dyDescent="0.45">
      <c r="A18" t="s">
        <v>211</v>
      </c>
      <c r="B18" s="167">
        <v>0</v>
      </c>
      <c r="C18" s="167">
        <v>30911</v>
      </c>
      <c r="D18" s="168">
        <f t="shared" si="0"/>
        <v>30911</v>
      </c>
      <c r="E18" s="169">
        <f t="shared" si="1"/>
        <v>7.2954903716095417E-3</v>
      </c>
      <c r="G18" s="170">
        <v>0</v>
      </c>
      <c r="H18" s="171">
        <v>0</v>
      </c>
      <c r="I18" s="172">
        <v>0</v>
      </c>
      <c r="J18" s="170">
        <v>772.77266183765914</v>
      </c>
      <c r="K18" s="171">
        <v>0</v>
      </c>
      <c r="L18" s="172">
        <v>0</v>
      </c>
    </row>
    <row r="19" spans="1:13" ht="15.75" thickBot="1" x14ac:dyDescent="0.3">
      <c r="A19" t="s">
        <v>184</v>
      </c>
      <c r="B19" s="144">
        <f>SUM(B8:B18)</f>
        <v>1786167</v>
      </c>
      <c r="C19" s="144">
        <f>SUM(C8:C18)</f>
        <v>2450834</v>
      </c>
      <c r="D19" s="144">
        <f>SUM(D8:D18)</f>
        <v>4237001</v>
      </c>
      <c r="E19" s="173">
        <f>SUM(E8:E18)</f>
        <v>1.0000000000000002</v>
      </c>
    </row>
    <row r="20" spans="1:13" ht="15.75" thickBot="1" x14ac:dyDescent="0.3">
      <c r="G20" s="154" t="s">
        <v>212</v>
      </c>
      <c r="H20" s="155"/>
      <c r="I20" s="155"/>
      <c r="J20" s="155"/>
      <c r="K20" s="155"/>
      <c r="L20" s="156"/>
      <c r="M20" s="156"/>
    </row>
    <row r="21" spans="1:13" ht="15.75" thickBot="1" x14ac:dyDescent="0.3">
      <c r="G21" s="174" t="s">
        <v>195</v>
      </c>
      <c r="H21" s="175"/>
      <c r="I21" s="176"/>
      <c r="J21" s="174" t="s">
        <v>196</v>
      </c>
      <c r="K21" s="175"/>
      <c r="L21" s="175"/>
      <c r="M21" s="177" t="s">
        <v>213</v>
      </c>
    </row>
    <row r="22" spans="1:13" ht="15.75" thickBot="1" x14ac:dyDescent="0.3">
      <c r="G22" s="178" t="s">
        <v>198</v>
      </c>
      <c r="H22" s="179" t="s">
        <v>199</v>
      </c>
      <c r="I22" s="180" t="s">
        <v>184</v>
      </c>
      <c r="J22" s="178" t="s">
        <v>198</v>
      </c>
      <c r="K22" s="179" t="s">
        <v>199</v>
      </c>
      <c r="L22" s="179" t="s">
        <v>184</v>
      </c>
      <c r="M22" s="181" t="s">
        <v>184</v>
      </c>
    </row>
    <row r="23" spans="1:13" x14ac:dyDescent="0.25">
      <c r="A23" t="s">
        <v>201</v>
      </c>
      <c r="G23" s="182">
        <v>0.60906994269888759</v>
      </c>
      <c r="H23" s="16">
        <v>2.7720891320287491</v>
      </c>
      <c r="I23" s="183">
        <f>G23+H23</f>
        <v>3.3811590747276368</v>
      </c>
      <c r="J23" s="182">
        <v>0.50985820124004255</v>
      </c>
      <c r="K23" s="16">
        <v>2.9174407708731476</v>
      </c>
      <c r="L23" s="95">
        <f>J23+K23</f>
        <v>3.4272989721131903</v>
      </c>
      <c r="M23" s="184">
        <f>I23+L23</f>
        <v>6.8084580468408271</v>
      </c>
    </row>
    <row r="24" spans="1:13" x14ac:dyDescent="0.25">
      <c r="A24" t="s">
        <v>207</v>
      </c>
      <c r="G24" s="182">
        <v>0.50791892854439469</v>
      </c>
      <c r="H24" s="16">
        <v>3.7605787856715236</v>
      </c>
      <c r="I24" s="183">
        <f>G24+H24</f>
        <v>4.2684977142159184</v>
      </c>
      <c r="J24" s="182">
        <v>0.89702016592457767</v>
      </c>
      <c r="K24" s="16">
        <v>5.2894135086480523</v>
      </c>
      <c r="L24" s="95">
        <f>J24+K24</f>
        <v>6.1864336745726298</v>
      </c>
      <c r="M24" s="184">
        <f>I24+L24</f>
        <v>10.454931388788548</v>
      </c>
    </row>
    <row r="25" spans="1:13" x14ac:dyDescent="0.25">
      <c r="G25" s="185"/>
      <c r="H25" s="13"/>
      <c r="I25" s="186"/>
      <c r="J25" s="182"/>
      <c r="K25" s="13"/>
      <c r="L25" s="13"/>
      <c r="M25" s="187"/>
    </row>
    <row r="26" spans="1:13" ht="15.75" thickBot="1" x14ac:dyDescent="0.3">
      <c r="A26" t="s">
        <v>202</v>
      </c>
      <c r="G26" s="188">
        <v>0</v>
      </c>
      <c r="H26" s="189">
        <v>0</v>
      </c>
      <c r="I26" s="190">
        <f>G26+H26</f>
        <v>0</v>
      </c>
      <c r="J26" s="188">
        <v>0.41750488895671439</v>
      </c>
      <c r="K26" s="191">
        <v>0.33403846235518925</v>
      </c>
      <c r="L26" s="189">
        <f>J26+K26</f>
        <v>0.75154335131190364</v>
      </c>
      <c r="M26" s="192">
        <f>I26+L26</f>
        <v>0.75154335131190364</v>
      </c>
    </row>
    <row r="30" spans="1:13" ht="18.75" x14ac:dyDescent="0.3">
      <c r="A30" s="152" t="s">
        <v>214</v>
      </c>
    </row>
    <row r="31" spans="1:13" x14ac:dyDescent="0.25">
      <c r="A31" s="153" t="s">
        <v>192</v>
      </c>
    </row>
    <row r="32" spans="1:13" ht="15.75" thickBot="1" x14ac:dyDescent="0.3"/>
    <row r="33" spans="1:15" ht="15.75" thickBot="1" x14ac:dyDescent="0.3">
      <c r="B33" s="154" t="s">
        <v>215</v>
      </c>
      <c r="C33" s="155"/>
      <c r="D33" s="155"/>
      <c r="E33" s="156"/>
      <c r="G33" s="154" t="s">
        <v>194</v>
      </c>
      <c r="H33" s="155"/>
      <c r="I33" s="155"/>
      <c r="J33" s="155"/>
      <c r="K33" s="155"/>
      <c r="L33" s="156"/>
    </row>
    <row r="34" spans="1:15" ht="15.75" thickBot="1" x14ac:dyDescent="0.3">
      <c r="G34" s="157" t="s">
        <v>195</v>
      </c>
      <c r="H34" s="158"/>
      <c r="I34" s="159"/>
      <c r="J34" s="157" t="s">
        <v>196</v>
      </c>
      <c r="K34" s="158"/>
      <c r="L34" s="159"/>
    </row>
    <row r="35" spans="1:15" x14ac:dyDescent="0.25">
      <c r="B35" s="160" t="s">
        <v>195</v>
      </c>
      <c r="C35" s="160" t="s">
        <v>196</v>
      </c>
      <c r="D35" s="160" t="s">
        <v>184</v>
      </c>
      <c r="E35" s="160" t="s">
        <v>197</v>
      </c>
      <c r="G35" s="161"/>
      <c r="H35" s="162" t="s">
        <v>199</v>
      </c>
      <c r="I35" s="163" t="s">
        <v>200</v>
      </c>
      <c r="J35" s="161"/>
      <c r="K35" s="162" t="s">
        <v>199</v>
      </c>
      <c r="L35" s="163" t="s">
        <v>200</v>
      </c>
    </row>
    <row r="36" spans="1:15" x14ac:dyDescent="0.25">
      <c r="A36" t="s">
        <v>201</v>
      </c>
      <c r="B36" s="106">
        <v>2492385.8291072873</v>
      </c>
      <c r="C36" s="106">
        <v>1953455</v>
      </c>
      <c r="D36" s="144">
        <f>SUM(B36:C36)</f>
        <v>4445840.8291072873</v>
      </c>
      <c r="E36" s="164">
        <f>D36/D$47</f>
        <v>0.47690675625365797</v>
      </c>
      <c r="G36" s="165"/>
      <c r="H36" s="3">
        <v>2.2718445060436934E-3</v>
      </c>
      <c r="I36" s="166">
        <v>0</v>
      </c>
      <c r="J36" s="165"/>
      <c r="K36" s="3">
        <v>2.4153850278577321E-3</v>
      </c>
      <c r="L36" s="166">
        <v>0</v>
      </c>
      <c r="M36" s="195">
        <f>H36*7</f>
        <v>1.5902911542305852E-2</v>
      </c>
      <c r="N36" s="195">
        <f>K36*5</f>
        <v>1.2076925139288661E-2</v>
      </c>
      <c r="O36" s="195">
        <f>N36+M36</f>
        <v>2.7979836681594511E-2</v>
      </c>
    </row>
    <row r="37" spans="1:15" x14ac:dyDescent="0.25">
      <c r="A37" t="s">
        <v>202</v>
      </c>
      <c r="B37" s="106">
        <v>181146.09325254403</v>
      </c>
      <c r="C37" s="106">
        <v>149267.08333333334</v>
      </c>
      <c r="D37" s="144">
        <f t="shared" ref="D37:D46" si="2">SUM(B37:C37)</f>
        <v>330413.17658587737</v>
      </c>
      <c r="E37" s="164">
        <f t="shared" ref="E37:E46" si="3">D37/D$47</f>
        <v>3.5443526281321851E-2</v>
      </c>
      <c r="G37" s="165"/>
      <c r="H37" s="3">
        <v>2.0157142857142856E-3</v>
      </c>
      <c r="I37" s="166">
        <v>0</v>
      </c>
      <c r="J37" s="165"/>
      <c r="K37" s="3">
        <v>2.2817532572647005E-3</v>
      </c>
      <c r="L37" s="166">
        <v>0</v>
      </c>
      <c r="M37" s="195">
        <f>H37*7</f>
        <v>1.4109999999999999E-2</v>
      </c>
      <c r="N37" s="195">
        <f>K37*5</f>
        <v>1.1408766286323502E-2</v>
      </c>
      <c r="O37" s="195">
        <f>N37+M37</f>
        <v>2.5518766286323501E-2</v>
      </c>
    </row>
    <row r="38" spans="1:15" x14ac:dyDescent="0.25">
      <c r="A38" t="s">
        <v>203</v>
      </c>
      <c r="B38" s="106">
        <v>1477537.42992398</v>
      </c>
      <c r="C38" s="106">
        <v>1347053.75</v>
      </c>
      <c r="D38" s="144">
        <f t="shared" si="2"/>
        <v>2824591.17992398</v>
      </c>
      <c r="E38" s="164">
        <f t="shared" si="3"/>
        <v>0.30299479201794205</v>
      </c>
      <c r="G38" s="165"/>
      <c r="H38" s="3">
        <v>2.0157142857142856E-3</v>
      </c>
      <c r="I38" s="166">
        <v>0</v>
      </c>
      <c r="J38" s="165"/>
      <c r="K38" s="3">
        <v>0</v>
      </c>
      <c r="L38" s="166">
        <v>0.7409261482315701</v>
      </c>
    </row>
    <row r="39" spans="1:15" x14ac:dyDescent="0.25">
      <c r="A39" t="s">
        <v>204</v>
      </c>
      <c r="B39" s="106">
        <v>234438.18351635311</v>
      </c>
      <c r="C39" s="106">
        <v>184123.75</v>
      </c>
      <c r="D39" s="144">
        <f t="shared" si="2"/>
        <v>418561.93351635314</v>
      </c>
      <c r="E39" s="164">
        <f t="shared" si="3"/>
        <v>4.4899271403880954E-2</v>
      </c>
      <c r="G39" s="165"/>
      <c r="H39" s="3">
        <v>2.0157142857142856E-3</v>
      </c>
      <c r="I39" s="166">
        <v>0</v>
      </c>
      <c r="J39" s="165"/>
      <c r="K39" s="3">
        <v>0</v>
      </c>
      <c r="L39" s="166">
        <v>0.80475279042958681</v>
      </c>
    </row>
    <row r="40" spans="1:15" x14ac:dyDescent="0.25">
      <c r="A40" t="s">
        <v>205</v>
      </c>
      <c r="B40" s="106">
        <v>295456.11592328892</v>
      </c>
      <c r="C40" s="106">
        <v>243369.16666666669</v>
      </c>
      <c r="D40" s="144">
        <f t="shared" si="2"/>
        <v>538825.2825899556</v>
      </c>
      <c r="E40" s="164">
        <f t="shared" si="3"/>
        <v>5.7799959014509995E-2</v>
      </c>
      <c r="G40" s="165"/>
      <c r="H40" s="3">
        <v>2.0157142857142856E-3</v>
      </c>
      <c r="I40" s="166">
        <v>0</v>
      </c>
      <c r="J40" s="165"/>
      <c r="K40" s="3">
        <v>0</v>
      </c>
      <c r="L40" s="166">
        <v>0.97454867020389091</v>
      </c>
    </row>
    <row r="41" spans="1:15" x14ac:dyDescent="0.25">
      <c r="A41" t="s">
        <v>206</v>
      </c>
      <c r="B41" s="106">
        <v>14540.66072081361</v>
      </c>
      <c r="C41" s="106">
        <v>10487.083333333332</v>
      </c>
      <c r="D41" s="144">
        <f t="shared" si="2"/>
        <v>25027.74405414694</v>
      </c>
      <c r="E41" s="164">
        <f t="shared" si="3"/>
        <v>2.6847340451472456E-3</v>
      </c>
      <c r="G41" s="165"/>
      <c r="H41" s="3">
        <v>2.0157142857142856E-3</v>
      </c>
      <c r="I41" s="166">
        <v>0</v>
      </c>
      <c r="J41" s="165"/>
      <c r="K41" s="3">
        <v>0</v>
      </c>
      <c r="L41" s="166">
        <v>0</v>
      </c>
    </row>
    <row r="42" spans="1:15" x14ac:dyDescent="0.25">
      <c r="A42" t="s">
        <v>207</v>
      </c>
      <c r="B42" s="106">
        <v>23918.084159939597</v>
      </c>
      <c r="C42" s="106">
        <v>17182.916666666668</v>
      </c>
      <c r="D42" s="144">
        <f t="shared" si="2"/>
        <v>41101.000826606265</v>
      </c>
      <c r="E42" s="164">
        <f t="shared" si="3"/>
        <v>4.4089173986311169E-3</v>
      </c>
      <c r="G42" s="165"/>
      <c r="H42" s="3">
        <v>2.1329392857142855E-3</v>
      </c>
      <c r="I42" s="166">
        <v>0</v>
      </c>
      <c r="J42" s="165"/>
      <c r="K42" s="3">
        <v>2.1670520231213872E-3</v>
      </c>
      <c r="L42" s="166">
        <v>0</v>
      </c>
    </row>
    <row r="43" spans="1:15" x14ac:dyDescent="0.25">
      <c r="A43" t="s">
        <v>208</v>
      </c>
      <c r="B43" s="106">
        <v>21651.365504579797</v>
      </c>
      <c r="C43" s="106">
        <v>14681.666666666668</v>
      </c>
      <c r="D43" s="144">
        <f t="shared" si="2"/>
        <v>36333.032171246465</v>
      </c>
      <c r="E43" s="164">
        <f t="shared" si="3"/>
        <v>3.8974558882550591E-3</v>
      </c>
      <c r="G43" s="165"/>
      <c r="H43" s="3">
        <v>2.0157142857142856E-3</v>
      </c>
      <c r="I43" s="166">
        <v>0</v>
      </c>
      <c r="J43" s="165"/>
      <c r="K43" s="3">
        <v>0</v>
      </c>
      <c r="L43" s="166">
        <v>0</v>
      </c>
    </row>
    <row r="44" spans="1:15" x14ac:dyDescent="0.25">
      <c r="A44" t="s">
        <v>209</v>
      </c>
      <c r="B44" s="106">
        <v>1036.4676549203143</v>
      </c>
      <c r="C44" s="106">
        <v>2165.8333333333335</v>
      </c>
      <c r="D44" s="144">
        <f t="shared" si="2"/>
        <v>3202.300988253648</v>
      </c>
      <c r="E44" s="164">
        <f t="shared" si="3"/>
        <v>3.4351184299204608E-4</v>
      </c>
      <c r="G44" s="165"/>
      <c r="H44" s="3">
        <v>2.0157142857142856E-3</v>
      </c>
      <c r="I44" s="166">
        <v>0</v>
      </c>
      <c r="J44" s="165"/>
      <c r="K44" s="3">
        <v>0</v>
      </c>
      <c r="L44" s="166">
        <v>0</v>
      </c>
    </row>
    <row r="45" spans="1:15" x14ac:dyDescent="0.25">
      <c r="A45" t="s">
        <v>210</v>
      </c>
      <c r="B45" s="106">
        <v>175650.85296427939</v>
      </c>
      <c r="C45" s="106">
        <v>98434.583333333343</v>
      </c>
      <c r="D45" s="144">
        <f t="shared" si="2"/>
        <v>274085.43629761273</v>
      </c>
      <c r="E45" s="164">
        <f t="shared" si="3"/>
        <v>2.9401231709707869E-2</v>
      </c>
      <c r="G45" s="165"/>
      <c r="H45" s="3">
        <v>2.0157142857142856E-3</v>
      </c>
      <c r="I45" s="166">
        <v>0</v>
      </c>
      <c r="J45" s="165"/>
      <c r="K45" s="3">
        <v>0</v>
      </c>
      <c r="L45" s="166">
        <v>1.5933834687889927</v>
      </c>
    </row>
    <row r="46" spans="1:15" ht="18" thickBot="1" x14ac:dyDescent="0.45">
      <c r="A46" t="s">
        <v>211</v>
      </c>
      <c r="B46" s="167">
        <v>332440.16727201361</v>
      </c>
      <c r="C46" s="167">
        <v>51821.25</v>
      </c>
      <c r="D46" s="168">
        <f t="shared" si="2"/>
        <v>384261.41727201361</v>
      </c>
      <c r="E46" s="169">
        <f t="shared" si="3"/>
        <v>4.1219844143953938E-2</v>
      </c>
      <c r="G46" s="170"/>
      <c r="H46" s="171">
        <v>2.0157142857142856E-3</v>
      </c>
      <c r="I46" s="172">
        <v>0</v>
      </c>
      <c r="J46" s="170"/>
      <c r="K46" s="171">
        <v>0</v>
      </c>
      <c r="L46" s="172">
        <v>0.31956124596279994</v>
      </c>
    </row>
    <row r="47" spans="1:15" ht="15.75" thickBot="1" x14ac:dyDescent="0.3">
      <c r="A47" t="s">
        <v>184</v>
      </c>
      <c r="B47" s="144">
        <f>SUM(B36:B46)</f>
        <v>5250201.25</v>
      </c>
      <c r="C47" s="144">
        <f>SUM(C36:C46)</f>
        <v>4072042.0833333335</v>
      </c>
      <c r="D47" s="144">
        <f>SUM(D36:D46)</f>
        <v>9322243.3333333321</v>
      </c>
      <c r="E47" s="173">
        <f>SUM(E36:E46)</f>
        <v>1</v>
      </c>
    </row>
    <row r="48" spans="1:15" ht="15.75" thickBot="1" x14ac:dyDescent="0.3">
      <c r="G48" s="154" t="s">
        <v>212</v>
      </c>
      <c r="H48" s="155"/>
      <c r="I48" s="155"/>
      <c r="J48" s="155"/>
      <c r="K48" s="155"/>
      <c r="L48" s="156"/>
      <c r="M48" s="156"/>
    </row>
    <row r="49" spans="1:15" ht="15.75" thickBot="1" x14ac:dyDescent="0.3">
      <c r="G49" s="174" t="s">
        <v>195</v>
      </c>
      <c r="H49" s="175"/>
      <c r="I49" s="176"/>
      <c r="J49" s="174" t="s">
        <v>196</v>
      </c>
      <c r="K49" s="175"/>
      <c r="L49" s="175"/>
      <c r="M49" s="177" t="s">
        <v>213</v>
      </c>
    </row>
    <row r="50" spans="1:15" ht="15.75" thickBot="1" x14ac:dyDescent="0.3">
      <c r="G50" s="178"/>
      <c r="H50" s="179" t="s">
        <v>199</v>
      </c>
      <c r="I50" s="180"/>
      <c r="J50" s="178"/>
      <c r="K50" s="179" t="s">
        <v>199</v>
      </c>
      <c r="L50" s="179"/>
      <c r="M50" s="181" t="s">
        <v>184</v>
      </c>
    </row>
    <row r="51" spans="1:15" x14ac:dyDescent="0.25">
      <c r="A51" t="s">
        <v>201</v>
      </c>
      <c r="G51" s="182"/>
      <c r="H51" s="16">
        <v>10.800348781731699</v>
      </c>
      <c r="I51" s="183"/>
      <c r="J51" s="182"/>
      <c r="K51" s="16">
        <v>8.44901682744635</v>
      </c>
      <c r="L51" s="95"/>
      <c r="M51" s="193">
        <f>H51+K51</f>
        <v>19.249365609178049</v>
      </c>
      <c r="N51" s="197"/>
      <c r="O51" s="197"/>
    </row>
    <row r="52" spans="1:15" x14ac:dyDescent="0.25">
      <c r="A52" t="s">
        <v>207</v>
      </c>
      <c r="G52" s="182"/>
      <c r="H52" s="16">
        <v>23.696955464285711</v>
      </c>
      <c r="I52" s="183"/>
      <c r="J52" s="182"/>
      <c r="K52" s="16">
        <v>14.649271676300577</v>
      </c>
      <c r="L52" s="95"/>
      <c r="M52" s="184">
        <f>H52+K52</f>
        <v>38.346227140586286</v>
      </c>
    </row>
    <row r="53" spans="1:15" x14ac:dyDescent="0.25">
      <c r="G53" s="185"/>
      <c r="H53" s="13"/>
      <c r="I53" s="186"/>
      <c r="J53" s="182"/>
      <c r="K53" s="13"/>
      <c r="L53" s="13"/>
      <c r="M53" s="187"/>
    </row>
    <row r="54" spans="1:15" ht="15.75" thickBot="1" x14ac:dyDescent="0.3">
      <c r="A54" t="s">
        <v>202</v>
      </c>
      <c r="G54" s="188"/>
      <c r="H54" s="189">
        <v>6.9925128571428568</v>
      </c>
      <c r="I54" s="190"/>
      <c r="J54" s="188"/>
      <c r="K54" s="191">
        <v>5.2206514526216345</v>
      </c>
      <c r="L54" s="189"/>
      <c r="M54" s="192">
        <f>H54+K54</f>
        <v>12.21316430976449</v>
      </c>
    </row>
    <row r="59" spans="1:15" x14ac:dyDescent="0.25">
      <c r="A59" t="s">
        <v>216</v>
      </c>
    </row>
  </sheetData>
  <pageMargins left="0.7" right="0.7" top="0.75" bottom="0.75" header="0.3" footer="0.3"/>
  <pageSetup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6F049-080F-4E45-8063-E636B8866777}">
  <dimension ref="A1:G48"/>
  <sheetViews>
    <sheetView topLeftCell="A19" workbookViewId="0">
      <selection activeCell="F37" sqref="F37"/>
    </sheetView>
  </sheetViews>
  <sheetFormatPr defaultRowHeight="15" x14ac:dyDescent="0.25"/>
  <sheetData>
    <row r="1" spans="1:1" x14ac:dyDescent="0.25">
      <c r="A1" s="85" t="s">
        <v>30</v>
      </c>
    </row>
    <row r="2" spans="1:1" ht="17.25" x14ac:dyDescent="0.25">
      <c r="A2" s="86" t="s">
        <v>130</v>
      </c>
    </row>
    <row r="3" spans="1:1" x14ac:dyDescent="0.25">
      <c r="A3" s="130"/>
    </row>
    <row r="4" spans="1:1" x14ac:dyDescent="0.25">
      <c r="A4" s="89" t="s">
        <v>131</v>
      </c>
    </row>
    <row r="5" spans="1:1" x14ac:dyDescent="0.25">
      <c r="A5" s="131" t="s">
        <v>132</v>
      </c>
    </row>
    <row r="6" spans="1:1" x14ac:dyDescent="0.25">
      <c r="A6" s="131" t="s">
        <v>133</v>
      </c>
    </row>
    <row r="7" spans="1:1" x14ac:dyDescent="0.25">
      <c r="A7" s="130" t="s">
        <v>56</v>
      </c>
    </row>
    <row r="8" spans="1:1" x14ac:dyDescent="0.25">
      <c r="A8" s="132"/>
    </row>
    <row r="9" spans="1:1" x14ac:dyDescent="0.25">
      <c r="A9" s="89" t="s">
        <v>134</v>
      </c>
    </row>
    <row r="10" spans="1:1" x14ac:dyDescent="0.25">
      <c r="A10" s="131" t="s">
        <v>135</v>
      </c>
    </row>
    <row r="11" spans="1:1" x14ac:dyDescent="0.25">
      <c r="A11" s="131" t="s">
        <v>136</v>
      </c>
    </row>
    <row r="12" spans="1:1" x14ac:dyDescent="0.25">
      <c r="A12" s="133"/>
    </row>
    <row r="13" spans="1:1" x14ac:dyDescent="0.25">
      <c r="A13" s="89" t="s">
        <v>137</v>
      </c>
    </row>
    <row r="14" spans="1:1" x14ac:dyDescent="0.25">
      <c r="A14" s="89" t="s">
        <v>138</v>
      </c>
    </row>
    <row r="15" spans="1:1" x14ac:dyDescent="0.25">
      <c r="A15" s="134"/>
    </row>
    <row r="16" spans="1:1" x14ac:dyDescent="0.25">
      <c r="A16" s="85" t="s">
        <v>38</v>
      </c>
    </row>
    <row r="17" spans="1:1" x14ac:dyDescent="0.25">
      <c r="A17" s="89" t="s">
        <v>139</v>
      </c>
    </row>
    <row r="18" spans="1:1" x14ac:dyDescent="0.25">
      <c r="A18" s="131" t="s">
        <v>140</v>
      </c>
    </row>
    <row r="19" spans="1:1" x14ac:dyDescent="0.25">
      <c r="A19" s="131" t="s">
        <v>141</v>
      </c>
    </row>
    <row r="20" spans="1:1" x14ac:dyDescent="0.25">
      <c r="A20" s="131" t="s">
        <v>169</v>
      </c>
    </row>
    <row r="21" spans="1:1" x14ac:dyDescent="0.25">
      <c r="A21" s="131" t="s">
        <v>142</v>
      </c>
    </row>
    <row r="22" spans="1:1" x14ac:dyDescent="0.25">
      <c r="A22" s="86" t="s">
        <v>143</v>
      </c>
    </row>
    <row r="23" spans="1:1" x14ac:dyDescent="0.25">
      <c r="A23" s="131" t="s">
        <v>144</v>
      </c>
    </row>
    <row r="24" spans="1:1" x14ac:dyDescent="0.25">
      <c r="A24" s="135" t="s">
        <v>145</v>
      </c>
    </row>
    <row r="25" spans="1:1" x14ac:dyDescent="0.25">
      <c r="A25" s="135" t="s">
        <v>146</v>
      </c>
    </row>
    <row r="26" spans="1:1" x14ac:dyDescent="0.25">
      <c r="A26" s="131" t="s">
        <v>147</v>
      </c>
    </row>
    <row r="27" spans="1:1" x14ac:dyDescent="0.25">
      <c r="A27" s="135" t="s">
        <v>148</v>
      </c>
    </row>
    <row r="28" spans="1:1" x14ac:dyDescent="0.25">
      <c r="A28" s="135" t="s">
        <v>149</v>
      </c>
    </row>
    <row r="29" spans="1:1" x14ac:dyDescent="0.25">
      <c r="A29" s="131" t="s">
        <v>150</v>
      </c>
    </row>
    <row r="30" spans="1:1" x14ac:dyDescent="0.25">
      <c r="A30" s="135" t="s">
        <v>151</v>
      </c>
    </row>
    <row r="31" spans="1:1" x14ac:dyDescent="0.25">
      <c r="A31" s="135" t="s">
        <v>152</v>
      </c>
    </row>
    <row r="32" spans="1:1" x14ac:dyDescent="0.25">
      <c r="A32" s="86" t="s">
        <v>153</v>
      </c>
    </row>
    <row r="33" spans="1:7" x14ac:dyDescent="0.25">
      <c r="A33" s="131" t="s">
        <v>154</v>
      </c>
    </row>
    <row r="34" spans="1:7" x14ac:dyDescent="0.25">
      <c r="A34" s="131" t="s">
        <v>155</v>
      </c>
    </row>
    <row r="35" spans="1:7" x14ac:dyDescent="0.25">
      <c r="A35" s="131" t="s">
        <v>156</v>
      </c>
    </row>
    <row r="36" spans="1:7" x14ac:dyDescent="0.25">
      <c r="A36" s="135" t="s">
        <v>157</v>
      </c>
      <c r="F36">
        <f>0.00063+0.00006</f>
        <v>6.9000000000000008E-4</v>
      </c>
    </row>
    <row r="37" spans="1:7" x14ac:dyDescent="0.25">
      <c r="A37" s="135" t="s">
        <v>158</v>
      </c>
      <c r="F37">
        <f>0.00072+0.00006</f>
        <v>7.8000000000000009E-4</v>
      </c>
    </row>
    <row r="38" spans="1:7" x14ac:dyDescent="0.25">
      <c r="A38" s="86" t="s">
        <v>159</v>
      </c>
    </row>
    <row r="39" spans="1:7" x14ac:dyDescent="0.25">
      <c r="A39" s="131" t="s">
        <v>160</v>
      </c>
    </row>
    <row r="40" spans="1:7" x14ac:dyDescent="0.25">
      <c r="A40" s="135" t="s">
        <v>161</v>
      </c>
      <c r="F40">
        <f>500*0.00681</f>
        <v>3.4050000000000002</v>
      </c>
      <c r="G40">
        <f>F40*12</f>
        <v>40.86</v>
      </c>
    </row>
    <row r="41" spans="1:7" x14ac:dyDescent="0.25">
      <c r="A41" s="135" t="s">
        <v>162</v>
      </c>
    </row>
    <row r="42" spans="1:7" x14ac:dyDescent="0.25">
      <c r="A42" s="131" t="s">
        <v>163</v>
      </c>
    </row>
    <row r="43" spans="1:7" x14ac:dyDescent="0.25">
      <c r="A43" s="135" t="s">
        <v>164</v>
      </c>
    </row>
    <row r="44" spans="1:7" x14ac:dyDescent="0.25">
      <c r="A44" s="135" t="s">
        <v>165</v>
      </c>
    </row>
    <row r="45" spans="1:7" x14ac:dyDescent="0.25">
      <c r="A45" s="131" t="s">
        <v>156</v>
      </c>
    </row>
    <row r="46" spans="1:7" x14ac:dyDescent="0.25">
      <c r="A46" s="135" t="s">
        <v>166</v>
      </c>
      <c r="G46" s="207"/>
    </row>
    <row r="47" spans="1:7" x14ac:dyDescent="0.25">
      <c r="A47" s="135" t="s">
        <v>167</v>
      </c>
    </row>
    <row r="48" spans="1:7" x14ac:dyDescent="0.25">
      <c r="A48" s="86" t="s">
        <v>168</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15CB1-8015-4AB7-8B8A-186FC1D85496}">
  <dimension ref="A1:F33"/>
  <sheetViews>
    <sheetView topLeftCell="A13" workbookViewId="0">
      <selection activeCell="F34" sqref="F34"/>
    </sheetView>
  </sheetViews>
  <sheetFormatPr defaultRowHeight="15" x14ac:dyDescent="0.25"/>
  <cols>
    <col min="1" max="1" width="9.5703125" bestFit="1" customWidth="1"/>
    <col min="2" max="2" width="12.85546875" bestFit="1" customWidth="1"/>
    <col min="3" max="3" width="16" bestFit="1" customWidth="1"/>
    <col min="4" max="4" width="10.42578125" bestFit="1" customWidth="1"/>
  </cols>
  <sheetData>
    <row r="1" spans="1:5" ht="18.75" x14ac:dyDescent="0.25">
      <c r="A1" s="225" t="s">
        <v>30</v>
      </c>
      <c r="B1" s="225"/>
      <c r="C1" s="225"/>
      <c r="D1" s="225"/>
      <c r="E1" s="225"/>
    </row>
    <row r="2" spans="1:5" ht="18.75" x14ac:dyDescent="0.25">
      <c r="A2" s="208"/>
      <c r="B2" s="208"/>
      <c r="C2" s="208"/>
      <c r="D2" s="208"/>
      <c r="E2" s="208"/>
    </row>
    <row r="3" spans="1:5" x14ac:dyDescent="0.25">
      <c r="A3" s="98" t="s">
        <v>39</v>
      </c>
    </row>
    <row r="5" spans="1:5" x14ac:dyDescent="0.25">
      <c r="C5" s="99">
        <v>-41185060.130000003</v>
      </c>
      <c r="D5" t="s">
        <v>79</v>
      </c>
    </row>
    <row r="7" spans="1:5" x14ac:dyDescent="0.25">
      <c r="A7" s="98" t="s">
        <v>34</v>
      </c>
    </row>
    <row r="9" spans="1:5" x14ac:dyDescent="0.25">
      <c r="B9" t="s">
        <v>32</v>
      </c>
      <c r="C9" s="99">
        <v>-41185060.130000003</v>
      </c>
    </row>
    <row r="11" spans="1:5" x14ac:dyDescent="0.25">
      <c r="A11" s="98" t="s">
        <v>41</v>
      </c>
    </row>
    <row r="13" spans="1:5" x14ac:dyDescent="0.25">
      <c r="B13" t="s">
        <v>32</v>
      </c>
      <c r="C13" s="100">
        <f>'NG Rate Information'!$F$16</f>
        <v>3.0228066109922653E-3</v>
      </c>
      <c r="D13" s="101" t="s">
        <v>80</v>
      </c>
    </row>
    <row r="14" spans="1:5" x14ac:dyDescent="0.25">
      <c r="B14" t="s">
        <v>81</v>
      </c>
      <c r="C14" s="100">
        <f>'NG Rate Information'!$G$16</f>
        <v>1.5633371459739926E-3</v>
      </c>
      <c r="D14" s="101" t="s">
        <v>80</v>
      </c>
    </row>
    <row r="15" spans="1:5" x14ac:dyDescent="0.25">
      <c r="B15" t="s">
        <v>82</v>
      </c>
      <c r="C15" s="100">
        <f>'NG Rate Information'!$H$16</f>
        <v>3.6185353442718731E-3</v>
      </c>
      <c r="D15" s="101" t="s">
        <v>80</v>
      </c>
    </row>
    <row r="16" spans="1:5" x14ac:dyDescent="0.25">
      <c r="B16" t="s">
        <v>83</v>
      </c>
      <c r="C16" s="100">
        <f>'NG Rate Information'!$I$16</f>
        <v>0.49922245678687349</v>
      </c>
      <c r="D16" s="101" t="s">
        <v>84</v>
      </c>
    </row>
    <row r="17" spans="1:6" x14ac:dyDescent="0.25">
      <c r="B17" t="s">
        <v>85</v>
      </c>
      <c r="C17" s="102">
        <f>'NG Rate Information'!$J$16</f>
        <v>0.45886722187740875</v>
      </c>
      <c r="D17" s="101" t="s">
        <v>84</v>
      </c>
    </row>
    <row r="18" spans="1:6" x14ac:dyDescent="0.25">
      <c r="B18" t="s">
        <v>86</v>
      </c>
      <c r="C18" s="102">
        <f>'NG Rate Information'!$K$16</f>
        <v>0.38977300003089271</v>
      </c>
      <c r="D18" s="101" t="s">
        <v>84</v>
      </c>
    </row>
    <row r="19" spans="1:6" x14ac:dyDescent="0.25">
      <c r="B19" t="s">
        <v>87</v>
      </c>
      <c r="C19" s="102">
        <f>'NG Rate Information'!$L$16</f>
        <v>0.23054232606760355</v>
      </c>
      <c r="D19" s="101" t="s">
        <v>84</v>
      </c>
    </row>
    <row r="20" spans="1:6" x14ac:dyDescent="0.25">
      <c r="B20" t="s">
        <v>88</v>
      </c>
      <c r="C20" s="102">
        <f>'NG Rate Information'!$M$16</f>
        <v>0.39624446121917911</v>
      </c>
      <c r="D20" s="101" t="s">
        <v>84</v>
      </c>
    </row>
    <row r="21" spans="1:6" x14ac:dyDescent="0.25">
      <c r="B21" t="s">
        <v>89</v>
      </c>
      <c r="C21" s="102">
        <f>'NG Rate Information'!$N$16</f>
        <v>0.24652117849629787</v>
      </c>
      <c r="D21" s="101" t="s">
        <v>84</v>
      </c>
    </row>
    <row r="22" spans="1:6" x14ac:dyDescent="0.25">
      <c r="B22" t="s">
        <v>90</v>
      </c>
      <c r="C22" s="102">
        <f>'NG Rate Information'!$O$16</f>
        <v>0.21620674710010021</v>
      </c>
      <c r="D22" s="101" t="s">
        <v>84</v>
      </c>
    </row>
    <row r="23" spans="1:6" x14ac:dyDescent="0.25">
      <c r="B23" t="s">
        <v>91</v>
      </c>
      <c r="C23" s="100">
        <f>'NG Rate Information'!$P$16</f>
        <v>7.1116232722374124E-3</v>
      </c>
      <c r="D23" s="101" t="s">
        <v>80</v>
      </c>
    </row>
    <row r="24" spans="1:6" x14ac:dyDescent="0.25">
      <c r="C24" s="100"/>
      <c r="D24" s="101"/>
    </row>
    <row r="25" spans="1:6" x14ac:dyDescent="0.25">
      <c r="A25" s="98" t="s">
        <v>60</v>
      </c>
    </row>
    <row r="27" spans="1:6" x14ac:dyDescent="0.25">
      <c r="A27">
        <v>600</v>
      </c>
      <c r="B27" t="s">
        <v>32</v>
      </c>
      <c r="C27" s="99">
        <f>C13*A27</f>
        <v>1.8136839665953592</v>
      </c>
      <c r="D27" t="s">
        <v>222</v>
      </c>
      <c r="E27" s="197">
        <f>C27*12</f>
        <v>21.76420759914431</v>
      </c>
      <c r="F27" t="s">
        <v>221</v>
      </c>
    </row>
    <row r="29" spans="1:6" x14ac:dyDescent="0.25">
      <c r="A29" s="103">
        <v>2500</v>
      </c>
      <c r="B29" t="s">
        <v>81</v>
      </c>
      <c r="C29" s="99">
        <f>C14*A29</f>
        <v>3.9083428649349816</v>
      </c>
      <c r="D29" t="s">
        <v>222</v>
      </c>
      <c r="E29" s="197">
        <f>C29*12</f>
        <v>46.900114379219779</v>
      </c>
      <c r="F29" t="s">
        <v>221</v>
      </c>
    </row>
    <row r="31" spans="1:6" x14ac:dyDescent="0.25">
      <c r="A31" s="98" t="s">
        <v>62</v>
      </c>
    </row>
    <row r="33" spans="1:6" x14ac:dyDescent="0.25">
      <c r="A33">
        <v>1500</v>
      </c>
      <c r="B33" t="s">
        <v>82</v>
      </c>
      <c r="C33" s="99">
        <f>A33*C15</f>
        <v>5.4278030164078102</v>
      </c>
      <c r="D33" t="s">
        <v>222</v>
      </c>
      <c r="E33" s="197">
        <f>C33*12</f>
        <v>65.133636196893718</v>
      </c>
      <c r="F33" t="s">
        <v>221</v>
      </c>
    </row>
  </sheetData>
  <mergeCells count="1">
    <mergeCell ref="A1:E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16952-3458-4227-A8EB-9517FB3FA8AB}">
  <dimension ref="A1:F34"/>
  <sheetViews>
    <sheetView topLeftCell="A14" workbookViewId="0">
      <selection activeCell="J27" sqref="J27"/>
    </sheetView>
  </sheetViews>
  <sheetFormatPr defaultRowHeight="15" x14ac:dyDescent="0.25"/>
  <cols>
    <col min="2" max="2" width="12.85546875" bestFit="1" customWidth="1"/>
    <col min="3" max="3" width="12.5703125" bestFit="1" customWidth="1"/>
  </cols>
  <sheetData>
    <row r="1" spans="1:5" ht="18.75" x14ac:dyDescent="0.25">
      <c r="A1" s="225" t="s">
        <v>92</v>
      </c>
      <c r="B1" s="225"/>
      <c r="C1" s="225"/>
      <c r="D1" s="225"/>
      <c r="E1" s="225"/>
    </row>
    <row r="2" spans="1:5" ht="18.75" x14ac:dyDescent="0.25">
      <c r="A2" s="208"/>
      <c r="B2" s="208"/>
      <c r="C2" s="208"/>
      <c r="D2" s="208"/>
      <c r="E2" s="208"/>
    </row>
    <row r="3" spans="1:5" x14ac:dyDescent="0.25">
      <c r="A3" s="104" t="s">
        <v>39</v>
      </c>
      <c r="B3" s="105"/>
      <c r="C3" s="105"/>
    </row>
    <row r="5" spans="1:5" x14ac:dyDescent="0.25">
      <c r="C5" s="106">
        <v>43999885</v>
      </c>
      <c r="D5" t="s">
        <v>79</v>
      </c>
    </row>
    <row r="6" spans="1:5" ht="21" customHeight="1" x14ac:dyDescent="0.25">
      <c r="A6" s="107" t="s">
        <v>93</v>
      </c>
      <c r="B6" s="108" t="s">
        <v>94</v>
      </c>
      <c r="C6" s="106"/>
    </row>
    <row r="8" spans="1:5" x14ac:dyDescent="0.25">
      <c r="A8" s="104" t="s">
        <v>34</v>
      </c>
      <c r="B8" s="105"/>
      <c r="C8" s="105"/>
      <c r="D8" s="105"/>
      <c r="E8" s="105"/>
    </row>
    <row r="10" spans="1:5" x14ac:dyDescent="0.25">
      <c r="A10" s="109" t="s">
        <v>95</v>
      </c>
    </row>
    <row r="12" spans="1:5" x14ac:dyDescent="0.25">
      <c r="A12" s="98" t="s">
        <v>41</v>
      </c>
    </row>
    <row r="14" spans="1:5" x14ac:dyDescent="0.25">
      <c r="B14" t="s">
        <v>32</v>
      </c>
      <c r="C14" s="100">
        <f>'NG Rate Information'!$F$17</f>
        <v>1.8102199967712145E-3</v>
      </c>
      <c r="D14" s="101" t="s">
        <v>80</v>
      </c>
    </row>
    <row r="15" spans="1:5" x14ac:dyDescent="0.25">
      <c r="B15" t="s">
        <v>81</v>
      </c>
      <c r="C15" s="100">
        <f>'NG Rate Information'!$G$17</f>
        <v>1.8102195379347328E-3</v>
      </c>
      <c r="D15" s="101" t="s">
        <v>80</v>
      </c>
    </row>
    <row r="16" spans="1:5" x14ac:dyDescent="0.25">
      <c r="B16" t="s">
        <v>82</v>
      </c>
      <c r="C16" s="100">
        <f>'NG Rate Information'!$H$17</f>
        <v>1.828139055204668E-3</v>
      </c>
      <c r="D16" s="101" t="s">
        <v>80</v>
      </c>
    </row>
    <row r="17" spans="1:6" x14ac:dyDescent="0.25">
      <c r="B17" t="s">
        <v>83</v>
      </c>
      <c r="C17" s="102">
        <f>'NG Rate Information'!$I$17</f>
        <v>0.53230468648051954</v>
      </c>
      <c r="D17" s="101" t="s">
        <v>84</v>
      </c>
    </row>
    <row r="18" spans="1:6" x14ac:dyDescent="0.25">
      <c r="B18" t="s">
        <v>85</v>
      </c>
      <c r="C18" s="102">
        <f>'NG Rate Information'!$J$17</f>
        <v>0.67728497731954407</v>
      </c>
      <c r="D18" s="101" t="s">
        <v>84</v>
      </c>
    </row>
    <row r="19" spans="1:6" x14ac:dyDescent="0.25">
      <c r="B19" t="s">
        <v>86</v>
      </c>
      <c r="C19" s="102">
        <f>'NG Rate Information'!$K$17</f>
        <v>0.71266588499630379</v>
      </c>
      <c r="D19" s="101" t="s">
        <v>84</v>
      </c>
    </row>
    <row r="20" spans="1:6" x14ac:dyDescent="0.25">
      <c r="B20" t="s">
        <v>87</v>
      </c>
      <c r="C20" s="102">
        <f>'NG Rate Information'!$L$17</f>
        <v>0.56276745558477359</v>
      </c>
      <c r="D20" s="101" t="s">
        <v>84</v>
      </c>
    </row>
    <row r="21" spans="1:6" x14ac:dyDescent="0.25">
      <c r="B21" t="s">
        <v>88</v>
      </c>
      <c r="C21" s="102">
        <f>'NG Rate Information'!$M$17</f>
        <v>0.67255774406415036</v>
      </c>
      <c r="D21" s="101" t="s">
        <v>84</v>
      </c>
    </row>
    <row r="22" spans="1:6" x14ac:dyDescent="0.25">
      <c r="B22" t="s">
        <v>89</v>
      </c>
      <c r="C22" s="102">
        <f>'NG Rate Information'!$N$17</f>
        <v>0.7575793348898453</v>
      </c>
      <c r="D22" s="101" t="s">
        <v>84</v>
      </c>
    </row>
    <row r="23" spans="1:6" x14ac:dyDescent="0.25">
      <c r="B23" t="s">
        <v>90</v>
      </c>
      <c r="C23" s="102">
        <f>'NG Rate Information'!$O$17</f>
        <v>0.42885369934901091</v>
      </c>
      <c r="D23" s="101" t="s">
        <v>84</v>
      </c>
    </row>
    <row r="24" spans="1:6" x14ac:dyDescent="0.25">
      <c r="B24" t="s">
        <v>91</v>
      </c>
      <c r="C24" s="100">
        <f>'NG Rate Information'!$P$17</f>
        <v>1.810220116545062E-3</v>
      </c>
      <c r="D24" s="101" t="s">
        <v>80</v>
      </c>
    </row>
    <row r="26" spans="1:6" x14ac:dyDescent="0.25">
      <c r="A26" s="98" t="s">
        <v>60</v>
      </c>
    </row>
    <row r="28" spans="1:6" x14ac:dyDescent="0.25">
      <c r="A28">
        <v>600</v>
      </c>
      <c r="B28" t="s">
        <v>32</v>
      </c>
      <c r="C28" s="99">
        <f>A28*C14</f>
        <v>1.0861319980627286</v>
      </c>
      <c r="D28" t="s">
        <v>222</v>
      </c>
      <c r="E28" s="197">
        <f>C28*12</f>
        <v>13.033583976752745</v>
      </c>
      <c r="F28" t="s">
        <v>221</v>
      </c>
    </row>
    <row r="30" spans="1:6" x14ac:dyDescent="0.25">
      <c r="A30" s="103">
        <v>2500</v>
      </c>
      <c r="B30" t="s">
        <v>81</v>
      </c>
      <c r="C30" s="99">
        <f>A30*C15</f>
        <v>4.5255488448368322</v>
      </c>
      <c r="D30" t="s">
        <v>222</v>
      </c>
      <c r="E30" s="197">
        <f>C30*12</f>
        <v>54.306586138041986</v>
      </c>
      <c r="F30" t="s">
        <v>221</v>
      </c>
    </row>
    <row r="32" spans="1:6" x14ac:dyDescent="0.25">
      <c r="A32" s="98" t="s">
        <v>62</v>
      </c>
    </row>
    <row r="34" spans="1:6" x14ac:dyDescent="0.25">
      <c r="A34">
        <v>1500</v>
      </c>
      <c r="B34" t="s">
        <v>82</v>
      </c>
      <c r="C34" s="99">
        <f>A34*C16</f>
        <v>2.742208582807002</v>
      </c>
      <c r="D34" t="s">
        <v>222</v>
      </c>
      <c r="E34" s="197">
        <f>C34*12</f>
        <v>32.906502993684022</v>
      </c>
      <c r="F34" t="s">
        <v>221</v>
      </c>
    </row>
  </sheetData>
  <mergeCells count="1">
    <mergeCell ref="A1:E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F12C6-D50C-48E2-8396-566664D3BA95}">
  <dimension ref="A1:P21"/>
  <sheetViews>
    <sheetView workbookViewId="0">
      <selection activeCell="D19" sqref="D19"/>
    </sheetView>
  </sheetViews>
  <sheetFormatPr defaultRowHeight="15" x14ac:dyDescent="0.25"/>
  <cols>
    <col min="2" max="2" width="27.5703125" bestFit="1" customWidth="1"/>
    <col min="4" max="4" width="10.5703125" bestFit="1" customWidth="1"/>
    <col min="5" max="5" width="1" customWidth="1"/>
    <col min="6" max="7" width="15.5703125" bestFit="1" customWidth="1"/>
    <col min="8" max="8" width="11.5703125" bestFit="1" customWidth="1"/>
    <col min="9" max="9" width="10.42578125" customWidth="1"/>
    <col min="10" max="10" width="10.5703125" bestFit="1" customWidth="1"/>
    <col min="11" max="14" width="9.5703125" bestFit="1" customWidth="1"/>
    <col min="15" max="15" width="10.5703125" bestFit="1" customWidth="1"/>
    <col min="16" max="16" width="12" bestFit="1" customWidth="1"/>
  </cols>
  <sheetData>
    <row r="1" spans="1:16" ht="25.5" x14ac:dyDescent="0.25">
      <c r="A1" s="110" t="s">
        <v>96</v>
      </c>
      <c r="B1" s="111" t="s">
        <v>97</v>
      </c>
      <c r="C1" s="112" t="s">
        <v>98</v>
      </c>
      <c r="D1" s="113" t="s">
        <v>99</v>
      </c>
      <c r="E1" s="114" t="s">
        <v>100</v>
      </c>
      <c r="F1" s="115" t="s">
        <v>101</v>
      </c>
      <c r="G1" s="115" t="s">
        <v>102</v>
      </c>
      <c r="H1" s="115" t="s">
        <v>103</v>
      </c>
      <c r="I1" s="115" t="s">
        <v>104</v>
      </c>
      <c r="J1" s="115" t="s">
        <v>105</v>
      </c>
      <c r="K1" s="115" t="s">
        <v>106</v>
      </c>
      <c r="L1" s="115" t="s">
        <v>107</v>
      </c>
      <c r="M1" s="115" t="s">
        <v>108</v>
      </c>
      <c r="N1" s="116" t="s">
        <v>109</v>
      </c>
      <c r="O1" s="115" t="s">
        <v>110</v>
      </c>
      <c r="P1" s="115" t="s">
        <v>111</v>
      </c>
    </row>
    <row r="2" spans="1:16" x14ac:dyDescent="0.25">
      <c r="A2" s="110"/>
      <c r="B2" s="111"/>
      <c r="C2" s="117"/>
      <c r="D2" s="118"/>
      <c r="E2" s="118"/>
      <c r="F2" s="119">
        <v>1</v>
      </c>
      <c r="G2" s="119">
        <v>2</v>
      </c>
      <c r="H2" s="119">
        <v>3</v>
      </c>
      <c r="I2" s="119">
        <v>4</v>
      </c>
      <c r="J2" s="119">
        <v>5</v>
      </c>
      <c r="K2" s="119">
        <v>6</v>
      </c>
      <c r="L2" s="119">
        <v>7</v>
      </c>
      <c r="M2" s="119">
        <v>8</v>
      </c>
      <c r="N2" s="119">
        <v>9</v>
      </c>
      <c r="O2" s="119">
        <v>10</v>
      </c>
      <c r="P2" s="119">
        <v>11</v>
      </c>
    </row>
    <row r="3" spans="1:16" x14ac:dyDescent="0.25">
      <c r="A3" s="120">
        <v>104</v>
      </c>
      <c r="B3" s="121" t="s">
        <v>112</v>
      </c>
      <c r="C3" s="122">
        <v>907</v>
      </c>
      <c r="D3" s="123">
        <v>45</v>
      </c>
      <c r="E3" s="124">
        <v>0</v>
      </c>
      <c r="F3" s="123">
        <v>23.047976078651089</v>
      </c>
      <c r="G3" s="123">
        <v>0.25668427095739582</v>
      </c>
      <c r="H3" s="123">
        <v>6.2306504085116288</v>
      </c>
      <c r="I3" s="123">
        <v>6.4218840086468454</v>
      </c>
      <c r="J3" s="123">
        <v>3.2224761741094272</v>
      </c>
      <c r="K3" s="123">
        <v>1.2959549936577559</v>
      </c>
      <c r="L3" s="123">
        <v>0.4599597454655977</v>
      </c>
      <c r="M3" s="123">
        <v>0.64345865326750284</v>
      </c>
      <c r="N3" s="123">
        <v>0.96052797302959159</v>
      </c>
      <c r="O3" s="123">
        <v>2.2955057541309021</v>
      </c>
      <c r="P3" s="123">
        <v>0.16492193957226722</v>
      </c>
    </row>
    <row r="4" spans="1:16" x14ac:dyDescent="0.25">
      <c r="A4" s="120">
        <v>105</v>
      </c>
      <c r="B4" s="121" t="s">
        <v>113</v>
      </c>
      <c r="C4" s="122">
        <v>908</v>
      </c>
      <c r="D4" s="123">
        <v>20806.999999999996</v>
      </c>
      <c r="E4" s="124">
        <v>0</v>
      </c>
      <c r="F4" s="123">
        <v>10656.871961522073</v>
      </c>
      <c r="G4" s="123">
        <v>118.68510279578966</v>
      </c>
      <c r="H4" s="123">
        <v>2880.9142899978106</v>
      </c>
      <c r="I4" s="123">
        <v>2969.3364570647759</v>
      </c>
      <c r="J4" s="123">
        <v>1490.0013723265522</v>
      </c>
      <c r="K4" s="123">
        <v>599.22079006748731</v>
      </c>
      <c r="L4" s="123">
        <v>212.67516497561539</v>
      </c>
      <c r="M4" s="123">
        <v>297.52098218970957</v>
      </c>
      <c r="N4" s="123">
        <v>444.12678966281578</v>
      </c>
      <c r="O4" s="123">
        <v>1061.3908494711484</v>
      </c>
      <c r="P4" s="123">
        <v>76.256239926225859</v>
      </c>
    </row>
    <row r="5" spans="1:16" x14ac:dyDescent="0.25">
      <c r="A5" s="120">
        <v>106</v>
      </c>
      <c r="B5" s="125" t="s">
        <v>114</v>
      </c>
      <c r="C5" s="122" t="s">
        <v>115</v>
      </c>
      <c r="D5" s="123">
        <v>56594</v>
      </c>
      <c r="E5" s="124">
        <v>0</v>
      </c>
      <c r="F5" s="123">
        <v>33379.981031793643</v>
      </c>
      <c r="G5" s="123">
        <v>444.17571684961786</v>
      </c>
      <c r="H5" s="123">
        <v>2202.5643755306533</v>
      </c>
      <c r="I5" s="123">
        <v>7175.459179233475</v>
      </c>
      <c r="J5" s="123">
        <v>5231.1454479316862</v>
      </c>
      <c r="K5" s="123">
        <v>1766.3780629408154</v>
      </c>
      <c r="L5" s="123">
        <v>406.28839252224475</v>
      </c>
      <c r="M5" s="123">
        <v>986.30241007081895</v>
      </c>
      <c r="N5" s="123">
        <v>800.48111492945839</v>
      </c>
      <c r="O5" s="123">
        <v>2917.3709239241807</v>
      </c>
      <c r="P5" s="123">
        <v>1283.8533442734044</v>
      </c>
    </row>
    <row r="6" spans="1:16" x14ac:dyDescent="0.25">
      <c r="A6" s="120">
        <v>107</v>
      </c>
      <c r="B6" s="121" t="s">
        <v>116</v>
      </c>
      <c r="C6" s="122" t="s">
        <v>117</v>
      </c>
      <c r="D6" s="123">
        <v>11000.000000000002</v>
      </c>
      <c r="E6" s="124">
        <v>0</v>
      </c>
      <c r="F6" s="123">
        <v>6487.9632354972273</v>
      </c>
      <c r="G6" s="123">
        <v>86.333054481849601</v>
      </c>
      <c r="H6" s="123">
        <v>428.1055965444603</v>
      </c>
      <c r="I6" s="123">
        <v>1394.6717138136239</v>
      </c>
      <c r="J6" s="123">
        <v>1016.761492865826</v>
      </c>
      <c r="K6" s="123">
        <v>343.32541775363057</v>
      </c>
      <c r="L6" s="123">
        <v>78.969012929722098</v>
      </c>
      <c r="M6" s="123">
        <v>191.70453600697968</v>
      </c>
      <c r="N6" s="123">
        <v>155.58702802813096</v>
      </c>
      <c r="O6" s="123">
        <v>567.04032517874668</v>
      </c>
      <c r="P6" s="123">
        <v>249.53858689980297</v>
      </c>
    </row>
    <row r="7" spans="1:16" x14ac:dyDescent="0.25">
      <c r="A7" s="120">
        <v>107</v>
      </c>
      <c r="B7" s="121" t="s">
        <v>118</v>
      </c>
      <c r="C7" s="122" t="s">
        <v>119</v>
      </c>
      <c r="D7" s="123">
        <v>2341.9999999999995</v>
      </c>
      <c r="E7" s="124">
        <v>0</v>
      </c>
      <c r="F7" s="123">
        <v>1199.5191105822412</v>
      </c>
      <c r="G7" s="123">
        <v>13.358990279604912</v>
      </c>
      <c r="H7" s="123">
        <v>324.27073903853852</v>
      </c>
      <c r="I7" s="123">
        <v>334.22338551668696</v>
      </c>
      <c r="J7" s="123">
        <v>167.71198221698396</v>
      </c>
      <c r="K7" s="123">
        <v>67.447257669921441</v>
      </c>
      <c r="L7" s="123">
        <v>23.938349419565107</v>
      </c>
      <c r="M7" s="123">
        <v>33.48844813227759</v>
      </c>
      <c r="N7" s="123">
        <v>49.99014472967341</v>
      </c>
      <c r="O7" s="123">
        <v>119.46832169276828</v>
      </c>
      <c r="P7" s="123">
        <v>8.5832707217388844</v>
      </c>
    </row>
    <row r="8" spans="1:16" x14ac:dyDescent="0.25">
      <c r="A8" s="120">
        <v>108</v>
      </c>
      <c r="B8" s="125" t="s">
        <v>120</v>
      </c>
      <c r="C8" s="122" t="s">
        <v>121</v>
      </c>
      <c r="D8" s="123">
        <v>51457.891607524274</v>
      </c>
      <c r="E8" s="124">
        <v>0</v>
      </c>
      <c r="F8" s="123">
        <v>19989.737000000001</v>
      </c>
      <c r="G8" s="123">
        <v>514.32000000000005</v>
      </c>
      <c r="H8" s="123">
        <v>1112.769</v>
      </c>
      <c r="I8" s="123">
        <v>7650.9589999999998</v>
      </c>
      <c r="J8" s="123">
        <v>7721.1360000000004</v>
      </c>
      <c r="K8" s="123">
        <v>3229.6680000000001</v>
      </c>
      <c r="L8" s="123">
        <v>991.774</v>
      </c>
      <c r="M8" s="123">
        <v>1674.0809999999999</v>
      </c>
      <c r="N8" s="123">
        <v>2459.9426075242777</v>
      </c>
      <c r="O8" s="123">
        <v>5786.7079999999996</v>
      </c>
      <c r="P8" s="123">
        <v>326.79700000000003</v>
      </c>
    </row>
    <row r="9" spans="1:16" x14ac:dyDescent="0.25">
      <c r="A9" s="120">
        <v>109</v>
      </c>
      <c r="B9" s="121" t="s">
        <v>122</v>
      </c>
      <c r="C9" s="122" t="s">
        <v>123</v>
      </c>
      <c r="D9" s="123">
        <v>2018</v>
      </c>
      <c r="E9" s="124">
        <v>0</v>
      </c>
      <c r="F9" s="123">
        <v>1798.6979672102673</v>
      </c>
      <c r="G9" s="123">
        <v>6.1771785557637502</v>
      </c>
      <c r="H9" s="123">
        <v>138.52471378061608</v>
      </c>
      <c r="I9" s="123">
        <v>59.955680734216948</v>
      </c>
      <c r="J9" s="123">
        <v>4.5645033391728038</v>
      </c>
      <c r="K9" s="123">
        <v>0.89703771338312921</v>
      </c>
      <c r="L9" s="123">
        <v>0.21527901324186691</v>
      </c>
      <c r="M9" s="123">
        <v>9.8823835735493123E-2</v>
      </c>
      <c r="N9" s="123">
        <v>8.214784996958456E-2</v>
      </c>
      <c r="O9" s="123">
        <v>0.11393875238822958</v>
      </c>
      <c r="P9" s="123">
        <v>8.672729215245111</v>
      </c>
    </row>
    <row r="10" spans="1:16" x14ac:dyDescent="0.25">
      <c r="A10" s="120">
        <v>110</v>
      </c>
      <c r="B10" s="126" t="s">
        <v>124</v>
      </c>
      <c r="C10" s="122">
        <v>0</v>
      </c>
      <c r="D10" s="127">
        <v>305979</v>
      </c>
      <c r="E10" s="124">
        <v>0</v>
      </c>
      <c r="F10" s="127">
        <v>136359.80157531079</v>
      </c>
      <c r="G10" s="127">
        <v>2799.71828297601</v>
      </c>
      <c r="H10" s="127">
        <v>10590.605581779782</v>
      </c>
      <c r="I10" s="127">
        <v>43636.552034838998</v>
      </c>
      <c r="J10" s="127">
        <v>39900.619420083174</v>
      </c>
      <c r="K10" s="127">
        <v>16158.470872704826</v>
      </c>
      <c r="L10" s="127">
        <v>4831.2838823302636</v>
      </c>
      <c r="M10" s="127">
        <v>8445.160212578463</v>
      </c>
      <c r="N10" s="127">
        <v>11642.307175506185</v>
      </c>
      <c r="O10" s="127">
        <v>28640.926337029592</v>
      </c>
      <c r="P10" s="127">
        <v>2973.5546248618825</v>
      </c>
    </row>
    <row r="11" spans="1:16" x14ac:dyDescent="0.25">
      <c r="A11" s="120">
        <v>111</v>
      </c>
      <c r="B11" s="128" t="s">
        <v>125</v>
      </c>
      <c r="C11" s="122" t="s">
        <v>126</v>
      </c>
      <c r="D11" s="127">
        <v>389336</v>
      </c>
      <c r="E11" s="124">
        <v>0</v>
      </c>
      <c r="F11" s="127">
        <v>212549.59091520496</v>
      </c>
      <c r="G11" s="127">
        <v>3168.340526786903</v>
      </c>
      <c r="H11" s="127">
        <v>13849.119837422666</v>
      </c>
      <c r="I11" s="127">
        <v>46204.645892686436</v>
      </c>
      <c r="J11" s="127">
        <v>40344.988967226142</v>
      </c>
      <c r="K11" s="127">
        <v>16288.475610979453</v>
      </c>
      <c r="L11" s="127">
        <v>4858.4985076221001</v>
      </c>
      <c r="M11" s="127">
        <v>8468.7851022600607</v>
      </c>
      <c r="N11" s="127">
        <v>11659.447342893589</v>
      </c>
      <c r="O11" s="127">
        <v>28698.887180550984</v>
      </c>
      <c r="P11" s="127">
        <v>3245.2201163667087</v>
      </c>
    </row>
    <row r="14" spans="1:16" x14ac:dyDescent="0.25">
      <c r="B14" s="129" t="s">
        <v>127</v>
      </c>
      <c r="C14" s="129"/>
      <c r="D14" s="129"/>
      <c r="E14" s="129"/>
      <c r="F14" s="123">
        <v>11042711402.84305</v>
      </c>
      <c r="G14" s="123">
        <v>284120234.71295875</v>
      </c>
      <c r="H14" s="123">
        <v>608689474.04847205</v>
      </c>
      <c r="I14" s="123">
        <v>14373270.03560018</v>
      </c>
      <c r="J14" s="123">
        <v>11400128.835807851</v>
      </c>
      <c r="K14" s="123">
        <v>4531812.2671421971</v>
      </c>
      <c r="L14" s="123">
        <v>1762315.8378436156</v>
      </c>
      <c r="M14" s="123">
        <v>2489126.0486925887</v>
      </c>
      <c r="N14" s="123">
        <v>3247108.9089065003</v>
      </c>
      <c r="O14" s="123">
        <v>13493431.463419989</v>
      </c>
      <c r="P14" s="123">
        <v>180528874.36899999</v>
      </c>
    </row>
    <row r="16" spans="1:16" x14ac:dyDescent="0.25">
      <c r="B16" s="129" t="s">
        <v>128</v>
      </c>
      <c r="F16">
        <f>(F5*1000)/F14</f>
        <v>3.0228066109922653E-3</v>
      </c>
      <c r="G16">
        <f t="shared" ref="G16:O16" si="0">(G5*1000)/G14</f>
        <v>1.5633371459739926E-3</v>
      </c>
      <c r="H16">
        <f t="shared" si="0"/>
        <v>3.6185353442718731E-3</v>
      </c>
      <c r="I16">
        <f t="shared" si="0"/>
        <v>0.49922245678687349</v>
      </c>
      <c r="J16">
        <f t="shared" si="0"/>
        <v>0.45886722187740875</v>
      </c>
      <c r="K16">
        <f t="shared" si="0"/>
        <v>0.38977300003089271</v>
      </c>
      <c r="L16">
        <f t="shared" si="0"/>
        <v>0.23054232606760355</v>
      </c>
      <c r="M16">
        <f t="shared" si="0"/>
        <v>0.39624446121917911</v>
      </c>
      <c r="N16">
        <f t="shared" si="0"/>
        <v>0.24652117849629787</v>
      </c>
      <c r="O16">
        <f t="shared" si="0"/>
        <v>0.21620674710010021</v>
      </c>
      <c r="P16">
        <f>(P5*1000)/P14</f>
        <v>7.1116232722374124E-3</v>
      </c>
    </row>
    <row r="17" spans="2:16" x14ac:dyDescent="0.25">
      <c r="B17" s="129" t="s">
        <v>129</v>
      </c>
      <c r="F17">
        <f>(F8*1000)/F14</f>
        <v>1.8102199967712145E-3</v>
      </c>
      <c r="G17">
        <f>(G8*1000)/G14</f>
        <v>1.8102195379347328E-3</v>
      </c>
      <c r="H17">
        <f t="shared" ref="H17:P17" si="1">(H8*1000)/H14</f>
        <v>1.828139055204668E-3</v>
      </c>
      <c r="I17">
        <f t="shared" si="1"/>
        <v>0.53230468648051954</v>
      </c>
      <c r="J17">
        <f t="shared" si="1"/>
        <v>0.67728497731954407</v>
      </c>
      <c r="K17">
        <f t="shared" si="1"/>
        <v>0.71266588499630379</v>
      </c>
      <c r="L17">
        <f t="shared" si="1"/>
        <v>0.56276745558477359</v>
      </c>
      <c r="M17">
        <f t="shared" si="1"/>
        <v>0.67255774406415036</v>
      </c>
      <c r="N17">
        <f t="shared" si="1"/>
        <v>0.7575793348898453</v>
      </c>
      <c r="O17">
        <f t="shared" si="1"/>
        <v>0.42885369934901091</v>
      </c>
      <c r="P17">
        <f t="shared" si="1"/>
        <v>1.810220116545062E-3</v>
      </c>
    </row>
    <row r="21" spans="2:16" x14ac:dyDescent="0.25">
      <c r="F21" s="123"/>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4E12A-5400-47C5-8415-7F29B8EEE692}">
  <sheetPr>
    <pageSetUpPr fitToPage="1"/>
  </sheetPr>
  <dimension ref="A1:H31"/>
  <sheetViews>
    <sheetView workbookViewId="0">
      <selection activeCell="E16" sqref="E16"/>
    </sheetView>
  </sheetViews>
  <sheetFormatPr defaultColWidth="8.85546875" defaultRowHeight="12.75" x14ac:dyDescent="0.2"/>
  <cols>
    <col min="1" max="1" width="63.140625" style="37" bestFit="1" customWidth="1"/>
    <col min="2" max="3" width="16.5703125" style="37" bestFit="1" customWidth="1"/>
    <col min="4" max="4" width="3.5703125" style="37" customWidth="1"/>
    <col min="5" max="5" width="15.140625" style="37" customWidth="1"/>
    <col min="6" max="6" width="16.85546875" style="37" customWidth="1"/>
    <col min="7" max="7" width="15.42578125" style="37" customWidth="1"/>
    <col min="8" max="8" width="15" style="37" bestFit="1" customWidth="1"/>
    <col min="9" max="16384" width="8.85546875" style="37"/>
  </cols>
  <sheetData>
    <row r="1" spans="1:6" ht="13.5" thickBot="1" x14ac:dyDescent="0.25">
      <c r="A1" s="36"/>
    </row>
    <row r="2" spans="1:6" ht="15" x14ac:dyDescent="0.2">
      <c r="A2" s="38" t="s">
        <v>30</v>
      </c>
      <c r="B2" s="39" t="s">
        <v>5</v>
      </c>
      <c r="C2" s="40"/>
      <c r="D2" s="41"/>
      <c r="E2" s="39" t="s">
        <v>3</v>
      </c>
      <c r="F2" s="40"/>
    </row>
    <row r="3" spans="1:6" ht="15" x14ac:dyDescent="0.25">
      <c r="A3" s="42" t="s">
        <v>31</v>
      </c>
      <c r="B3" s="43">
        <v>7588612.6399999997</v>
      </c>
      <c r="C3" s="44"/>
      <c r="D3" s="45"/>
      <c r="E3" s="43">
        <v>10794828.329999998</v>
      </c>
      <c r="F3" s="44"/>
    </row>
    <row r="4" spans="1:6" ht="15" x14ac:dyDescent="0.25">
      <c r="A4" s="46"/>
      <c r="B4" s="47"/>
      <c r="C4" s="44"/>
      <c r="D4" s="48"/>
      <c r="E4" s="47"/>
      <c r="F4" s="44"/>
    </row>
    <row r="5" spans="1:6" x14ac:dyDescent="0.2">
      <c r="A5" s="49"/>
      <c r="B5" s="50" t="s">
        <v>32</v>
      </c>
      <c r="C5" s="51" t="s">
        <v>33</v>
      </c>
      <c r="D5" s="45"/>
      <c r="E5" s="50" t="s">
        <v>32</v>
      </c>
      <c r="F5" s="51" t="s">
        <v>33</v>
      </c>
    </row>
    <row r="6" spans="1:6" ht="15" x14ac:dyDescent="0.25">
      <c r="A6" s="42" t="s">
        <v>34</v>
      </c>
      <c r="B6" s="52">
        <v>0.50045022839521203</v>
      </c>
      <c r="C6" s="53">
        <v>3.6728132843759975E-2</v>
      </c>
      <c r="D6" s="45"/>
      <c r="E6" s="52">
        <v>0.487362484079845</v>
      </c>
      <c r="F6" s="53">
        <v>4.0475434257870847E-2</v>
      </c>
    </row>
    <row r="7" spans="1:6" ht="15" x14ac:dyDescent="0.25">
      <c r="A7" s="42" t="s">
        <v>35</v>
      </c>
      <c r="B7" s="54">
        <v>1.4496050580611922E-3</v>
      </c>
      <c r="C7" s="55">
        <v>1.2986028817409661E-3</v>
      </c>
      <c r="D7" s="56"/>
      <c r="E7" s="54">
        <v>1.0635032278915534E-3</v>
      </c>
      <c r="F7" s="55">
        <v>1.4158537272935005E-3</v>
      </c>
    </row>
    <row r="8" spans="1:6" ht="15" x14ac:dyDescent="0.25">
      <c r="A8" s="42" t="s">
        <v>36</v>
      </c>
      <c r="B8" s="57">
        <v>11.115571585213221</v>
      </c>
      <c r="C8" s="58"/>
      <c r="D8" s="59"/>
      <c r="E8" s="57">
        <v>8.0528464415948431</v>
      </c>
      <c r="F8" s="58"/>
    </row>
    <row r="9" spans="1:6" ht="15" x14ac:dyDescent="0.25">
      <c r="A9" s="42" t="s">
        <v>37</v>
      </c>
      <c r="B9" s="57"/>
      <c r="C9" s="58">
        <v>9.8953539588661616</v>
      </c>
      <c r="D9" s="59"/>
      <c r="E9" s="57"/>
      <c r="F9" s="58">
        <v>5.9805661440877458</v>
      </c>
    </row>
    <row r="10" spans="1:6" ht="15" x14ac:dyDescent="0.25">
      <c r="A10" s="46"/>
      <c r="B10" s="60"/>
      <c r="C10" s="61"/>
      <c r="D10" s="48"/>
      <c r="E10" s="60"/>
      <c r="F10" s="44"/>
    </row>
    <row r="11" spans="1:6" ht="15" x14ac:dyDescent="0.2">
      <c r="A11" s="62" t="s">
        <v>38</v>
      </c>
      <c r="B11" s="50"/>
      <c r="C11" s="63"/>
      <c r="D11" s="64"/>
      <c r="E11" s="63"/>
      <c r="F11" s="51"/>
    </row>
    <row r="12" spans="1:6" ht="15" x14ac:dyDescent="0.25">
      <c r="A12" s="42" t="s">
        <v>39</v>
      </c>
      <c r="B12" s="43">
        <v>50116996</v>
      </c>
      <c r="C12" s="63"/>
      <c r="D12" s="64"/>
      <c r="E12" s="65">
        <v>89572270</v>
      </c>
      <c r="F12" s="51"/>
    </row>
    <row r="13" spans="1:6" x14ac:dyDescent="0.2">
      <c r="A13" s="49"/>
      <c r="B13" s="210">
        <f>B12*B15</f>
        <v>25081062.094681926</v>
      </c>
      <c r="C13" s="211">
        <f>B12*C15</f>
        <v>1840703.6868181874</v>
      </c>
      <c r="D13" s="64"/>
      <c r="E13" s="211">
        <f>E12*E15</f>
        <v>43654164.011870578</v>
      </c>
      <c r="F13" s="212">
        <f>E12*F15</f>
        <v>3625476.525713257</v>
      </c>
    </row>
    <row r="14" spans="1:6" ht="15" x14ac:dyDescent="0.25">
      <c r="A14" s="49" t="s">
        <v>40</v>
      </c>
      <c r="B14" s="66" t="s">
        <v>32</v>
      </c>
      <c r="C14" s="67" t="s">
        <v>33</v>
      </c>
      <c r="D14" s="68"/>
      <c r="E14" s="67" t="s">
        <v>32</v>
      </c>
      <c r="F14" s="69" t="s">
        <v>33</v>
      </c>
    </row>
    <row r="15" spans="1:6" ht="15" x14ac:dyDescent="0.2">
      <c r="A15" s="42" t="s">
        <v>34</v>
      </c>
      <c r="B15" s="70">
        <v>0.50045022839521203</v>
      </c>
      <c r="C15" s="71">
        <v>3.6728132843759975E-2</v>
      </c>
      <c r="D15" s="72"/>
      <c r="E15" s="71">
        <v>0.487362484079845</v>
      </c>
      <c r="F15" s="73">
        <v>4.0475434257870847E-2</v>
      </c>
    </row>
    <row r="16" spans="1:6" ht="15" x14ac:dyDescent="0.25">
      <c r="A16" s="42" t="s">
        <v>41</v>
      </c>
      <c r="B16" s="213">
        <v>7.2680000000000002E-3</v>
      </c>
      <c r="C16" s="214">
        <v>7.2680000000000002E-3</v>
      </c>
      <c r="D16" s="64"/>
      <c r="E16" s="214">
        <v>6.332E-3</v>
      </c>
      <c r="F16" s="215">
        <v>6.332E-3</v>
      </c>
    </row>
    <row r="17" spans="1:8" ht="15" x14ac:dyDescent="0.25">
      <c r="A17" s="42" t="s">
        <v>36</v>
      </c>
      <c r="B17" s="57">
        <v>55.731023999999998</v>
      </c>
      <c r="C17" s="74"/>
      <c r="D17" s="75"/>
      <c r="E17" s="74">
        <v>47.945903999999999</v>
      </c>
      <c r="F17" s="58"/>
    </row>
    <row r="18" spans="1:8" ht="15.75" thickBot="1" x14ac:dyDescent="0.3">
      <c r="A18" s="42" t="s">
        <v>37</v>
      </c>
      <c r="B18" s="76"/>
      <c r="C18" s="77">
        <v>55.382159999999999</v>
      </c>
      <c r="D18" s="78"/>
      <c r="E18" s="77"/>
      <c r="F18" s="79">
        <v>26.746368</v>
      </c>
    </row>
    <row r="20" spans="1:8" x14ac:dyDescent="0.2">
      <c r="A20" s="80" t="s">
        <v>42</v>
      </c>
    </row>
    <row r="21" spans="1:8" x14ac:dyDescent="0.2">
      <c r="A21" s="37" t="s">
        <v>43</v>
      </c>
      <c r="B21" s="37">
        <f>B17/B16</f>
        <v>7668</v>
      </c>
      <c r="C21" s="37">
        <f>C18/C16</f>
        <v>7620</v>
      </c>
      <c r="E21" s="37">
        <f>E17/E16</f>
        <v>7572</v>
      </c>
      <c r="F21" s="37">
        <f>F18/F16</f>
        <v>4224</v>
      </c>
    </row>
    <row r="22" spans="1:8" x14ac:dyDescent="0.2">
      <c r="A22" s="37" t="s">
        <v>44</v>
      </c>
      <c r="B22" s="37">
        <f>B21/12</f>
        <v>639</v>
      </c>
      <c r="C22" s="37">
        <f>C21/12</f>
        <v>635</v>
      </c>
      <c r="E22" s="37">
        <f>E21/12</f>
        <v>631</v>
      </c>
      <c r="F22" s="37">
        <f>F21/12</f>
        <v>352</v>
      </c>
    </row>
    <row r="23" spans="1:8" x14ac:dyDescent="0.2">
      <c r="A23" s="37" t="s">
        <v>45</v>
      </c>
    </row>
    <row r="25" spans="1:8" x14ac:dyDescent="0.2">
      <c r="A25" s="80" t="s">
        <v>46</v>
      </c>
    </row>
    <row r="26" spans="1:8" x14ac:dyDescent="0.2">
      <c r="A26" s="37" t="s">
        <v>47</v>
      </c>
    </row>
    <row r="27" spans="1:8" x14ac:dyDescent="0.2">
      <c r="A27" s="37" t="s">
        <v>48</v>
      </c>
    </row>
    <row r="28" spans="1:8" ht="15" x14ac:dyDescent="0.25">
      <c r="B28" s="81"/>
      <c r="C28" s="81"/>
      <c r="D28" s="81"/>
      <c r="E28" s="81"/>
      <c r="F28" s="81"/>
      <c r="G28" s="81"/>
    </row>
    <row r="29" spans="1:8" ht="15" x14ac:dyDescent="0.25">
      <c r="A29" s="80" t="s">
        <v>49</v>
      </c>
      <c r="B29" s="81"/>
      <c r="C29" s="81"/>
      <c r="D29" s="81"/>
      <c r="E29" s="81"/>
      <c r="F29" s="81"/>
      <c r="G29" s="81"/>
    </row>
    <row r="30" spans="1:8" ht="15" x14ac:dyDescent="0.25">
      <c r="A30" s="37" t="s">
        <v>50</v>
      </c>
      <c r="B30" s="82"/>
      <c r="C30" s="82"/>
      <c r="D30" s="83"/>
      <c r="F30" s="82"/>
      <c r="G30" s="82"/>
      <c r="H30" s="82"/>
    </row>
    <row r="31" spans="1:8" x14ac:dyDescent="0.2">
      <c r="A31" s="37" t="s">
        <v>51</v>
      </c>
      <c r="B31" s="84"/>
      <c r="C31" s="84"/>
      <c r="F31" s="84"/>
      <c r="G31" s="84"/>
    </row>
  </sheetData>
  <pageMargins left="0.7" right="0.7" top="0.75" bottom="0.75" header="0.3" footer="0.3"/>
  <pageSetup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Delivery</vt:lpstr>
      <vt:lpstr>Supply &amp; RECs ZECs</vt:lpstr>
      <vt:lpstr>CH Expenditures</vt:lpstr>
      <vt:lpstr>CH Alloc-Rates</vt:lpstr>
      <vt:lpstr>Con Edison</vt:lpstr>
      <vt:lpstr>NG Low Income</vt:lpstr>
      <vt:lpstr>NG Energy Efficiency</vt:lpstr>
      <vt:lpstr>NG Rate Information</vt:lpstr>
      <vt:lpstr>NYSEG &amp; RGE</vt:lpstr>
      <vt:lpstr>O&amp;R</vt:lpstr>
      <vt:lpstr>'CH Alloc-Rates'!Print_Area</vt:lpstr>
      <vt:lpstr>'NYSEG &amp; RGE'!Print_Area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Hart,SLH</dc:creator>
  <cp:lastModifiedBy>John Garvey,JMG</cp:lastModifiedBy>
  <dcterms:created xsi:type="dcterms:W3CDTF">2018-12-05T19:08:14Z</dcterms:created>
  <dcterms:modified xsi:type="dcterms:W3CDTF">2019-05-08T17:32:15Z</dcterms:modified>
</cp:coreProperties>
</file>