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n025us\Documents\"/>
    </mc:Choice>
  </mc:AlternateContent>
  <bookViews>
    <workbookView xWindow="0" yWindow="0" windowWidth="13800" windowHeight="3828" activeTab="1"/>
  </bookViews>
  <sheets>
    <sheet name="Summary" sheetId="6" r:id="rId1"/>
    <sheet name="CH" sheetId="4" r:id="rId2"/>
    <sheet name="NGrid" sheetId="5" r:id="rId3"/>
    <sheet name="NYSEG" sheetId="1" r:id="rId4"/>
    <sheet name="RG&amp;E" sheetId="2" r:id="rId5"/>
    <sheet name="O&amp;R" sheetId="3" r:id="rId6"/>
  </sheets>
  <definedNames>
    <definedName name="_xlnm.Print_Area" localSheetId="3">NYSEG!$A$1:$E$31</definedName>
    <definedName name="_xlnm.Print_Area" localSheetId="4">'RG&amp;E'!$A$1:$E$31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C20" i="3"/>
  <c r="E20" i="3"/>
  <c r="B20" i="3"/>
  <c r="B22" i="3" l="1"/>
  <c r="B26" i="3" s="1"/>
  <c r="C23" i="3" l="1"/>
  <c r="C29" i="3" s="1"/>
  <c r="B29" i="3"/>
  <c r="E16" i="3"/>
  <c r="D16" i="3"/>
  <c r="D24" i="3" l="1"/>
  <c r="D29" i="3" s="1"/>
  <c r="B18" i="5"/>
  <c r="B17" i="5"/>
  <c r="B20" i="5" s="1"/>
  <c r="C15" i="5"/>
  <c r="D15" i="5" s="1"/>
  <c r="B10" i="5"/>
  <c r="C10" i="5" s="1"/>
  <c r="E25" i="3" l="1"/>
  <c r="E15" i="5"/>
  <c r="E17" i="5" s="1"/>
  <c r="D17" i="5"/>
  <c r="D10" i="5"/>
  <c r="C12" i="5"/>
  <c r="C13" i="5" s="1"/>
  <c r="C17" i="5"/>
  <c r="B12" i="5"/>
  <c r="B19" i="5"/>
  <c r="B21" i="5" s="1"/>
  <c r="E26" i="3" l="1"/>
  <c r="E29" i="3"/>
  <c r="C20" i="5"/>
  <c r="D12" i="5"/>
  <c r="D13" i="5" s="1"/>
  <c r="E10" i="5"/>
  <c r="E12" i="5" s="1"/>
  <c r="E13" i="5" s="1"/>
  <c r="B25" i="5"/>
  <c r="C18" i="5"/>
  <c r="C21" i="5" s="1"/>
  <c r="D20" i="5"/>
  <c r="B22" i="5"/>
  <c r="B28" i="5" s="1"/>
  <c r="B29" i="5" s="1"/>
  <c r="B16" i="6" s="1"/>
  <c r="E20" i="5"/>
  <c r="B26" i="5" l="1"/>
  <c r="B7" i="6"/>
  <c r="C25" i="5"/>
  <c r="C26" i="5" s="1"/>
  <c r="D18" i="5"/>
  <c r="C19" i="5"/>
  <c r="C22" i="5"/>
  <c r="C28" i="5" s="1"/>
  <c r="C29" i="5" l="1"/>
  <c r="C16" i="6" s="1"/>
  <c r="C7" i="6"/>
  <c r="D19" i="5"/>
  <c r="D21" i="5" s="1"/>
  <c r="E18" i="5" l="1"/>
  <c r="D25" i="5"/>
  <c r="D26" i="5" s="1"/>
  <c r="D22" i="5"/>
  <c r="D28" i="5" s="1"/>
  <c r="D29" i="5" l="1"/>
  <c r="D16" i="6" s="1"/>
  <c r="D7" i="6"/>
  <c r="E19" i="5"/>
  <c r="E21" i="5" s="1"/>
  <c r="E25" i="5" l="1"/>
  <c r="E26" i="5" s="1"/>
  <c r="E22" i="5"/>
  <c r="E28" i="5" s="1"/>
  <c r="E29" i="5" l="1"/>
  <c r="E7" i="6"/>
  <c r="F7" i="6" s="1"/>
  <c r="E19" i="4"/>
  <c r="D19" i="4"/>
  <c r="C19" i="4"/>
  <c r="B19" i="4"/>
  <c r="B15" i="4"/>
  <c r="D14" i="4"/>
  <c r="E14" i="4" s="1"/>
  <c r="C13" i="4"/>
  <c r="C15" i="4" s="1"/>
  <c r="D13" i="4" l="1"/>
  <c r="E13" i="4" s="1"/>
  <c r="E15" i="4" s="1"/>
  <c r="B30" i="5"/>
  <c r="B24" i="6" s="1"/>
  <c r="E16" i="6"/>
  <c r="F16" i="6" s="1"/>
  <c r="D15" i="4"/>
  <c r="B21" i="4"/>
  <c r="B25" i="4" s="1"/>
  <c r="B26" i="4" s="1"/>
  <c r="B28" i="4" l="1"/>
  <c r="C22" i="4"/>
  <c r="C25" i="4" s="1"/>
  <c r="C26" i="4" s="1"/>
  <c r="B29" i="4" l="1"/>
  <c r="B15" i="6" s="1"/>
  <c r="B6" i="6"/>
  <c r="D23" i="4"/>
  <c r="E24" i="4" s="1"/>
  <c r="E25" i="4" s="1"/>
  <c r="E26" i="4" s="1"/>
  <c r="D28" i="4"/>
  <c r="C28" i="4"/>
  <c r="D29" i="4" l="1"/>
  <c r="D15" i="6" s="1"/>
  <c r="D6" i="6"/>
  <c r="D25" i="4"/>
  <c r="D26" i="4" s="1"/>
  <c r="C29" i="4"/>
  <c r="C15" i="6" s="1"/>
  <c r="C6" i="6"/>
  <c r="E28" i="4"/>
  <c r="E29" i="4" l="1"/>
  <c r="E6" i="6"/>
  <c r="F6" i="6" s="1"/>
  <c r="C14" i="3"/>
  <c r="B30" i="4" l="1"/>
  <c r="B23" i="6" s="1"/>
  <c r="E15" i="6"/>
  <c r="F15" i="6" s="1"/>
  <c r="B20" i="2"/>
  <c r="C18" i="2"/>
  <c r="C20" i="2" s="1"/>
  <c r="B15" i="2"/>
  <c r="C14" i="2"/>
  <c r="D14" i="2" s="1"/>
  <c r="E14" i="2" s="1"/>
  <c r="B14" i="2"/>
  <c r="B27" i="3" l="1"/>
  <c r="B16" i="2"/>
  <c r="B22" i="2" s="1"/>
  <c r="B26" i="2" s="1"/>
  <c r="B27" i="2" s="1"/>
  <c r="C15" i="2"/>
  <c r="D18" i="2"/>
  <c r="B30" i="3" l="1"/>
  <c r="B19" i="6" s="1"/>
  <c r="B10" i="6"/>
  <c r="C26" i="3"/>
  <c r="C27" i="3" s="1"/>
  <c r="E18" i="2"/>
  <c r="E20" i="2" s="1"/>
  <c r="D20" i="2"/>
  <c r="D15" i="2"/>
  <c r="C16" i="2"/>
  <c r="B29" i="2"/>
  <c r="B30" i="2" l="1"/>
  <c r="B18" i="6" s="1"/>
  <c r="B9" i="6"/>
  <c r="C30" i="3"/>
  <c r="C19" i="6" s="1"/>
  <c r="C10" i="6"/>
  <c r="D26" i="3"/>
  <c r="D27" i="3" s="1"/>
  <c r="C23" i="2"/>
  <c r="C26" i="2" s="1"/>
  <c r="C27" i="2" s="1"/>
  <c r="E15" i="2"/>
  <c r="E16" i="2" s="1"/>
  <c r="D16" i="2"/>
  <c r="D30" i="3" l="1"/>
  <c r="D19" i="6" s="1"/>
  <c r="D10" i="6"/>
  <c r="E27" i="3"/>
  <c r="D29" i="2"/>
  <c r="D24" i="2"/>
  <c r="D26" i="2" s="1"/>
  <c r="D27" i="2" s="1"/>
  <c r="C29" i="2"/>
  <c r="C30" i="2" l="1"/>
  <c r="C18" i="6" s="1"/>
  <c r="C9" i="6"/>
  <c r="D30" i="2"/>
  <c r="D18" i="6" s="1"/>
  <c r="D9" i="6"/>
  <c r="E30" i="3"/>
  <c r="B33" i="3" s="1"/>
  <c r="E10" i="6"/>
  <c r="E25" i="2"/>
  <c r="E26" i="2" s="1"/>
  <c r="E27" i="2" s="1"/>
  <c r="E29" i="2"/>
  <c r="E30" i="2" l="1"/>
  <c r="E9" i="6"/>
  <c r="F9" i="6"/>
  <c r="E19" i="6"/>
  <c r="B31" i="3"/>
  <c r="B27" i="6" s="1"/>
  <c r="F10" i="6"/>
  <c r="C14" i="1"/>
  <c r="D14" i="1" s="1"/>
  <c r="E14" i="1" s="1"/>
  <c r="B15" i="1"/>
  <c r="C15" i="1" s="1"/>
  <c r="B14" i="1"/>
  <c r="B20" i="1"/>
  <c r="C18" i="1"/>
  <c r="D18" i="1" s="1"/>
  <c r="E18" i="1" s="1"/>
  <c r="E20" i="1" s="1"/>
  <c r="B31" i="2" l="1"/>
  <c r="B26" i="6" s="1"/>
  <c r="E18" i="6"/>
  <c r="F18" i="6" s="1"/>
  <c r="F19" i="6"/>
  <c r="B16" i="1"/>
  <c r="C20" i="1"/>
  <c r="C16" i="1"/>
  <c r="D15" i="1"/>
  <c r="D20" i="1"/>
  <c r="B22" i="1" l="1"/>
  <c r="B29" i="1" s="1"/>
  <c r="E15" i="1"/>
  <c r="E16" i="1" s="1"/>
  <c r="D16" i="1"/>
  <c r="B30" i="1" l="1"/>
  <c r="B17" i="6" s="1"/>
  <c r="B8" i="6"/>
  <c r="B26" i="1"/>
  <c r="B27" i="1" s="1"/>
  <c r="C23" i="1"/>
  <c r="C29" i="1" s="1"/>
  <c r="C30" i="1" l="1"/>
  <c r="C17" i="6" s="1"/>
  <c r="C20" i="6" s="1"/>
  <c r="C8" i="6"/>
  <c r="C11" i="6" s="1"/>
  <c r="B11" i="6"/>
  <c r="B20" i="6"/>
  <c r="C26" i="1"/>
  <c r="C27" i="1" s="1"/>
  <c r="D24" i="1"/>
  <c r="E25" i="1" s="1"/>
  <c r="E26" i="1" s="1"/>
  <c r="E27" i="1" s="1"/>
  <c r="D29" i="1" l="1"/>
  <c r="D26" i="1"/>
  <c r="D27" i="1" s="1"/>
  <c r="E29" i="1"/>
  <c r="E30" i="1" l="1"/>
  <c r="E17" i="6" s="1"/>
  <c r="E20" i="6" s="1"/>
  <c r="E8" i="6"/>
  <c r="E11" i="6" s="1"/>
  <c r="D30" i="1"/>
  <c r="D8" i="6"/>
  <c r="D11" i="6" l="1"/>
  <c r="F8" i="6"/>
  <c r="F11" i="6" s="1"/>
  <c r="D17" i="6"/>
  <c r="B31" i="1"/>
  <c r="B25" i="6" s="1"/>
  <c r="B28" i="6" s="1"/>
  <c r="D20" i="6" l="1"/>
  <c r="F17" i="6"/>
  <c r="F20" i="6" s="1"/>
</calcChain>
</file>

<file path=xl/comments1.xml><?xml version="1.0" encoding="utf-8"?>
<comments xmlns="http://schemas.openxmlformats.org/spreadsheetml/2006/main">
  <authors>
    <author>Glynis Bunt</author>
  </authors>
  <commentList>
    <comment ref="B5" authorId="0" shapeId="0">
      <text>
        <r>
          <rPr>
            <b/>
            <sz val="9"/>
            <color indexed="81"/>
            <rFont val="Tahoma"/>
            <charset val="1"/>
          </rPr>
          <t>Glynis Bunt:</t>
        </r>
        <r>
          <rPr>
            <sz val="9"/>
            <color indexed="81"/>
            <rFont val="Tahoma"/>
            <charset val="1"/>
          </rPr>
          <t xml:space="preserve">
3/13/2018 Ted Kelly letter</t>
        </r>
      </text>
    </comment>
  </commentList>
</comments>
</file>

<file path=xl/comments2.xml><?xml version="1.0" encoding="utf-8"?>
<comments xmlns="http://schemas.openxmlformats.org/spreadsheetml/2006/main">
  <authors>
    <author>meyerc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NGRID:</t>
        </r>
        <r>
          <rPr>
            <sz val="9"/>
            <color indexed="81"/>
            <rFont val="Tahoma"/>
            <family val="2"/>
          </rPr>
          <t xml:space="preserve">
prorated based on estimated project connection dates and time remaining in 2018</t>
        </r>
      </text>
    </comment>
  </commentList>
</comments>
</file>

<file path=xl/sharedStrings.xml><?xml version="1.0" encoding="utf-8"?>
<sst xmlns="http://schemas.openxmlformats.org/spreadsheetml/2006/main" count="151" uniqueCount="69">
  <si>
    <t>RECs Available</t>
  </si>
  <si>
    <t>RECs Needed</t>
  </si>
  <si>
    <t>Annual Load Growth</t>
  </si>
  <si>
    <t>REC Obligation (% of Load)</t>
  </si>
  <si>
    <t>CDG MW Installed</t>
  </si>
  <si>
    <t>RNM MW Installed</t>
  </si>
  <si>
    <t>DG Capacity Factor</t>
  </si>
  <si>
    <t>2018 RECs</t>
  </si>
  <si>
    <t>2019 RECs</t>
  </si>
  <si>
    <t>2020 RECs</t>
  </si>
  <si>
    <t>2021 RECs</t>
  </si>
  <si>
    <t>RECs Expired &amp; Lost</t>
  </si>
  <si>
    <t>Value of RECs Expired &amp; Lost</t>
  </si>
  <si>
    <t>CDG MW (Value Stack) In Queue</t>
  </si>
  <si>
    <t>RNM MW (Value Stack) In Queue</t>
  </si>
  <si>
    <t>Assumptions</t>
  </si>
  <si>
    <t>Current Interconncetion Queue</t>
  </si>
  <si>
    <t>$ Value of Carried Balance</t>
  </si>
  <si>
    <t>REC Bank Balance (Qty.)</t>
  </si>
  <si>
    <t>Full-Service Load (MWh)</t>
  </si>
  <si>
    <t>DG Annual Growth Rate post-2020</t>
  </si>
  <si>
    <t>Tranche 4 MW</t>
  </si>
  <si>
    <t>NPV of RECs Expired &amp; Lost</t>
  </si>
  <si>
    <t>Estimated NYSEG REC Balances
 &amp; Increased Costs to Customers</t>
  </si>
  <si>
    <t>Estimated RG&amp;E REC Balances
 &amp; Increased Costs to Customers</t>
  </si>
  <si>
    <t>2018 REC Price</t>
  </si>
  <si>
    <t>Estimated Orange &amp; Rockland REC Balances
 &amp; Increased Costs to Customers</t>
  </si>
  <si>
    <t xml:space="preserve">Annual Load Growth </t>
  </si>
  <si>
    <t>DG Annual Growth Rate post-May 2020</t>
  </si>
  <si>
    <t>Current Interconnection Queue</t>
  </si>
  <si>
    <t>CDG MW in Excess of Tranche 4</t>
  </si>
  <si>
    <t>RNM and Other Value Stack MW Installed</t>
  </si>
  <si>
    <t>Estimated Central Hudson REC Balances
 &amp; Increased Costs to Customers</t>
  </si>
  <si>
    <t>CDG MW (Value Stack) In Queue 5/1/2018</t>
  </si>
  <si>
    <t>CDG MW (Value Stack) In Queue additional</t>
  </si>
  <si>
    <t>CDGMW in Excess of Tranche 4</t>
  </si>
  <si>
    <t>10% growth after May 2020</t>
  </si>
  <si>
    <t>CDG MW Installed - Additional</t>
  </si>
  <si>
    <t>Estimated National Grid REC Balances
 &amp; Increased Costs to Customers</t>
  </si>
  <si>
    <t>Current Interconnection Queue (with assumptions for what will come into service)</t>
  </si>
  <si>
    <t>Year</t>
  </si>
  <si>
    <t>In Queue (MW)</t>
  </si>
  <si>
    <t>VDER eligible</t>
  </si>
  <si>
    <t>Aggregate</t>
  </si>
  <si>
    <t>VDER projects forecast (MW)</t>
  </si>
  <si>
    <t>VDER RECs Available (MWh)</t>
  </si>
  <si>
    <t>Full-Service Load Forecast (MWh)</t>
  </si>
  <si>
    <t>Tier 1 REC Obligation (% of Load)</t>
  </si>
  <si>
    <t>Tier 1 REC Oblgiation (MWh)</t>
  </si>
  <si>
    <t>Tier 1 RECs Procured from NYSERDA, VDER or Banked</t>
  </si>
  <si>
    <t>Unmet Tier 1 Obligation</t>
  </si>
  <si>
    <t>Tier 1 Banking Limit (60%)</t>
  </si>
  <si>
    <t>Tier 1 RECs Banked</t>
  </si>
  <si>
    <t>Tier 1 RECs in Excess of Banking Limit</t>
  </si>
  <si>
    <t>Quantity of Expired RECs</t>
  </si>
  <si>
    <t>Central Hudson</t>
  </si>
  <si>
    <t>National Grid</t>
  </si>
  <si>
    <t>NYSEG</t>
  </si>
  <si>
    <t>RGE</t>
  </si>
  <si>
    <t>O&amp;R</t>
  </si>
  <si>
    <t>Total</t>
  </si>
  <si>
    <t>Value of Expired RECs</t>
  </si>
  <si>
    <t>NPV of Expired RECs</t>
  </si>
  <si>
    <t>CDG MW (Value Stack) In Queue 5/15/2018</t>
  </si>
  <si>
    <t>RECs Available*</t>
  </si>
  <si>
    <t>* 2018 and 2019 RECs from CDG projects are estimated based upon current scheduled in service dates.</t>
  </si>
  <si>
    <t>Total Balance at YE 2021 of RECs Expired, Lost, and Banked</t>
  </si>
  <si>
    <t>Appendix B: Projected Quantity and Value of Expired RECs Under Current REC Banking and Trading Rules</t>
  </si>
  <si>
    <t>NOTE: These projections are intended to capture a reasonable estimate of future costs. Timing and quantity of REC production from DER is based on interconnecting DER meeting their requested and scheduled in-service dates.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</si>
</sst>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#,##0.0"/>
    <numFmt numFmtId="166" formatCode="_(* #,##0.0_);_(* \(#,##0.0\);_(* &quot;-&quot;??_);_(@_)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/>
    <xf numFmtId="10" fontId="0" fillId="0" borderId="0" xfId="0" applyNumberFormat="1"/>
    <xf numFmtId="6" fontId="0" fillId="0" borderId="0" xfId="0" applyNumberFormat="1"/>
    <xf numFmtId="0" fontId="2" fillId="2" borderId="0" xfId="0" applyFont="1" applyFill="1"/>
    <xf numFmtId="0" fontId="1" fillId="2" borderId="0" xfId="0" applyFont="1" applyFill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3" fontId="0" fillId="0" borderId="0" xfId="0" applyNumberFormat="1" applyFill="1" applyBorder="1"/>
    <xf numFmtId="0" fontId="0" fillId="3" borderId="2" xfId="0" applyFill="1" applyBorder="1"/>
    <xf numFmtId="6" fontId="0" fillId="3" borderId="3" xfId="0" applyNumberFormat="1" applyFill="1" applyBorder="1"/>
    <xf numFmtId="10" fontId="0" fillId="4" borderId="0" xfId="0" applyNumberFormat="1" applyFill="1"/>
    <xf numFmtId="3" fontId="0" fillId="4" borderId="0" xfId="0" applyNumberFormat="1" applyFill="1"/>
    <xf numFmtId="165" fontId="0" fillId="4" borderId="0" xfId="0" applyNumberForma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10" fontId="0" fillId="0" borderId="0" xfId="0" applyNumberFormat="1" applyFill="1"/>
    <xf numFmtId="0" fontId="0" fillId="0" borderId="0" xfId="1" applyNumberFormat="1" applyFont="1"/>
    <xf numFmtId="166" fontId="0" fillId="0" borderId="0" xfId="1" applyNumberFormat="1" applyFont="1"/>
    <xf numFmtId="3" fontId="0" fillId="0" borderId="0" xfId="0" applyNumberFormat="1" applyFill="1"/>
    <xf numFmtId="167" fontId="0" fillId="0" borderId="0" xfId="1" applyNumberFormat="1" applyFont="1"/>
    <xf numFmtId="8" fontId="0" fillId="4" borderId="0" xfId="0" applyNumberFormat="1" applyFill="1"/>
    <xf numFmtId="0" fontId="1" fillId="0" borderId="0" xfId="0" applyFont="1" applyFill="1" applyBorder="1" applyAlignment="1"/>
    <xf numFmtId="0" fontId="0" fillId="0" borderId="0" xfId="0" applyNumberFormat="1" applyFont="1" applyFill="1" applyBorder="1" applyAlignment="1" applyProtection="1">
      <alignment wrapText="1"/>
    </xf>
    <xf numFmtId="0" fontId="5" fillId="0" borderId="4" xfId="0" applyFont="1" applyBorder="1"/>
    <xf numFmtId="0" fontId="0" fillId="5" borderId="4" xfId="0" applyFill="1" applyBorder="1"/>
    <xf numFmtId="0" fontId="0" fillId="0" borderId="4" xfId="0" applyBorder="1"/>
    <xf numFmtId="0" fontId="0" fillId="4" borderId="4" xfId="0" applyFill="1" applyBorder="1"/>
    <xf numFmtId="43" fontId="0" fillId="0" borderId="0" xfId="1" applyFont="1"/>
    <xf numFmtId="3" fontId="8" fillId="0" borderId="0" xfId="0" applyNumberFormat="1" applyFont="1" applyFill="1"/>
    <xf numFmtId="0" fontId="0" fillId="0" borderId="0" xfId="0" applyFill="1" applyBorder="1"/>
    <xf numFmtId="3" fontId="0" fillId="0" borderId="0" xfId="0" applyNumberFormat="1" applyBorder="1"/>
    <xf numFmtId="0" fontId="0" fillId="5" borderId="1" xfId="0" applyFill="1" applyBorder="1"/>
    <xf numFmtId="3" fontId="0" fillId="5" borderId="1" xfId="0" applyNumberFormat="1" applyFill="1" applyBorder="1"/>
    <xf numFmtId="164" fontId="0" fillId="5" borderId="1" xfId="0" applyNumberFormat="1" applyFill="1" applyBorder="1"/>
    <xf numFmtId="0" fontId="0" fillId="0" borderId="1" xfId="0" applyFill="1" applyBorder="1"/>
    <xf numFmtId="3" fontId="0" fillId="0" borderId="1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3" borderId="6" xfId="0" applyFill="1" applyBorder="1"/>
    <xf numFmtId="6" fontId="0" fillId="3" borderId="7" xfId="0" applyNumberFormat="1" applyFill="1" applyBorder="1"/>
    <xf numFmtId="0" fontId="5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0" fontId="5" fillId="0" borderId="8" xfId="0" applyFont="1" applyBorder="1"/>
    <xf numFmtId="3" fontId="5" fillId="0" borderId="8" xfId="0" applyNumberFormat="1" applyFont="1" applyBorder="1"/>
    <xf numFmtId="3" fontId="5" fillId="0" borderId="4" xfId="0" applyNumberFormat="1" applyFont="1" applyBorder="1"/>
    <xf numFmtId="164" fontId="5" fillId="0" borderId="8" xfId="0" applyNumberFormat="1" applyFont="1" applyBorder="1"/>
    <xf numFmtId="164" fontId="5" fillId="0" borderId="1" xfId="0" applyNumberFormat="1" applyFont="1" applyBorder="1"/>
    <xf numFmtId="164" fontId="5" fillId="0" borderId="4" xfId="0" applyNumberFormat="1" applyFont="1" applyBorder="1"/>
    <xf numFmtId="0" fontId="1" fillId="0" borderId="0" xfId="0" applyFont="1" applyFill="1" applyAlignment="1"/>
    <xf numFmtId="6" fontId="5" fillId="0" borderId="9" xfId="0" applyNumberFormat="1" applyFont="1" applyBorder="1"/>
    <xf numFmtId="0" fontId="0" fillId="0" borderId="10" xfId="0" applyBorder="1"/>
    <xf numFmtId="164" fontId="0" fillId="0" borderId="9" xfId="0" applyNumberFormat="1" applyBorder="1"/>
    <xf numFmtId="0" fontId="1" fillId="6" borderId="0" xfId="0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8" sqref="K8"/>
    </sheetView>
  </sheetViews>
  <sheetFormatPr defaultRowHeight="14.4" x14ac:dyDescent="0.3"/>
  <cols>
    <col min="1" max="1" width="15.5546875" customWidth="1"/>
    <col min="2" max="2" width="14.33203125" customWidth="1"/>
    <col min="3" max="3" width="13.109375" customWidth="1"/>
    <col min="4" max="4" width="12" customWidth="1"/>
    <col min="5" max="5" width="12.109375" customWidth="1"/>
    <col min="6" max="6" width="12.5546875" customWidth="1"/>
  </cols>
  <sheetData>
    <row r="1" spans="1:9" ht="68.25" customHeight="1" x14ac:dyDescent="0.3">
      <c r="A1" s="58" t="s">
        <v>67</v>
      </c>
      <c r="B1" s="58"/>
      <c r="C1" s="58"/>
      <c r="D1" s="58"/>
      <c r="E1" s="58"/>
      <c r="F1" s="58"/>
      <c r="G1" s="58"/>
      <c r="H1" s="58"/>
      <c r="I1" s="58"/>
    </row>
    <row r="2" spans="1:9" ht="47.1" customHeight="1" x14ac:dyDescent="0.3">
      <c r="A2" s="57" t="s">
        <v>68</v>
      </c>
      <c r="B2" s="57"/>
      <c r="C2" s="57"/>
      <c r="D2" s="57"/>
      <c r="E2" s="57"/>
      <c r="F2" s="57"/>
      <c r="G2" s="57"/>
      <c r="H2" s="57"/>
      <c r="I2" s="57"/>
    </row>
    <row r="4" spans="1:9" x14ac:dyDescent="0.3">
      <c r="A4" s="56" t="s">
        <v>54</v>
      </c>
      <c r="B4" s="56"/>
      <c r="C4" s="56"/>
      <c r="D4" s="56"/>
      <c r="E4" s="56"/>
      <c r="F4" s="56"/>
    </row>
    <row r="5" spans="1:9" x14ac:dyDescent="0.3">
      <c r="B5" s="43">
        <v>2018</v>
      </c>
      <c r="C5" s="43">
        <v>2019</v>
      </c>
      <c r="D5" s="43">
        <v>2020</v>
      </c>
      <c r="E5" s="43">
        <v>2021</v>
      </c>
      <c r="F5" s="46" t="s">
        <v>60</v>
      </c>
    </row>
    <row r="6" spans="1:9" x14ac:dyDescent="0.3">
      <c r="A6" t="s">
        <v>55</v>
      </c>
      <c r="B6" s="1">
        <f>CH!B28</f>
        <v>38390.400000000001</v>
      </c>
      <c r="C6" s="1">
        <f>CH!C28</f>
        <v>109586.40000000002</v>
      </c>
      <c r="D6" s="1">
        <f>CH!D28</f>
        <v>80342.640000000014</v>
      </c>
      <c r="E6" s="1">
        <f>CH!E28</f>
        <v>79500.504000000044</v>
      </c>
      <c r="F6" s="47">
        <f>SUM(B6:E6)</f>
        <v>307819.94400000008</v>
      </c>
    </row>
    <row r="7" spans="1:9" x14ac:dyDescent="0.3">
      <c r="A7" t="s">
        <v>56</v>
      </c>
      <c r="B7" s="1">
        <f>NGrid!B25</f>
        <v>0</v>
      </c>
      <c r="C7" s="1">
        <f>NGrid!C28</f>
        <v>31639.920000000013</v>
      </c>
      <c r="D7" s="1">
        <f>NGrid!D28</f>
        <v>0</v>
      </c>
      <c r="E7" s="1">
        <f>NGrid!E28</f>
        <v>0</v>
      </c>
      <c r="F7" s="47">
        <f t="shared" ref="F7:F10" si="0">SUM(B7:E7)</f>
        <v>31639.920000000013</v>
      </c>
    </row>
    <row r="8" spans="1:9" x14ac:dyDescent="0.3">
      <c r="A8" t="s">
        <v>57</v>
      </c>
      <c r="B8" s="1">
        <f>NYSEG!B29</f>
        <v>198219.64079243608</v>
      </c>
      <c r="C8" s="1">
        <f>NYSEG!C29</f>
        <v>245146.85604643551</v>
      </c>
      <c r="D8" s="1">
        <f>NYSEG!D29</f>
        <v>74791.236049849773</v>
      </c>
      <c r="E8" s="1">
        <f>NYSEG!E29</f>
        <v>43201.740890035842</v>
      </c>
      <c r="F8" s="47">
        <f t="shared" si="0"/>
        <v>561359.47377875727</v>
      </c>
    </row>
    <row r="9" spans="1:9" x14ac:dyDescent="0.3">
      <c r="A9" t="s">
        <v>58</v>
      </c>
      <c r="B9" s="1">
        <f>'RG&amp;E'!B29</f>
        <v>48010.028500799999</v>
      </c>
      <c r="C9" s="1">
        <f>'RG&amp;E'!C29</f>
        <v>54689.143635676795</v>
      </c>
      <c r="D9" s="1">
        <f>'RG&amp;E'!D29</f>
        <v>0</v>
      </c>
      <c r="E9" s="1">
        <f>'RG&amp;E'!E29</f>
        <v>0</v>
      </c>
      <c r="F9" s="47">
        <f t="shared" si="0"/>
        <v>102699.17213647679</v>
      </c>
    </row>
    <row r="10" spans="1:9" x14ac:dyDescent="0.3">
      <c r="A10" t="s">
        <v>59</v>
      </c>
      <c r="B10" s="1">
        <f>'O&amp;R'!B29</f>
        <v>19574.852000000003</v>
      </c>
      <c r="C10" s="1">
        <f>'O&amp;R'!C29</f>
        <v>71873.290240000002</v>
      </c>
      <c r="D10" s="1">
        <f>'O&amp;R'!D29</f>
        <v>41353.000639999998</v>
      </c>
      <c r="E10" s="1">
        <f>'O&amp;R'!E29</f>
        <v>12776.404799999997</v>
      </c>
      <c r="F10" s="47">
        <f t="shared" si="0"/>
        <v>145577.54767999999</v>
      </c>
    </row>
    <row r="11" spans="1:9" x14ac:dyDescent="0.3">
      <c r="A11" s="44" t="s">
        <v>60</v>
      </c>
      <c r="B11" s="45">
        <f>SUM(B6:B10)</f>
        <v>304194.92129323608</v>
      </c>
      <c r="C11" s="45">
        <f t="shared" ref="C11:F11" si="1">SUM(C6:C10)</f>
        <v>512935.60992211231</v>
      </c>
      <c r="D11" s="45">
        <f t="shared" si="1"/>
        <v>196486.87668984977</v>
      </c>
      <c r="E11" s="45">
        <f t="shared" si="1"/>
        <v>135478.64969003588</v>
      </c>
      <c r="F11" s="48">
        <f t="shared" si="1"/>
        <v>1149096.0575952341</v>
      </c>
    </row>
    <row r="13" spans="1:9" x14ac:dyDescent="0.3">
      <c r="A13" s="56" t="s">
        <v>61</v>
      </c>
      <c r="B13" s="56"/>
      <c r="C13" s="56"/>
      <c r="D13" s="56"/>
      <c r="E13" s="56"/>
      <c r="F13" s="56"/>
    </row>
    <row r="14" spans="1:9" x14ac:dyDescent="0.3">
      <c r="B14" s="43">
        <v>2018</v>
      </c>
      <c r="C14" s="43">
        <v>2019</v>
      </c>
      <c r="D14" s="43">
        <v>2020</v>
      </c>
      <c r="E14" s="43">
        <v>2021</v>
      </c>
      <c r="F14" s="46" t="s">
        <v>60</v>
      </c>
    </row>
    <row r="15" spans="1:9" x14ac:dyDescent="0.3">
      <c r="A15" t="s">
        <v>55</v>
      </c>
      <c r="B15" s="9">
        <f>CH!B29</f>
        <v>653020.70400000003</v>
      </c>
      <c r="C15" s="9">
        <f>CH!C29</f>
        <v>1864064.6640000006</v>
      </c>
      <c r="D15" s="9">
        <f>CH!D29</f>
        <v>1366628.3064000004</v>
      </c>
      <c r="E15" s="9">
        <f>CH!E29</f>
        <v>1352303.5730400009</v>
      </c>
      <c r="F15" s="49">
        <f>SUM(B15:E15)</f>
        <v>5236017.2474400019</v>
      </c>
    </row>
    <row r="16" spans="1:9" x14ac:dyDescent="0.3">
      <c r="A16" t="s">
        <v>56</v>
      </c>
      <c r="B16" s="9">
        <f>NGrid!B29</f>
        <v>0</v>
      </c>
      <c r="C16" s="9">
        <f>NGrid!C29</f>
        <v>538195.03920000023</v>
      </c>
      <c r="D16" s="9">
        <f>NGrid!D29</f>
        <v>0</v>
      </c>
      <c r="E16" s="9">
        <f>NGrid!E29</f>
        <v>0</v>
      </c>
      <c r="F16" s="49">
        <f t="shared" ref="F16:F19" si="2">SUM(B16:E16)</f>
        <v>538195.03920000023</v>
      </c>
    </row>
    <row r="17" spans="1:6" x14ac:dyDescent="0.3">
      <c r="A17" t="s">
        <v>57</v>
      </c>
      <c r="B17" s="9">
        <f>NYSEG!B30</f>
        <v>3371716.0898793382</v>
      </c>
      <c r="C17" s="9">
        <f>NYSEG!C30</f>
        <v>4169948.0213498683</v>
      </c>
      <c r="D17" s="9">
        <f>NYSEG!D30</f>
        <v>1272198.9252079448</v>
      </c>
      <c r="E17" s="9">
        <f>NYSEG!E30</f>
        <v>734861.61253950978</v>
      </c>
      <c r="F17" s="49">
        <f t="shared" si="2"/>
        <v>9548724.6489766613</v>
      </c>
    </row>
    <row r="18" spans="1:6" x14ac:dyDescent="0.3">
      <c r="A18" t="s">
        <v>58</v>
      </c>
      <c r="B18" s="9">
        <f>'RG&amp;E'!B30</f>
        <v>816650.58479860809</v>
      </c>
      <c r="C18" s="9">
        <f>'RG&amp;E'!C30</f>
        <v>930262.33324286237</v>
      </c>
      <c r="D18" s="9">
        <f>'RG&amp;E'!D30</f>
        <v>0</v>
      </c>
      <c r="E18" s="9">
        <f>'RG&amp;E'!E30</f>
        <v>0</v>
      </c>
      <c r="F18" s="49">
        <f t="shared" si="2"/>
        <v>1746912.9180414705</v>
      </c>
    </row>
    <row r="19" spans="1:6" x14ac:dyDescent="0.3">
      <c r="A19" t="s">
        <v>59</v>
      </c>
      <c r="B19" s="9">
        <f>'O&amp;R'!B30</f>
        <v>332968.23252000008</v>
      </c>
      <c r="C19" s="9">
        <f>'O&amp;R'!C30</f>
        <v>1222564.6669824002</v>
      </c>
      <c r="D19" s="9">
        <f>'O&amp;R'!D30</f>
        <v>703414.54088640003</v>
      </c>
      <c r="E19" s="9">
        <f>'O&amp;R'!E30</f>
        <v>217326.64564799998</v>
      </c>
      <c r="F19" s="49">
        <f t="shared" si="2"/>
        <v>2476274.0860368004</v>
      </c>
    </row>
    <row r="20" spans="1:6" x14ac:dyDescent="0.3">
      <c r="A20" s="44" t="s">
        <v>60</v>
      </c>
      <c r="B20" s="50">
        <f>SUM(B15:B19)</f>
        <v>5174355.6111979466</v>
      </c>
      <c r="C20" s="50">
        <f t="shared" ref="C20" si="3">SUM(C15:C19)</f>
        <v>8725034.7247751318</v>
      </c>
      <c r="D20" s="50">
        <f t="shared" ref="D20" si="4">SUM(D15:D19)</f>
        <v>3342241.772494345</v>
      </c>
      <c r="E20" s="50">
        <f t="shared" ref="E20" si="5">SUM(E15:E19)</f>
        <v>2304491.8312275107</v>
      </c>
      <c r="F20" s="51">
        <f t="shared" ref="F20" si="6">SUM(F15:F19)</f>
        <v>19546123.939694937</v>
      </c>
    </row>
    <row r="22" spans="1:6" x14ac:dyDescent="0.3">
      <c r="A22" s="56" t="s">
        <v>62</v>
      </c>
      <c r="B22" s="56"/>
      <c r="C22" s="52"/>
      <c r="D22" s="52"/>
      <c r="E22" s="52"/>
      <c r="F22" s="52"/>
    </row>
    <row r="23" spans="1:6" x14ac:dyDescent="0.3">
      <c r="A23" t="s">
        <v>55</v>
      </c>
      <c r="B23" s="3">
        <f>CH!B30</f>
        <v>4969020.9844135018</v>
      </c>
    </row>
    <row r="24" spans="1:6" x14ac:dyDescent="0.3">
      <c r="A24" t="s">
        <v>56</v>
      </c>
      <c r="B24" s="3">
        <f>NGrid!B30</f>
        <v>517296.26989619399</v>
      </c>
    </row>
    <row r="25" spans="1:6" x14ac:dyDescent="0.3">
      <c r="A25" t="s">
        <v>57</v>
      </c>
      <c r="B25" s="3">
        <f>NYSEG!B31</f>
        <v>9191347.8679095134</v>
      </c>
    </row>
    <row r="26" spans="1:6" x14ac:dyDescent="0.3">
      <c r="A26" t="s">
        <v>58</v>
      </c>
      <c r="B26" s="3">
        <f>'RG&amp;E'!B31</f>
        <v>1694776.9413085761</v>
      </c>
    </row>
    <row r="27" spans="1:6" x14ac:dyDescent="0.3">
      <c r="A27" t="s">
        <v>59</v>
      </c>
      <c r="B27" s="3">
        <f>'O&amp;R'!B31</f>
        <v>2365149.8944531558</v>
      </c>
    </row>
    <row r="28" spans="1:6" x14ac:dyDescent="0.3">
      <c r="A28" s="44" t="s">
        <v>60</v>
      </c>
      <c r="B28" s="53">
        <f>SUM(B23:B27)</f>
        <v>18737591.957980942</v>
      </c>
    </row>
  </sheetData>
  <mergeCells count="5">
    <mergeCell ref="A4:F4"/>
    <mergeCell ref="A13:F13"/>
    <mergeCell ref="A22:B22"/>
    <mergeCell ref="A2:I2"/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E25" sqref="E25"/>
    </sheetView>
  </sheetViews>
  <sheetFormatPr defaultRowHeight="14.4" x14ac:dyDescent="0.3"/>
  <cols>
    <col min="1" max="1" width="37.44140625" customWidth="1"/>
    <col min="2" max="3" width="13.5546875" bestFit="1" customWidth="1"/>
    <col min="4" max="4" width="10.109375" bestFit="1" customWidth="1"/>
    <col min="5" max="6" width="12.5546875" customWidth="1"/>
    <col min="7" max="7" width="9.109375" bestFit="1" customWidth="1"/>
    <col min="9" max="10" width="10.109375" bestFit="1" customWidth="1"/>
  </cols>
  <sheetData>
    <row r="1" spans="1:5" ht="21" x14ac:dyDescent="0.3">
      <c r="A1" s="59" t="s">
        <v>32</v>
      </c>
      <c r="B1" s="60"/>
      <c r="C1" s="60"/>
      <c r="D1" s="60"/>
      <c r="E1" s="60"/>
    </row>
    <row r="2" spans="1:5" x14ac:dyDescent="0.3">
      <c r="A2" s="61" t="s">
        <v>15</v>
      </c>
      <c r="B2" s="61"/>
    </row>
    <row r="3" spans="1:5" x14ac:dyDescent="0.3">
      <c r="A3" t="s">
        <v>28</v>
      </c>
      <c r="B3" s="18">
        <v>0.1</v>
      </c>
    </row>
    <row r="4" spans="1:5" x14ac:dyDescent="0.3">
      <c r="A4" t="s">
        <v>6</v>
      </c>
      <c r="B4" s="2">
        <v>0.14000000000000001</v>
      </c>
    </row>
    <row r="5" spans="1:5" x14ac:dyDescent="0.3">
      <c r="A5" t="s">
        <v>25</v>
      </c>
      <c r="B5" s="3">
        <v>17.010000000000002</v>
      </c>
    </row>
    <row r="6" spans="1:5" x14ac:dyDescent="0.3">
      <c r="B6" s="3"/>
    </row>
    <row r="7" spans="1:5" x14ac:dyDescent="0.3">
      <c r="A7" s="61" t="s">
        <v>29</v>
      </c>
      <c r="B7" s="61"/>
    </row>
    <row r="8" spans="1:5" x14ac:dyDescent="0.3">
      <c r="A8" t="s">
        <v>33</v>
      </c>
      <c r="B8" s="20">
        <v>105.7</v>
      </c>
      <c r="C8" s="1"/>
    </row>
    <row r="9" spans="1:5" x14ac:dyDescent="0.3">
      <c r="A9" t="s">
        <v>34</v>
      </c>
      <c r="B9" s="20">
        <v>2.7</v>
      </c>
      <c r="C9" s="1"/>
    </row>
    <row r="10" spans="1:5" x14ac:dyDescent="0.3">
      <c r="A10" t="s">
        <v>35</v>
      </c>
      <c r="B10" s="20">
        <v>0</v>
      </c>
      <c r="C10" s="1" t="s">
        <v>36</v>
      </c>
    </row>
    <row r="12" spans="1:5" x14ac:dyDescent="0.3">
      <c r="A12" s="4"/>
      <c r="B12" s="5">
        <v>2018</v>
      </c>
      <c r="C12" s="5">
        <v>2019</v>
      </c>
      <c r="D12" s="5">
        <v>2020</v>
      </c>
      <c r="E12" s="5">
        <v>2021</v>
      </c>
    </row>
    <row r="13" spans="1:5" x14ac:dyDescent="0.3">
      <c r="A13" t="s">
        <v>4</v>
      </c>
      <c r="B13" s="21">
        <v>36</v>
      </c>
      <c r="C13" s="1">
        <f>B13+75</f>
        <v>111</v>
      </c>
      <c r="D13" s="1">
        <f>(C13+18)+C13*B3</f>
        <v>140.1</v>
      </c>
      <c r="E13" s="1">
        <f>D13*(1+$B$3)</f>
        <v>154.11000000000001</v>
      </c>
    </row>
    <row r="14" spans="1:5" x14ac:dyDescent="0.3">
      <c r="A14" t="s">
        <v>37</v>
      </c>
      <c r="B14" s="1"/>
      <c r="C14" s="1"/>
      <c r="D14" s="1">
        <f t="shared" ref="D14:E14" si="0">C14*(1+$B$3)</f>
        <v>0</v>
      </c>
      <c r="E14" s="1">
        <f t="shared" si="0"/>
        <v>0</v>
      </c>
    </row>
    <row r="15" spans="1:5" x14ac:dyDescent="0.3">
      <c r="A15" s="6" t="s">
        <v>0</v>
      </c>
      <c r="B15" s="7">
        <f>(B14+B13)*8760*$B$4</f>
        <v>44150.400000000001</v>
      </c>
      <c r="C15" s="7">
        <f t="shared" ref="C15:E15" si="1">(C14+C13)*8760*$B$4</f>
        <v>136130.40000000002</v>
      </c>
      <c r="D15" s="7">
        <f t="shared" si="1"/>
        <v>171818.64</v>
      </c>
      <c r="E15" s="7">
        <f t="shared" si="1"/>
        <v>189000.50400000004</v>
      </c>
    </row>
    <row r="17" spans="1:7" x14ac:dyDescent="0.3">
      <c r="A17" t="s">
        <v>19</v>
      </c>
      <c r="B17" s="21">
        <v>2400000</v>
      </c>
      <c r="C17" s="21">
        <v>2300000</v>
      </c>
      <c r="D17" s="21">
        <v>2250000</v>
      </c>
      <c r="E17" s="21">
        <v>2200000</v>
      </c>
    </row>
    <row r="18" spans="1:7" x14ac:dyDescent="0.3">
      <c r="A18" t="s">
        <v>3</v>
      </c>
      <c r="B18" s="18">
        <v>1.5E-3</v>
      </c>
      <c r="C18" s="18">
        <v>7.7999999999999996E-3</v>
      </c>
      <c r="D18" s="18">
        <v>2.8400000000000002E-2</v>
      </c>
      <c r="E18" s="18">
        <v>4.2000000000000003E-2</v>
      </c>
    </row>
    <row r="19" spans="1:7" x14ac:dyDescent="0.3">
      <c r="A19" s="6" t="s">
        <v>1</v>
      </c>
      <c r="B19" s="7">
        <f>B18*B17</f>
        <v>3600</v>
      </c>
      <c r="C19" s="7">
        <f t="shared" ref="C19:E19" si="2">C18*C17</f>
        <v>17940</v>
      </c>
      <c r="D19" s="7">
        <f t="shared" si="2"/>
        <v>63900.000000000007</v>
      </c>
      <c r="E19" s="7">
        <f t="shared" si="2"/>
        <v>92400</v>
      </c>
      <c r="G19" s="10"/>
    </row>
    <row r="21" spans="1:7" x14ac:dyDescent="0.3">
      <c r="A21" t="s">
        <v>7</v>
      </c>
      <c r="B21" s="1">
        <f>MIN((B$15-B$19),(B$19*0.6))</f>
        <v>2160</v>
      </c>
      <c r="C21" s="1">
        <v>0</v>
      </c>
      <c r="D21" s="1">
        <v>0</v>
      </c>
      <c r="E21">
        <v>0</v>
      </c>
    </row>
    <row r="22" spans="1:7" x14ac:dyDescent="0.3">
      <c r="A22" t="s">
        <v>8</v>
      </c>
      <c r="B22" s="1"/>
      <c r="C22" s="1">
        <f>MIN((C$15-C$19+B21),(C$19*0.6))</f>
        <v>10764</v>
      </c>
      <c r="D22" s="1">
        <v>0</v>
      </c>
      <c r="E22" s="1">
        <v>0</v>
      </c>
    </row>
    <row r="23" spans="1:7" x14ac:dyDescent="0.3">
      <c r="A23" t="s">
        <v>9</v>
      </c>
      <c r="B23" s="1"/>
      <c r="C23" s="1"/>
      <c r="D23" s="1">
        <f>MIN((D$15-D$19+C22),(D$19*0.6))</f>
        <v>38340</v>
      </c>
      <c r="E23" s="1">
        <v>0</v>
      </c>
    </row>
    <row r="24" spans="1:7" x14ac:dyDescent="0.3">
      <c r="A24" t="s">
        <v>10</v>
      </c>
      <c r="B24" s="1"/>
      <c r="C24" s="1"/>
      <c r="D24" s="1"/>
      <c r="E24" s="1">
        <f>MIN((E$15-E$19+D23),(E$19*0.6))</f>
        <v>55440</v>
      </c>
    </row>
    <row r="25" spans="1:7" x14ac:dyDescent="0.3">
      <c r="A25" s="6" t="s">
        <v>18</v>
      </c>
      <c r="B25" s="7">
        <f>B21</f>
        <v>2160</v>
      </c>
      <c r="C25" s="7">
        <f>SUM(C21:C22)</f>
        <v>10764</v>
      </c>
      <c r="D25" s="7">
        <f>SUM(D22:D23)</f>
        <v>38340</v>
      </c>
      <c r="E25" s="7">
        <f>SUM(E22:E24)</f>
        <v>55440</v>
      </c>
    </row>
    <row r="26" spans="1:7" x14ac:dyDescent="0.3">
      <c r="A26" s="6" t="s">
        <v>17</v>
      </c>
      <c r="B26" s="8">
        <f>B25*$B$5</f>
        <v>36741.600000000006</v>
      </c>
      <c r="C26" s="8">
        <f t="shared" ref="C26:E26" si="3">C25*$B$5</f>
        <v>183095.64</v>
      </c>
      <c r="D26" s="8">
        <f t="shared" si="3"/>
        <v>652163.4</v>
      </c>
      <c r="E26" s="8">
        <f t="shared" si="3"/>
        <v>943034.40000000014</v>
      </c>
    </row>
    <row r="27" spans="1:7" x14ac:dyDescent="0.3">
      <c r="B27" s="1"/>
      <c r="C27" s="1"/>
      <c r="D27" s="1"/>
      <c r="E27" s="1"/>
    </row>
    <row r="28" spans="1:7" x14ac:dyDescent="0.3">
      <c r="A28" t="s">
        <v>11</v>
      </c>
      <c r="B28" s="1">
        <f>IF((B15-B19)&gt;(B19*0.6),(B15-B19-B21),B21)</f>
        <v>38390.400000000001</v>
      </c>
      <c r="C28" s="1">
        <f>IF((C15-C19+B21)&gt;(C19*0.6),(C15-C19-C22+B21),0)</f>
        <v>109586.40000000002</v>
      </c>
      <c r="D28" s="1">
        <f>IF((D15-D19-C22)&gt;(D19*0.6),(D15-D19-D23+C22),0)</f>
        <v>80342.640000000014</v>
      </c>
      <c r="E28" s="1">
        <f>IF((E15-E19+D23)&gt;(E19*0.6),(E15-E19+D23-E24),0)</f>
        <v>79500.504000000044</v>
      </c>
    </row>
    <row r="29" spans="1:7" ht="15" thickBot="1" x14ac:dyDescent="0.35">
      <c r="A29" t="s">
        <v>12</v>
      </c>
      <c r="B29" s="9">
        <f>B28*$B$5</f>
        <v>653020.70400000003</v>
      </c>
      <c r="C29" s="9">
        <f t="shared" ref="C29:D29" si="4">C28*$B$5</f>
        <v>1864064.6640000006</v>
      </c>
      <c r="D29" s="9">
        <f t="shared" si="4"/>
        <v>1366628.3064000004</v>
      </c>
      <c r="E29" s="9">
        <f>E28*B5</f>
        <v>1352303.5730400009</v>
      </c>
    </row>
    <row r="30" spans="1:7" ht="15" thickBot="1" x14ac:dyDescent="0.35">
      <c r="A30" s="11" t="s">
        <v>22</v>
      </c>
      <c r="B30" s="12">
        <f>NPV(0.02,B29:E29)</f>
        <v>4969020.9844135018</v>
      </c>
    </row>
    <row r="31" spans="1:7" x14ac:dyDescent="0.3">
      <c r="C31" s="1"/>
      <c r="D31" s="1"/>
      <c r="E31" s="1"/>
    </row>
    <row r="34" spans="2:5" x14ac:dyDescent="0.3">
      <c r="B34" s="1"/>
      <c r="C34" s="1"/>
      <c r="D34" s="1"/>
      <c r="E34" s="1"/>
    </row>
    <row r="35" spans="2:5" x14ac:dyDescent="0.3">
      <c r="B35" s="22"/>
      <c r="C35" s="22"/>
      <c r="D35" s="22"/>
      <c r="E35" s="22"/>
    </row>
    <row r="37" spans="2:5" x14ac:dyDescent="0.3">
      <c r="B37" s="1"/>
      <c r="C37" s="1"/>
      <c r="D37" s="1"/>
    </row>
    <row r="38" spans="2:5" x14ac:dyDescent="0.3">
      <c r="B38" s="1"/>
      <c r="C38" s="1"/>
    </row>
  </sheetData>
  <mergeCells count="3">
    <mergeCell ref="A1:E1"/>
    <mergeCell ref="A2:B2"/>
    <mergeCell ref="A7:B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0"/>
  <sheetViews>
    <sheetView workbookViewId="0">
      <selection activeCell="B13" sqref="B13"/>
    </sheetView>
  </sheetViews>
  <sheetFormatPr defaultRowHeight="14.4" x14ac:dyDescent="0.3"/>
  <cols>
    <col min="1" max="1" width="48.44140625" bestFit="1" customWidth="1"/>
    <col min="2" max="2" width="12.33203125" customWidth="1"/>
    <col min="3" max="3" width="13.5546875" bestFit="1" customWidth="1"/>
    <col min="4" max="4" width="11.5546875" customWidth="1"/>
    <col min="5" max="6" width="12.6640625" customWidth="1"/>
    <col min="7" max="7" width="14.6640625" bestFit="1" customWidth="1"/>
    <col min="10" max="10" width="11" customWidth="1"/>
  </cols>
  <sheetData>
    <row r="1" spans="1:10" ht="21" x14ac:dyDescent="0.3">
      <c r="A1" s="59" t="s">
        <v>38</v>
      </c>
      <c r="B1" s="60"/>
      <c r="C1" s="60"/>
      <c r="D1" s="60"/>
      <c r="E1" s="60"/>
    </row>
    <row r="2" spans="1:10" x14ac:dyDescent="0.3">
      <c r="A2" s="61" t="s">
        <v>15</v>
      </c>
      <c r="B2" s="61"/>
    </row>
    <row r="3" spans="1:10" x14ac:dyDescent="0.3">
      <c r="A3" t="s">
        <v>2</v>
      </c>
      <c r="B3" s="2">
        <v>0</v>
      </c>
    </row>
    <row r="4" spans="1:10" x14ac:dyDescent="0.3">
      <c r="A4" t="s">
        <v>6</v>
      </c>
      <c r="B4" s="2">
        <v>0.14000000000000001</v>
      </c>
    </row>
    <row r="5" spans="1:10" x14ac:dyDescent="0.3">
      <c r="A5" t="s">
        <v>25</v>
      </c>
      <c r="B5" s="23">
        <v>17.010000000000002</v>
      </c>
    </row>
    <row r="6" spans="1:10" x14ac:dyDescent="0.3">
      <c r="A6" s="62" t="s">
        <v>39</v>
      </c>
      <c r="B6" s="62"/>
      <c r="C6" s="62"/>
      <c r="D6" s="62"/>
      <c r="E6" s="62"/>
      <c r="F6" s="24"/>
      <c r="G6" s="25"/>
      <c r="H6" s="25"/>
      <c r="I6" s="25"/>
      <c r="J6" s="25"/>
    </row>
    <row r="7" spans="1:10" x14ac:dyDescent="0.3">
      <c r="A7" s="26" t="s">
        <v>40</v>
      </c>
      <c r="B7" s="27">
        <v>2018</v>
      </c>
      <c r="C7" s="27">
        <v>2019</v>
      </c>
      <c r="D7" s="27">
        <v>2020</v>
      </c>
      <c r="E7" s="27">
        <v>2021</v>
      </c>
    </row>
    <row r="8" spans="1:10" x14ac:dyDescent="0.3">
      <c r="A8" s="28" t="s">
        <v>41</v>
      </c>
      <c r="B8" s="29">
        <v>32.299999999999997</v>
      </c>
      <c r="C8" s="28">
        <v>138</v>
      </c>
      <c r="D8" s="28">
        <v>181</v>
      </c>
      <c r="E8" s="28">
        <v>75</v>
      </c>
    </row>
    <row r="9" spans="1:10" x14ac:dyDescent="0.3">
      <c r="A9" s="28" t="s">
        <v>42</v>
      </c>
      <c r="B9" s="29">
        <v>32.299999999999997</v>
      </c>
      <c r="C9" s="28">
        <v>138</v>
      </c>
      <c r="D9" s="28">
        <v>181</v>
      </c>
      <c r="E9" s="28">
        <v>75</v>
      </c>
      <c r="G9" s="30"/>
    </row>
    <row r="10" spans="1:10" x14ac:dyDescent="0.3">
      <c r="A10" s="26" t="s">
        <v>43</v>
      </c>
      <c r="B10" s="26">
        <f>B9</f>
        <v>32.299999999999997</v>
      </c>
      <c r="C10" s="26">
        <f t="shared" ref="C10:E10" si="0">C9+B10</f>
        <v>170.3</v>
      </c>
      <c r="D10" s="26">
        <f t="shared" si="0"/>
        <v>351.3</v>
      </c>
      <c r="E10" s="26">
        <f t="shared" si="0"/>
        <v>426.3</v>
      </c>
    </row>
    <row r="11" spans="1:10" x14ac:dyDescent="0.3">
      <c r="A11" s="4"/>
      <c r="B11" s="5">
        <v>2018</v>
      </c>
      <c r="C11" s="5">
        <v>2019</v>
      </c>
      <c r="D11" s="5">
        <v>2020</v>
      </c>
      <c r="E11" s="5">
        <v>2021</v>
      </c>
    </row>
    <row r="12" spans="1:10" x14ac:dyDescent="0.3">
      <c r="A12" t="s">
        <v>44</v>
      </c>
      <c r="B12" s="1">
        <f t="shared" ref="B12:E12" si="1">B10</f>
        <v>32.299999999999997</v>
      </c>
      <c r="C12" s="1">
        <f t="shared" si="1"/>
        <v>170.3</v>
      </c>
      <c r="D12" s="1">
        <f t="shared" si="1"/>
        <v>351.3</v>
      </c>
      <c r="E12" s="1">
        <f t="shared" si="1"/>
        <v>426.3</v>
      </c>
    </row>
    <row r="13" spans="1:10" x14ac:dyDescent="0.3">
      <c r="A13" s="6" t="s">
        <v>45</v>
      </c>
      <c r="B13" s="7">
        <v>16792.393833600006</v>
      </c>
      <c r="C13" s="7">
        <f>(C12)*8760*$B$4</f>
        <v>208855.92</v>
      </c>
      <c r="D13" s="7">
        <f>(D12)*8760*$B$4</f>
        <v>430834.32000000007</v>
      </c>
      <c r="E13" s="7">
        <f>(E12)*8760*$B$4</f>
        <v>522814.32000000007</v>
      </c>
    </row>
    <row r="15" spans="1:10" x14ac:dyDescent="0.3">
      <c r="A15" t="s">
        <v>46</v>
      </c>
      <c r="B15" s="31">
        <v>14200000</v>
      </c>
      <c r="C15" s="21">
        <f t="shared" ref="C15:E15" si="2">B15*(1+$B$3)</f>
        <v>14200000</v>
      </c>
      <c r="D15" s="21">
        <f t="shared" si="2"/>
        <v>14200000</v>
      </c>
      <c r="E15" s="21">
        <f t="shared" si="2"/>
        <v>14200000</v>
      </c>
    </row>
    <row r="16" spans="1:10" x14ac:dyDescent="0.3">
      <c r="A16" t="s">
        <v>47</v>
      </c>
      <c r="B16" s="2">
        <v>1.5E-3</v>
      </c>
      <c r="C16" s="2">
        <v>7.7999999999999996E-3</v>
      </c>
      <c r="D16" s="2">
        <v>2.8400000000000002E-2</v>
      </c>
      <c r="E16" s="2">
        <v>4.2000000000000003E-2</v>
      </c>
    </row>
    <row r="17" spans="1:5" x14ac:dyDescent="0.3">
      <c r="A17" s="6" t="s">
        <v>48</v>
      </c>
      <c r="B17" s="7">
        <f>B16*B15</f>
        <v>21300</v>
      </c>
      <c r="C17" s="7">
        <f>C16*C15</f>
        <v>110760</v>
      </c>
      <c r="D17" s="7">
        <f>D16*D15</f>
        <v>403280</v>
      </c>
      <c r="E17" s="7">
        <f>E16*E15</f>
        <v>596400</v>
      </c>
    </row>
    <row r="18" spans="1:5" x14ac:dyDescent="0.3">
      <c r="A18" s="32" t="s">
        <v>49</v>
      </c>
      <c r="B18" s="33">
        <f>B13</f>
        <v>16792.393833600006</v>
      </c>
      <c r="C18" s="33">
        <f>B21+C13</f>
        <v>208855.92</v>
      </c>
      <c r="D18" s="33">
        <f>C21+D13</f>
        <v>497290.32000000007</v>
      </c>
      <c r="E18" s="33">
        <f>D21+E13</f>
        <v>616824.64000000013</v>
      </c>
    </row>
    <row r="19" spans="1:5" x14ac:dyDescent="0.3">
      <c r="A19" s="32" t="s">
        <v>50</v>
      </c>
      <c r="B19" s="33">
        <f>IF(B17-B18&lt;0,0,B17-B18)</f>
        <v>4507.6061663999935</v>
      </c>
      <c r="C19" s="33">
        <f t="shared" ref="C19:E19" si="3">IF(C17-C18&lt;0,0,C17-C18)</f>
        <v>0</v>
      </c>
      <c r="D19" s="33">
        <f t="shared" si="3"/>
        <v>0</v>
      </c>
      <c r="E19" s="33">
        <f t="shared" si="3"/>
        <v>0</v>
      </c>
    </row>
    <row r="20" spans="1:5" x14ac:dyDescent="0.3">
      <c r="A20" s="32" t="s">
        <v>51</v>
      </c>
      <c r="B20" s="33">
        <f>B17*0.6</f>
        <v>12780</v>
      </c>
      <c r="C20" s="33">
        <f>C17*0.6</f>
        <v>66456</v>
      </c>
      <c r="D20" s="33">
        <f t="shared" ref="D20:E20" si="4">D17*0.6</f>
        <v>241968</v>
      </c>
      <c r="E20" s="33">
        <f t="shared" si="4"/>
        <v>357840</v>
      </c>
    </row>
    <row r="21" spans="1:5" x14ac:dyDescent="0.3">
      <c r="A21" s="32" t="s">
        <v>52</v>
      </c>
      <c r="B21" s="1">
        <f t="shared" ref="B21:E21" si="5">IF(B18-B17&lt;B20,B18-B17+B19,B20)</f>
        <v>0</v>
      </c>
      <c r="C21" s="1">
        <f t="shared" si="5"/>
        <v>66456</v>
      </c>
      <c r="D21" s="1">
        <f t="shared" si="5"/>
        <v>94010.320000000065</v>
      </c>
      <c r="E21" s="1">
        <f t="shared" si="5"/>
        <v>20424.64000000013</v>
      </c>
    </row>
    <row r="22" spans="1:5" x14ac:dyDescent="0.3">
      <c r="A22" s="32" t="s">
        <v>53</v>
      </c>
      <c r="B22" s="1">
        <f>IF(B20&gt;B21,0,B18-B17-B20)</f>
        <v>0</v>
      </c>
      <c r="C22" s="1">
        <f t="shared" ref="C22:E22" si="6">IF(C20&gt;C21,0,C18-C17-C20)</f>
        <v>31639.920000000013</v>
      </c>
      <c r="D22" s="1">
        <f t="shared" si="6"/>
        <v>0</v>
      </c>
      <c r="E22" s="1">
        <f t="shared" si="6"/>
        <v>0</v>
      </c>
    </row>
    <row r="23" spans="1:5" x14ac:dyDescent="0.3">
      <c r="B23" s="1"/>
      <c r="C23" s="1"/>
      <c r="D23" s="1"/>
    </row>
    <row r="24" spans="1:5" x14ac:dyDescent="0.3">
      <c r="B24" s="1"/>
      <c r="C24" s="1"/>
      <c r="D24" s="1"/>
      <c r="E24" s="1"/>
    </row>
    <row r="25" spans="1:5" x14ac:dyDescent="0.3">
      <c r="A25" s="34" t="s">
        <v>18</v>
      </c>
      <c r="B25" s="35">
        <f t="shared" ref="B25:E25" si="7">B21</f>
        <v>0</v>
      </c>
      <c r="C25" s="35">
        <f t="shared" si="7"/>
        <v>66456</v>
      </c>
      <c r="D25" s="35">
        <f t="shared" si="7"/>
        <v>94010.320000000065</v>
      </c>
      <c r="E25" s="35">
        <f t="shared" si="7"/>
        <v>20424.64000000013</v>
      </c>
    </row>
    <row r="26" spans="1:5" x14ac:dyDescent="0.3">
      <c r="A26" s="34" t="s">
        <v>17</v>
      </c>
      <c r="B26" s="36">
        <f>B25*$B$5</f>
        <v>0</v>
      </c>
      <c r="C26" s="36">
        <f>C25*$B$5</f>
        <v>1130416.56</v>
      </c>
      <c r="D26" s="36">
        <f>D25*$B$5</f>
        <v>1599115.5432000014</v>
      </c>
      <c r="E26" s="36">
        <f>E25*$B$5</f>
        <v>347423.12640000228</v>
      </c>
    </row>
    <row r="27" spans="1:5" x14ac:dyDescent="0.3">
      <c r="B27" s="1"/>
      <c r="C27" s="1"/>
      <c r="D27" s="1"/>
      <c r="E27" s="1"/>
    </row>
    <row r="28" spans="1:5" x14ac:dyDescent="0.3">
      <c r="A28" s="37" t="s">
        <v>11</v>
      </c>
      <c r="B28" s="38">
        <f>B22</f>
        <v>0</v>
      </c>
      <c r="C28" s="38">
        <f t="shared" ref="C28:E28" si="8">C22</f>
        <v>31639.920000000013</v>
      </c>
      <c r="D28" s="38">
        <f t="shared" si="8"/>
        <v>0</v>
      </c>
      <c r="E28" s="38">
        <f t="shared" si="8"/>
        <v>0</v>
      </c>
    </row>
    <row r="29" spans="1:5" x14ac:dyDescent="0.3">
      <c r="A29" s="39" t="s">
        <v>12</v>
      </c>
      <c r="B29" s="40">
        <f>B28*$B$5</f>
        <v>0</v>
      </c>
      <c r="C29" s="40">
        <f>C28*$B$5</f>
        <v>538195.03920000023</v>
      </c>
      <c r="D29" s="40">
        <f>D28*$B$5</f>
        <v>0</v>
      </c>
      <c r="E29" s="40">
        <f>E28*B5</f>
        <v>0</v>
      </c>
    </row>
    <row r="30" spans="1:5" ht="15" thickBot="1" x14ac:dyDescent="0.35">
      <c r="A30" s="41" t="s">
        <v>22</v>
      </c>
      <c r="B30" s="42">
        <f>NPV(0.02,B29:E29)</f>
        <v>517296.26989619399</v>
      </c>
    </row>
  </sheetData>
  <mergeCells count="3">
    <mergeCell ref="A1:E1"/>
    <mergeCell ref="A2:B2"/>
    <mergeCell ref="A6:E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7" workbookViewId="0">
      <selection activeCell="H31" sqref="H31"/>
    </sheetView>
  </sheetViews>
  <sheetFormatPr defaultRowHeight="14.4" x14ac:dyDescent="0.3"/>
  <cols>
    <col min="1" max="1" width="31.33203125" bestFit="1" customWidth="1"/>
    <col min="2" max="3" width="13.5546875" bestFit="1" customWidth="1"/>
    <col min="4" max="4" width="10.109375" bestFit="1" customWidth="1"/>
    <col min="5" max="6" width="12.6640625" customWidth="1"/>
  </cols>
  <sheetData>
    <row r="1" spans="1:5" ht="78.75" customHeight="1" x14ac:dyDescent="0.3">
      <c r="A1" s="59" t="s">
        <v>23</v>
      </c>
      <c r="B1" s="60"/>
      <c r="C1" s="60"/>
      <c r="D1" s="60"/>
      <c r="E1" s="60"/>
    </row>
    <row r="2" spans="1:5" x14ac:dyDescent="0.3">
      <c r="A2" s="61" t="s">
        <v>15</v>
      </c>
      <c r="B2" s="61"/>
    </row>
    <row r="3" spans="1:5" x14ac:dyDescent="0.3">
      <c r="A3" t="s">
        <v>2</v>
      </c>
      <c r="B3" s="2">
        <v>5.0000000000000001E-3</v>
      </c>
    </row>
    <row r="4" spans="1:5" x14ac:dyDescent="0.3">
      <c r="A4" t="s">
        <v>20</v>
      </c>
      <c r="B4" s="2">
        <v>0.1</v>
      </c>
    </row>
    <row r="5" spans="1:5" x14ac:dyDescent="0.3">
      <c r="A5" t="s">
        <v>6</v>
      </c>
      <c r="B5" s="13">
        <v>0.153</v>
      </c>
    </row>
    <row r="6" spans="1:5" x14ac:dyDescent="0.3">
      <c r="A6" t="s">
        <v>25</v>
      </c>
      <c r="B6" s="3">
        <v>17.010000000000002</v>
      </c>
    </row>
    <row r="7" spans="1:5" x14ac:dyDescent="0.3">
      <c r="B7" s="3"/>
    </row>
    <row r="8" spans="1:5" x14ac:dyDescent="0.3">
      <c r="A8" s="61" t="s">
        <v>16</v>
      </c>
      <c r="B8" s="61"/>
    </row>
    <row r="9" spans="1:5" x14ac:dyDescent="0.3">
      <c r="A9" t="s">
        <v>13</v>
      </c>
      <c r="B9" s="15">
        <v>195.10400000000001</v>
      </c>
      <c r="C9" s="1"/>
    </row>
    <row r="10" spans="1:5" x14ac:dyDescent="0.3">
      <c r="A10" t="s">
        <v>14</v>
      </c>
      <c r="B10" s="14">
        <v>43.125</v>
      </c>
      <c r="C10" s="1"/>
    </row>
    <row r="11" spans="1:5" x14ac:dyDescent="0.3">
      <c r="A11" t="s">
        <v>21</v>
      </c>
      <c r="B11" s="14">
        <v>0</v>
      </c>
      <c r="C11" s="1"/>
    </row>
    <row r="13" spans="1:5" x14ac:dyDescent="0.3">
      <c r="A13" s="4"/>
      <c r="B13" s="5">
        <v>2018</v>
      </c>
      <c r="C13" s="5">
        <v>2019</v>
      </c>
      <c r="D13" s="5">
        <v>2020</v>
      </c>
      <c r="E13" s="5">
        <v>2021</v>
      </c>
    </row>
    <row r="14" spans="1:5" x14ac:dyDescent="0.3">
      <c r="A14" t="s">
        <v>4</v>
      </c>
      <c r="B14" s="1">
        <f>B9*0.6</f>
        <v>117.0624</v>
      </c>
      <c r="C14" s="1">
        <f>B9+B11</f>
        <v>195.10400000000001</v>
      </c>
      <c r="D14" s="1">
        <f>C14*(1+$B$4)</f>
        <v>214.61440000000005</v>
      </c>
      <c r="E14" s="1">
        <f>D14*(1+$B$4)</f>
        <v>236.07584000000006</v>
      </c>
    </row>
    <row r="15" spans="1:5" x14ac:dyDescent="0.3">
      <c r="A15" t="s">
        <v>5</v>
      </c>
      <c r="B15" s="1">
        <f>B10</f>
        <v>43.125</v>
      </c>
      <c r="C15" s="1">
        <f>B15*(1+$B$4)</f>
        <v>47.437500000000007</v>
      </c>
      <c r="D15" s="1">
        <f t="shared" ref="D15:E15" si="0">C15*(1+$B$4)</f>
        <v>52.181250000000013</v>
      </c>
      <c r="E15" s="1">
        <f t="shared" si="0"/>
        <v>57.39937500000002</v>
      </c>
    </row>
    <row r="16" spans="1:5" x14ac:dyDescent="0.3">
      <c r="A16" s="6" t="s">
        <v>0</v>
      </c>
      <c r="B16" s="7">
        <f>(B15+B14)*8760*$B$5</f>
        <v>214695.96847200001</v>
      </c>
      <c r="C16" s="7">
        <f t="shared" ref="C16:E16" si="1">(C15+C14)*8760*$B$5</f>
        <v>325073.52162000001</v>
      </c>
      <c r="D16" s="7">
        <f t="shared" si="1"/>
        <v>357580.8737820001</v>
      </c>
      <c r="E16" s="7">
        <f t="shared" si="1"/>
        <v>393338.96116020007</v>
      </c>
    </row>
    <row r="18" spans="1:7" x14ac:dyDescent="0.3">
      <c r="A18" t="s">
        <v>19</v>
      </c>
      <c r="B18" s="14">
        <v>6865136.5331516284</v>
      </c>
      <c r="C18" s="1">
        <f>B18*(1+$B$3)</f>
        <v>6899462.2158173863</v>
      </c>
      <c r="D18" s="1">
        <f t="shared" ref="D18:E18" si="2">C18*(1+$B$3)</f>
        <v>6933959.5268964721</v>
      </c>
      <c r="E18" s="1">
        <f t="shared" si="2"/>
        <v>6968629.3245309535</v>
      </c>
    </row>
    <row r="19" spans="1:7" x14ac:dyDescent="0.3">
      <c r="A19" t="s">
        <v>3</v>
      </c>
      <c r="B19" s="2">
        <v>1.5E-3</v>
      </c>
      <c r="C19" s="2">
        <v>7.7999999999999996E-3</v>
      </c>
      <c r="D19" s="2">
        <v>2.8400000000000002E-2</v>
      </c>
      <c r="E19" s="2">
        <v>4.2000000000000003E-2</v>
      </c>
    </row>
    <row r="20" spans="1:7" x14ac:dyDescent="0.3">
      <c r="A20" s="6" t="s">
        <v>1</v>
      </c>
      <c r="B20" s="7">
        <f>B19*B18</f>
        <v>10297.704799727442</v>
      </c>
      <c r="C20" s="7">
        <f t="shared" ref="C20:E20" si="3">C19*C18</f>
        <v>53815.805283375608</v>
      </c>
      <c r="D20" s="7">
        <f t="shared" si="3"/>
        <v>196924.45056385981</v>
      </c>
      <c r="E20" s="7">
        <f t="shared" si="3"/>
        <v>292682.43163030007</v>
      </c>
      <c r="G20" s="10"/>
    </row>
    <row r="22" spans="1:7" x14ac:dyDescent="0.3">
      <c r="A22" t="s">
        <v>7</v>
      </c>
      <c r="B22" s="1">
        <f>MIN((B$16-B$20),(B$20*0.6))</f>
        <v>6178.6228798364655</v>
      </c>
      <c r="C22" s="1">
        <v>0</v>
      </c>
      <c r="D22" s="1">
        <v>0</v>
      </c>
      <c r="E22">
        <v>0</v>
      </c>
    </row>
    <row r="23" spans="1:7" x14ac:dyDescent="0.3">
      <c r="A23" t="s">
        <v>8</v>
      </c>
      <c r="B23" s="1"/>
      <c r="C23" s="1">
        <f>MIN((C$16-C$20+B22),(C$20*0.6))</f>
        <v>32289.483170025364</v>
      </c>
      <c r="D23" s="1">
        <v>0</v>
      </c>
      <c r="E23" s="1">
        <v>0</v>
      </c>
    </row>
    <row r="24" spans="1:7" x14ac:dyDescent="0.3">
      <c r="A24" t="s">
        <v>9</v>
      </c>
      <c r="B24" s="1"/>
      <c r="C24" s="1"/>
      <c r="D24" s="1">
        <f>MIN((D$16-D$20+C23),(D$20*0.6))</f>
        <v>118154.67033831587</v>
      </c>
      <c r="E24" s="1">
        <v>0</v>
      </c>
    </row>
    <row r="25" spans="1:7" x14ac:dyDescent="0.3">
      <c r="A25" t="s">
        <v>10</v>
      </c>
      <c r="B25" s="1"/>
      <c r="C25" s="1"/>
      <c r="D25" s="1"/>
      <c r="E25" s="1">
        <f>MIN((E$16-E$20+D24),(E$20*0.6))</f>
        <v>175609.45897818005</v>
      </c>
    </row>
    <row r="26" spans="1:7" x14ac:dyDescent="0.3">
      <c r="A26" s="6" t="s">
        <v>18</v>
      </c>
      <c r="B26" s="7">
        <f>B22</f>
        <v>6178.6228798364655</v>
      </c>
      <c r="C26" s="7">
        <f>SUM(C22:C23)</f>
        <v>32289.483170025364</v>
      </c>
      <c r="D26" s="7">
        <f>SUM(D23:D24)</f>
        <v>118154.67033831587</v>
      </c>
      <c r="E26" s="7">
        <f>SUM(E23:E25)</f>
        <v>175609.45897818005</v>
      </c>
    </row>
    <row r="27" spans="1:7" x14ac:dyDescent="0.3">
      <c r="A27" s="6" t="s">
        <v>17</v>
      </c>
      <c r="B27" s="8">
        <f>B26*$B$6</f>
        <v>105098.37518601828</v>
      </c>
      <c r="C27" s="8">
        <f t="shared" ref="C27:E27" si="4">C26*$B$6</f>
        <v>549244.10872213147</v>
      </c>
      <c r="D27" s="8">
        <f t="shared" si="4"/>
        <v>2009810.9424547532</v>
      </c>
      <c r="E27" s="8">
        <f t="shared" si="4"/>
        <v>2987116.897218843</v>
      </c>
    </row>
    <row r="28" spans="1:7" x14ac:dyDescent="0.3">
      <c r="B28" s="1"/>
      <c r="C28" s="1"/>
      <c r="D28" s="1"/>
      <c r="E28" s="1"/>
    </row>
    <row r="29" spans="1:7" x14ac:dyDescent="0.3">
      <c r="A29" t="s">
        <v>11</v>
      </c>
      <c r="B29" s="1">
        <f>IF((B16-B20)&gt;(B20*0.6),(B16-B20-B22),B22)</f>
        <v>198219.64079243608</v>
      </c>
      <c r="C29" s="1">
        <f>IF((C16-C20+B22)&gt;(C20*0.6),(C16-C20-C23+B22),0)</f>
        <v>245146.85604643551</v>
      </c>
      <c r="D29" s="1">
        <f>IF((D16-D20-C23)&gt;(D20*0.6),(D16-D20-D24+C23),0)</f>
        <v>74791.236049849773</v>
      </c>
      <c r="E29" s="1">
        <f>IF((E16-E20+D24)&gt;(E20*0.6),(E16-E20+D24-E25),0)</f>
        <v>43201.740890035842</v>
      </c>
      <c r="F29" s="1"/>
    </row>
    <row r="30" spans="1:7" ht="15" thickBot="1" x14ac:dyDescent="0.35">
      <c r="A30" t="s">
        <v>12</v>
      </c>
      <c r="B30" s="9">
        <f>B29*$B$6</f>
        <v>3371716.0898793382</v>
      </c>
      <c r="C30" s="9">
        <f t="shared" ref="C30:D30" si="5">C29*$B$6</f>
        <v>4169948.0213498683</v>
      </c>
      <c r="D30" s="9">
        <f t="shared" si="5"/>
        <v>1272198.9252079448</v>
      </c>
      <c r="E30" s="9">
        <f>E29*B6</f>
        <v>734861.61253950978</v>
      </c>
    </row>
    <row r="31" spans="1:7" ht="15" thickBot="1" x14ac:dyDescent="0.35">
      <c r="A31" s="11" t="s">
        <v>22</v>
      </c>
      <c r="B31" s="12">
        <f>NPV(0.02,B30:E30)</f>
        <v>9191347.8679095134</v>
      </c>
    </row>
    <row r="33" spans="2:2" x14ac:dyDescent="0.3">
      <c r="B33" s="1"/>
    </row>
  </sheetData>
  <mergeCells count="3">
    <mergeCell ref="A2:B2"/>
    <mergeCell ref="A1:E1"/>
    <mergeCell ref="A8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16" workbookViewId="0">
      <selection activeCell="B7" sqref="B7"/>
    </sheetView>
  </sheetViews>
  <sheetFormatPr defaultRowHeight="14.4" x14ac:dyDescent="0.3"/>
  <cols>
    <col min="1" max="1" width="31.33203125" bestFit="1" customWidth="1"/>
    <col min="2" max="3" width="13.5546875" bestFit="1" customWidth="1"/>
    <col min="4" max="4" width="10.109375" bestFit="1" customWidth="1"/>
    <col min="5" max="6" width="12.6640625" customWidth="1"/>
  </cols>
  <sheetData>
    <row r="1" spans="1:5" ht="78.75" customHeight="1" x14ac:dyDescent="0.3">
      <c r="A1" s="59" t="s">
        <v>24</v>
      </c>
      <c r="B1" s="60"/>
      <c r="C1" s="60"/>
      <c r="D1" s="60"/>
      <c r="E1" s="60"/>
    </row>
    <row r="2" spans="1:5" x14ac:dyDescent="0.3">
      <c r="A2" s="61" t="s">
        <v>15</v>
      </c>
      <c r="B2" s="61"/>
    </row>
    <row r="3" spans="1:5" x14ac:dyDescent="0.3">
      <c r="A3" t="s">
        <v>2</v>
      </c>
      <c r="B3" s="2">
        <v>5.0000000000000001E-3</v>
      </c>
    </row>
    <row r="4" spans="1:5" x14ac:dyDescent="0.3">
      <c r="A4" t="s">
        <v>20</v>
      </c>
      <c r="B4" s="2">
        <v>0.1</v>
      </c>
    </row>
    <row r="5" spans="1:5" x14ac:dyDescent="0.3">
      <c r="A5" t="s">
        <v>6</v>
      </c>
      <c r="B5" s="13">
        <v>0.153</v>
      </c>
    </row>
    <row r="6" spans="1:5" x14ac:dyDescent="0.3">
      <c r="A6" t="s">
        <v>25</v>
      </c>
      <c r="B6" s="3">
        <v>17.010000000000002</v>
      </c>
    </row>
    <row r="7" spans="1:5" x14ac:dyDescent="0.3">
      <c r="B7" s="3"/>
    </row>
    <row r="8" spans="1:5" x14ac:dyDescent="0.3">
      <c r="A8" s="61" t="s">
        <v>16</v>
      </c>
      <c r="B8" s="61"/>
    </row>
    <row r="9" spans="1:5" x14ac:dyDescent="0.3">
      <c r="A9" t="s">
        <v>13</v>
      </c>
      <c r="B9" s="15">
        <v>57.527999999999999</v>
      </c>
      <c r="C9" s="1"/>
    </row>
    <row r="10" spans="1:5" x14ac:dyDescent="0.3">
      <c r="A10" t="s">
        <v>14</v>
      </c>
      <c r="B10" s="14">
        <v>6.1449999999999996</v>
      </c>
      <c r="C10" s="1"/>
    </row>
    <row r="11" spans="1:5" x14ac:dyDescent="0.3">
      <c r="A11" t="s">
        <v>21</v>
      </c>
      <c r="B11" s="14">
        <v>0</v>
      </c>
      <c r="C11" s="1"/>
    </row>
    <row r="13" spans="1:5" x14ac:dyDescent="0.3">
      <c r="A13" s="4"/>
      <c r="B13" s="5">
        <v>2018</v>
      </c>
      <c r="C13" s="5">
        <v>2019</v>
      </c>
      <c r="D13" s="5">
        <v>2020</v>
      </c>
      <c r="E13" s="5">
        <v>2021</v>
      </c>
    </row>
    <row r="14" spans="1:5" x14ac:dyDescent="0.3">
      <c r="A14" t="s">
        <v>4</v>
      </c>
      <c r="B14" s="1">
        <f>B9*0.6</f>
        <v>34.516799999999996</v>
      </c>
      <c r="C14" s="1">
        <f>B9+B11</f>
        <v>57.527999999999999</v>
      </c>
      <c r="D14" s="1">
        <f>C14*(1+$B$4)</f>
        <v>63.280800000000006</v>
      </c>
      <c r="E14" s="1">
        <f>D14*(1+$B$4)</f>
        <v>69.608880000000013</v>
      </c>
    </row>
    <row r="15" spans="1:5" x14ac:dyDescent="0.3">
      <c r="A15" t="s">
        <v>5</v>
      </c>
      <c r="B15" s="1">
        <f>B10</f>
        <v>6.1449999999999996</v>
      </c>
      <c r="C15" s="1">
        <f>B15*(1+$B$4)</f>
        <v>6.7595000000000001</v>
      </c>
      <c r="D15" s="1">
        <f t="shared" ref="D15:E15" si="0">C15*(1+$B$4)</f>
        <v>7.4354500000000003</v>
      </c>
      <c r="E15" s="1">
        <f t="shared" si="0"/>
        <v>8.1789950000000005</v>
      </c>
    </row>
    <row r="16" spans="1:5" x14ac:dyDescent="0.3">
      <c r="A16" s="6" t="s">
        <v>0</v>
      </c>
      <c r="B16" s="7">
        <f>(B15+B14)*8760*$B$5</f>
        <v>54498.197304000001</v>
      </c>
      <c r="C16" s="7">
        <f t="shared" ref="C16:E16" si="1">(C15+C14)*8760*$B$5</f>
        <v>86163.250499999995</v>
      </c>
      <c r="D16" s="7">
        <f t="shared" si="1"/>
        <v>94779.575549999994</v>
      </c>
      <c r="E16" s="7">
        <f t="shared" si="1"/>
        <v>104257.53310500002</v>
      </c>
    </row>
    <row r="18" spans="1:7" x14ac:dyDescent="0.3">
      <c r="A18" t="s">
        <v>19</v>
      </c>
      <c r="B18" s="14">
        <v>2703403.6680000005</v>
      </c>
      <c r="C18" s="1">
        <f>B18*(1+$B$3)</f>
        <v>2716920.68634</v>
      </c>
      <c r="D18" s="1">
        <f t="shared" ref="D18:E18" si="2">C18*(1+$B$3)</f>
        <v>2730505.2897716998</v>
      </c>
      <c r="E18" s="1">
        <f t="shared" si="2"/>
        <v>2744157.8162205582</v>
      </c>
    </row>
    <row r="19" spans="1:7" x14ac:dyDescent="0.3">
      <c r="A19" t="s">
        <v>3</v>
      </c>
      <c r="B19" s="2">
        <v>1.5E-3</v>
      </c>
      <c r="C19" s="2">
        <v>7.7999999999999996E-3</v>
      </c>
      <c r="D19" s="2">
        <v>2.8400000000000002E-2</v>
      </c>
      <c r="E19" s="2">
        <v>4.2000000000000003E-2</v>
      </c>
    </row>
    <row r="20" spans="1:7" x14ac:dyDescent="0.3">
      <c r="A20" s="6" t="s">
        <v>1</v>
      </c>
      <c r="B20" s="7">
        <f>B19*B18</f>
        <v>4055.1055020000008</v>
      </c>
      <c r="C20" s="7">
        <f t="shared" ref="C20:E20" si="3">C19*C18</f>
        <v>21191.981353452</v>
      </c>
      <c r="D20" s="7">
        <f t="shared" si="3"/>
        <v>77546.350229516276</v>
      </c>
      <c r="E20" s="7">
        <f t="shared" si="3"/>
        <v>115254.62828126346</v>
      </c>
      <c r="G20" s="10"/>
    </row>
    <row r="22" spans="1:7" x14ac:dyDescent="0.3">
      <c r="A22" t="s">
        <v>7</v>
      </c>
      <c r="B22" s="1">
        <f>MIN((B$16-B$20),(B$20*0.6))</f>
        <v>2433.0633012000003</v>
      </c>
      <c r="C22" s="1">
        <v>0</v>
      </c>
      <c r="D22" s="1">
        <v>0</v>
      </c>
      <c r="E22">
        <v>0</v>
      </c>
    </row>
    <row r="23" spans="1:7" x14ac:dyDescent="0.3">
      <c r="A23" t="s">
        <v>8</v>
      </c>
      <c r="B23" s="1"/>
      <c r="C23" s="1">
        <f>MIN((C$16-C$20+B22),(C$20*0.6))</f>
        <v>12715.188812071199</v>
      </c>
      <c r="D23" s="1">
        <v>0</v>
      </c>
      <c r="E23" s="1">
        <v>0</v>
      </c>
    </row>
    <row r="24" spans="1:7" x14ac:dyDescent="0.3">
      <c r="A24" t="s">
        <v>9</v>
      </c>
      <c r="B24" s="1"/>
      <c r="C24" s="1"/>
      <c r="D24" s="1">
        <f>MIN((D$16-D$20+C23),(D$20*0.6))</f>
        <v>29948.414132554917</v>
      </c>
      <c r="E24" s="1">
        <v>0</v>
      </c>
    </row>
    <row r="25" spans="1:7" x14ac:dyDescent="0.3">
      <c r="A25" t="s">
        <v>10</v>
      </c>
      <c r="B25" s="1"/>
      <c r="C25" s="1"/>
      <c r="D25" s="1"/>
      <c r="E25" s="1">
        <f>MIN((E$16-E$20+D24),(E$20*0.6))</f>
        <v>18951.318956291481</v>
      </c>
    </row>
    <row r="26" spans="1:7" x14ac:dyDescent="0.3">
      <c r="A26" s="6" t="s">
        <v>18</v>
      </c>
      <c r="B26" s="7">
        <f>B22</f>
        <v>2433.0633012000003</v>
      </c>
      <c r="C26" s="7">
        <f>SUM(C22:C23)</f>
        <v>12715.188812071199</v>
      </c>
      <c r="D26" s="7">
        <f>SUM(D23:D24)</f>
        <v>29948.414132554917</v>
      </c>
      <c r="E26" s="7">
        <f>SUM(E23:E25)</f>
        <v>18951.318956291481</v>
      </c>
    </row>
    <row r="27" spans="1:7" x14ac:dyDescent="0.3">
      <c r="A27" s="6" t="s">
        <v>17</v>
      </c>
      <c r="B27" s="8">
        <f>B26*$B$6</f>
        <v>41386.406753412011</v>
      </c>
      <c r="C27" s="8">
        <f t="shared" ref="C27:E27" si="4">C26*$B$6</f>
        <v>216285.36169333113</v>
      </c>
      <c r="D27" s="8">
        <f t="shared" si="4"/>
        <v>509422.52439475921</v>
      </c>
      <c r="E27" s="8">
        <f t="shared" si="4"/>
        <v>322361.93544651812</v>
      </c>
    </row>
    <row r="28" spans="1:7" x14ac:dyDescent="0.3">
      <c r="B28" s="1"/>
      <c r="C28" s="1"/>
      <c r="D28" s="1"/>
      <c r="E28" s="1"/>
    </row>
    <row r="29" spans="1:7" x14ac:dyDescent="0.3">
      <c r="A29" t="s">
        <v>11</v>
      </c>
      <c r="B29" s="1">
        <f>IF((B16-B20)&gt;(B20*0.6),(B16-B20-B22),B22)</f>
        <v>48010.028500799999</v>
      </c>
      <c r="C29" s="1">
        <f>IF((C16-C20+B22)&gt;(C20*0.6),(C16-C20-C23+B22),0)</f>
        <v>54689.143635676795</v>
      </c>
      <c r="D29" s="1">
        <f>IF((D16-D20-C23)&gt;(D20*0.6),(D16-D20-D24+C23),0)</f>
        <v>0</v>
      </c>
      <c r="E29" s="1">
        <f>IF((E16-E20+D24)&gt;(E20*0.6),(E16-E20+D24-E25),0)</f>
        <v>0</v>
      </c>
    </row>
    <row r="30" spans="1:7" ht="15" thickBot="1" x14ac:dyDescent="0.35">
      <c r="A30" t="s">
        <v>12</v>
      </c>
      <c r="B30" s="9">
        <f>B29*$B$6</f>
        <v>816650.58479860809</v>
      </c>
      <c r="C30" s="9">
        <f t="shared" ref="C30:D30" si="5">C29*$B$6</f>
        <v>930262.33324286237</v>
      </c>
      <c r="D30" s="9">
        <f t="shared" si="5"/>
        <v>0</v>
      </c>
      <c r="E30" s="9">
        <f>E29*B6</f>
        <v>0</v>
      </c>
    </row>
    <row r="31" spans="1:7" ht="15" thickBot="1" x14ac:dyDescent="0.35">
      <c r="A31" s="11" t="s">
        <v>22</v>
      </c>
      <c r="B31" s="12">
        <f>NPV(0.02,B30:E30)</f>
        <v>1694776.9413085761</v>
      </c>
    </row>
    <row r="33" spans="2:2" x14ac:dyDescent="0.3">
      <c r="B33" s="1"/>
    </row>
  </sheetData>
  <mergeCells count="3">
    <mergeCell ref="A1:E1"/>
    <mergeCell ref="A2:B2"/>
    <mergeCell ref="A8:B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0" workbookViewId="0">
      <selection activeCell="A36" sqref="A36"/>
    </sheetView>
  </sheetViews>
  <sheetFormatPr defaultRowHeight="14.4" x14ac:dyDescent="0.3"/>
  <cols>
    <col min="1" max="1" width="54.109375" customWidth="1"/>
    <col min="2" max="2" width="16.109375" customWidth="1"/>
    <col min="3" max="3" width="12.5546875" customWidth="1"/>
    <col min="4" max="4" width="11.33203125" customWidth="1"/>
    <col min="5" max="5" width="17" customWidth="1"/>
  </cols>
  <sheetData>
    <row r="1" spans="1:5" ht="21" x14ac:dyDescent="0.3">
      <c r="A1" s="59" t="s">
        <v>26</v>
      </c>
      <c r="B1" s="60"/>
      <c r="C1" s="60"/>
      <c r="D1" s="60"/>
      <c r="E1" s="60"/>
    </row>
    <row r="2" spans="1:5" x14ac:dyDescent="0.3">
      <c r="A2" s="61" t="s">
        <v>15</v>
      </c>
      <c r="B2" s="61"/>
    </row>
    <row r="3" spans="1:5" s="17" customFormat="1" x14ac:dyDescent="0.3">
      <c r="A3" s="16"/>
      <c r="B3" s="16"/>
    </row>
    <row r="4" spans="1:5" s="17" customFormat="1" x14ac:dyDescent="0.3">
      <c r="A4" t="s">
        <v>27</v>
      </c>
      <c r="B4" s="18">
        <v>5.0000000000000001E-3</v>
      </c>
    </row>
    <row r="5" spans="1:5" x14ac:dyDescent="0.3">
      <c r="A5" t="s">
        <v>6</v>
      </c>
      <c r="B5" s="2">
        <v>0.13500000000000001</v>
      </c>
    </row>
    <row r="6" spans="1:5" x14ac:dyDescent="0.3">
      <c r="A6" t="s">
        <v>25</v>
      </c>
      <c r="B6" s="3">
        <v>17.010000000000002</v>
      </c>
    </row>
    <row r="7" spans="1:5" x14ac:dyDescent="0.3">
      <c r="B7" s="3"/>
    </row>
    <row r="8" spans="1:5" x14ac:dyDescent="0.3">
      <c r="A8" s="61" t="s">
        <v>29</v>
      </c>
      <c r="B8" s="61"/>
    </row>
    <row r="9" spans="1:5" x14ac:dyDescent="0.3">
      <c r="A9" t="s">
        <v>63</v>
      </c>
      <c r="B9" s="19">
        <v>81</v>
      </c>
      <c r="C9" s="1"/>
    </row>
    <row r="10" spans="1:5" x14ac:dyDescent="0.3">
      <c r="A10" t="s">
        <v>34</v>
      </c>
      <c r="B10" s="19">
        <v>10</v>
      </c>
      <c r="C10" s="1"/>
    </row>
    <row r="11" spans="1:5" x14ac:dyDescent="0.3">
      <c r="A11" t="s">
        <v>30</v>
      </c>
      <c r="B11" s="20">
        <v>0</v>
      </c>
      <c r="C11" s="1"/>
    </row>
    <row r="13" spans="1:5" x14ac:dyDescent="0.3">
      <c r="A13" s="4"/>
      <c r="B13" s="5">
        <v>2018</v>
      </c>
      <c r="C13" s="5">
        <v>2019</v>
      </c>
      <c r="D13" s="5">
        <v>2020</v>
      </c>
      <c r="E13" s="5">
        <v>2021</v>
      </c>
    </row>
    <row r="14" spans="1:5" x14ac:dyDescent="0.3">
      <c r="A14" t="s">
        <v>4</v>
      </c>
      <c r="B14" s="21">
        <v>42</v>
      </c>
      <c r="C14" s="1">
        <f>42+37</f>
        <v>79</v>
      </c>
      <c r="D14" s="1">
        <v>83</v>
      </c>
      <c r="E14" s="1">
        <v>87</v>
      </c>
    </row>
    <row r="15" spans="1:5" x14ac:dyDescent="0.3">
      <c r="A15" t="s">
        <v>31</v>
      </c>
      <c r="B15" s="1">
        <v>8</v>
      </c>
      <c r="C15" s="1">
        <v>12</v>
      </c>
      <c r="D15" s="1">
        <v>14</v>
      </c>
      <c r="E15" s="1">
        <v>16</v>
      </c>
    </row>
    <row r="16" spans="1:5" x14ac:dyDescent="0.3">
      <c r="A16" s="6" t="s">
        <v>64</v>
      </c>
      <c r="B16" s="7">
        <v>23411</v>
      </c>
      <c r="C16" s="7">
        <v>91921</v>
      </c>
      <c r="D16" s="7">
        <f t="shared" ref="D16:E16" si="0">(D15+D14)*$B$5*8760</f>
        <v>114712.20000000001</v>
      </c>
      <c r="E16" s="7">
        <f t="shared" si="0"/>
        <v>121807.8</v>
      </c>
    </row>
    <row r="18" spans="1:7" x14ac:dyDescent="0.3">
      <c r="A18" t="s">
        <v>19</v>
      </c>
      <c r="B18" s="21">
        <v>1598395</v>
      </c>
      <c r="C18" s="21">
        <v>1606387</v>
      </c>
      <c r="D18" s="21">
        <v>1614419</v>
      </c>
      <c r="E18" s="21">
        <v>1622491</v>
      </c>
    </row>
    <row r="19" spans="1:7" x14ac:dyDescent="0.3">
      <c r="A19" t="s">
        <v>3</v>
      </c>
      <c r="B19" s="18">
        <v>1.5E-3</v>
      </c>
      <c r="C19" s="18">
        <v>7.7999999999999996E-3</v>
      </c>
      <c r="D19" s="18">
        <v>2.8400000000000002E-2</v>
      </c>
      <c r="E19" s="18">
        <v>4.2000000000000003E-2</v>
      </c>
    </row>
    <row r="20" spans="1:7" x14ac:dyDescent="0.3">
      <c r="A20" s="6" t="s">
        <v>1</v>
      </c>
      <c r="B20" s="7">
        <f>B18*B19</f>
        <v>2397.5925000000002</v>
      </c>
      <c r="C20" s="7">
        <f>C18*C19</f>
        <v>12529.818599999999</v>
      </c>
      <c r="D20" s="7">
        <f>D18*D19</f>
        <v>45849.499600000003</v>
      </c>
      <c r="E20" s="7">
        <f>E18*E19</f>
        <v>68144.622000000003</v>
      </c>
      <c r="G20" s="10"/>
    </row>
    <row r="22" spans="1:7" x14ac:dyDescent="0.3">
      <c r="A22" t="s">
        <v>7</v>
      </c>
      <c r="B22" s="1">
        <f>MIN((B$16-B$20),(B$20*0.6))</f>
        <v>1438.5555000000002</v>
      </c>
      <c r="C22" s="1">
        <v>0</v>
      </c>
      <c r="D22" s="1">
        <v>0</v>
      </c>
      <c r="E22">
        <v>0</v>
      </c>
    </row>
    <row r="23" spans="1:7" x14ac:dyDescent="0.3">
      <c r="A23" t="s">
        <v>8</v>
      </c>
      <c r="B23" s="1"/>
      <c r="C23" s="1">
        <f>MIN((C$16-C$20+B22),(C$20*0.6))</f>
        <v>7517.8911599999992</v>
      </c>
      <c r="D23" s="1">
        <v>0</v>
      </c>
      <c r="E23" s="1">
        <v>0</v>
      </c>
    </row>
    <row r="24" spans="1:7" x14ac:dyDescent="0.3">
      <c r="A24" t="s">
        <v>9</v>
      </c>
      <c r="B24" s="1"/>
      <c r="C24" s="1"/>
      <c r="D24" s="1">
        <f>MIN((D$16-D$20+C23),(D$20*0.6))</f>
        <v>27509.69976</v>
      </c>
      <c r="E24" s="1">
        <v>0</v>
      </c>
    </row>
    <row r="25" spans="1:7" x14ac:dyDescent="0.3">
      <c r="A25" t="s">
        <v>10</v>
      </c>
      <c r="B25" s="1"/>
      <c r="C25" s="1"/>
      <c r="D25" s="1"/>
      <c r="E25" s="1">
        <f>MIN((E$16-E$20+D24),(E$20*0.6))</f>
        <v>40886.773200000003</v>
      </c>
    </row>
    <row r="26" spans="1:7" x14ac:dyDescent="0.3">
      <c r="A26" s="6" t="s">
        <v>18</v>
      </c>
      <c r="B26" s="7">
        <f>B22</f>
        <v>1438.5555000000002</v>
      </c>
      <c r="C26" s="7">
        <f>SUM(C22:C23)</f>
        <v>7517.8911599999992</v>
      </c>
      <c r="D26" s="7">
        <f>SUM(D23:D24)</f>
        <v>27509.69976</v>
      </c>
      <c r="E26" s="7">
        <f>SUM(E23:E25)</f>
        <v>40886.773200000003</v>
      </c>
    </row>
    <row r="27" spans="1:7" x14ac:dyDescent="0.3">
      <c r="A27" s="6" t="s">
        <v>17</v>
      </c>
      <c r="B27" s="8">
        <f>B26*$B$6</f>
        <v>24469.829055000006</v>
      </c>
      <c r="C27" s="8">
        <f t="shared" ref="C27:E27" si="1">C26*$B$6</f>
        <v>127879.3286316</v>
      </c>
      <c r="D27" s="8">
        <f t="shared" si="1"/>
        <v>467939.99291760003</v>
      </c>
      <c r="E27" s="8">
        <f t="shared" si="1"/>
        <v>695484.01213200006</v>
      </c>
    </row>
    <row r="28" spans="1:7" x14ac:dyDescent="0.3">
      <c r="B28" s="1"/>
      <c r="C28" s="1"/>
      <c r="D28" s="1"/>
      <c r="E28" s="1"/>
    </row>
    <row r="29" spans="1:7" x14ac:dyDescent="0.3">
      <c r="A29" t="s">
        <v>11</v>
      </c>
      <c r="B29" s="1">
        <f>B16-B20-B22</f>
        <v>19574.852000000003</v>
      </c>
      <c r="C29" s="1">
        <f>C16-C20-C23</f>
        <v>71873.290240000002</v>
      </c>
      <c r="D29" s="1">
        <f>D16-D20-D24</f>
        <v>41353.000639999998</v>
      </c>
      <c r="E29" s="1">
        <f>E16-E20-E25</f>
        <v>12776.404799999997</v>
      </c>
    </row>
    <row r="30" spans="1:7" ht="15" thickBot="1" x14ac:dyDescent="0.35">
      <c r="A30" t="s">
        <v>12</v>
      </c>
      <c r="B30" s="9">
        <f>B29*B6</f>
        <v>332968.23252000008</v>
      </c>
      <c r="C30" s="9">
        <f>C29*B6</f>
        <v>1222564.6669824002</v>
      </c>
      <c r="D30" s="9">
        <f>D29*B6</f>
        <v>703414.54088640003</v>
      </c>
      <c r="E30" s="9">
        <f>E29*B6</f>
        <v>217326.64564799998</v>
      </c>
    </row>
    <row r="31" spans="1:7" ht="15" thickBot="1" x14ac:dyDescent="0.35">
      <c r="A31" s="11" t="s">
        <v>22</v>
      </c>
      <c r="B31" s="12">
        <f>NPV(0.02,B30:E30)</f>
        <v>2365149.8944531558</v>
      </c>
    </row>
    <row r="32" spans="1:7" x14ac:dyDescent="0.3">
      <c r="C32" s="1"/>
      <c r="D32" s="1"/>
      <c r="E32" s="1"/>
    </row>
    <row r="33" spans="1:5" x14ac:dyDescent="0.3">
      <c r="A33" s="54" t="s">
        <v>66</v>
      </c>
      <c r="B33" s="55">
        <f>E27+B30+C30+D30+E30</f>
        <v>3171758.0981688006</v>
      </c>
      <c r="C33" s="1"/>
      <c r="D33" s="1"/>
      <c r="E33" s="1"/>
    </row>
    <row r="36" spans="1:5" x14ac:dyDescent="0.3">
      <c r="A36" t="s">
        <v>65</v>
      </c>
      <c r="B36" s="1"/>
      <c r="C36" s="1"/>
      <c r="D36" s="1"/>
      <c r="E36" s="1"/>
    </row>
    <row r="37" spans="1:5" x14ac:dyDescent="0.3">
      <c r="B37" s="22"/>
      <c r="C37" s="22"/>
      <c r="D37" s="22"/>
      <c r="E37" s="22"/>
    </row>
    <row r="39" spans="1:5" x14ac:dyDescent="0.3">
      <c r="B39" s="1"/>
      <c r="C39" s="1"/>
      <c r="D39" s="1"/>
    </row>
    <row r="40" spans="1:5" x14ac:dyDescent="0.3">
      <c r="B40" s="1"/>
      <c r="C40" s="1"/>
    </row>
  </sheetData>
  <mergeCells count="3">
    <mergeCell ref="A1:E1"/>
    <mergeCell ref="A2:B2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CH</vt:lpstr>
      <vt:lpstr>NGrid</vt:lpstr>
      <vt:lpstr>NYSEG</vt:lpstr>
      <vt:lpstr>RG&amp;E</vt:lpstr>
      <vt:lpstr>O&amp;R</vt:lpstr>
      <vt:lpstr>NYSEG!Print_Area</vt:lpstr>
      <vt:lpstr>'RG&amp;E'!Print_Area</vt:lpstr>
    </vt:vector>
  </TitlesOfParts>
  <Company>Con 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Ziegler, Kelly</dc:creator>
  <cp:lastModifiedBy>Theresa Kaplan,TRK</cp:lastModifiedBy>
  <dcterms:created xsi:type="dcterms:W3CDTF">2017-11-17T22:08:05Z</dcterms:created>
  <dcterms:modified xsi:type="dcterms:W3CDTF">2018-05-21T20:14:23Z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